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Sheet1!$A$1:$P$6926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<sst xmlns="http://schemas.openxmlformats.org/spreadsheetml/2006/main" count="6933" uniqueCount="13">
  <si>
    <t>准考证号</t>
  </si>
  <si>
    <t>考点号</t>
  </si>
  <si>
    <t>考场号</t>
  </si>
  <si>
    <t>座位号</t>
  </si>
  <si>
    <t>考点名称</t>
  </si>
  <si>
    <t>笔试原始成绩</t>
  </si>
  <si>
    <t>加分</t>
  </si>
  <si>
    <t>笔试成绩</t>
  </si>
  <si>
    <t>南阳市第一完全学校</t>
  </si>
  <si>
    <t>南阳市二十一学校</t>
  </si>
  <si>
    <t>南阳市第八中学</t>
  </si>
  <si>
    <t>南阳市第十四小学</t>
  </si>
  <si>
    <t>南阳市第九中学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</si>
</sst>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26"/>
  <sheetViews>
    <sheetView tabSelected="1" workbookViewId="0">
      <selection activeCell="Q30" sqref="Q30"/>
    </sheetView>
  </sheetViews>
  <sheetFormatPr defaultColWidth="9" defaultRowHeight="13.5" outlineLevelCol="7"/>
  <cols>
    <col min="1" max="1" width="12.625" customWidth="1"/>
    <col min="2" max="4" width="7.75" customWidth="1"/>
    <col min="5" max="5" width="20.375" customWidth="1"/>
    <col min="6" max="6" width="13.75" customWidth="1"/>
    <col min="7" max="7" width="7.375" customWidth="1"/>
    <col min="8" max="8" width="9.375" customWidth="1"/>
  </cols>
  <sheetData>
    <row r="1" ht="14.25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ht="14.25" spans="1:8">
      <c r="A2" s="3" t="str">
        <f>"10101100101"</f>
        <v>10101100101</v>
      </c>
      <c r="B2" s="3">
        <v>1</v>
      </c>
      <c r="C2" s="3">
        <v>1</v>
      </c>
      <c r="D2" s="3">
        <v>1</v>
      </c>
      <c r="E2" s="3" t="s">
        <v>8</v>
      </c>
      <c r="F2" s="3">
        <v>0</v>
      </c>
      <c r="G2" s="4"/>
      <c r="H2" s="3">
        <v>0</v>
      </c>
    </row>
    <row r="3" ht="14.25" spans="1:8">
      <c r="A3" s="3" t="str">
        <f>"10101100102"</f>
        <v>10101100102</v>
      </c>
      <c r="B3" s="3">
        <v>1</v>
      </c>
      <c r="C3" s="3">
        <v>1</v>
      </c>
      <c r="D3" s="3">
        <v>2</v>
      </c>
      <c r="E3" s="3" t="s">
        <v>8</v>
      </c>
      <c r="F3" s="4">
        <v>66.5</v>
      </c>
      <c r="G3" s="4"/>
      <c r="H3" s="4">
        <f t="shared" ref="H3:H29" si="0">F3+G3</f>
        <v>66.5</v>
      </c>
    </row>
    <row r="4" ht="14.25" spans="1:8">
      <c r="A4" s="3" t="str">
        <f>"10101100103"</f>
        <v>10101100103</v>
      </c>
      <c r="B4" s="3">
        <v>1</v>
      </c>
      <c r="C4" s="3">
        <v>1</v>
      </c>
      <c r="D4" s="3">
        <v>3</v>
      </c>
      <c r="E4" s="3" t="s">
        <v>8</v>
      </c>
      <c r="F4" s="4">
        <v>87</v>
      </c>
      <c r="G4" s="4"/>
      <c r="H4" s="4">
        <f t="shared" si="0"/>
        <v>87</v>
      </c>
    </row>
    <row r="5" ht="14.25" spans="1:8">
      <c r="A5" s="3" t="str">
        <f>"10101100104"</f>
        <v>10101100104</v>
      </c>
      <c r="B5" s="3">
        <v>1</v>
      </c>
      <c r="C5" s="3">
        <v>1</v>
      </c>
      <c r="D5" s="3">
        <v>4</v>
      </c>
      <c r="E5" s="3" t="s">
        <v>8</v>
      </c>
      <c r="F5" s="4">
        <v>66.5</v>
      </c>
      <c r="G5" s="4"/>
      <c r="H5" s="4">
        <f t="shared" si="0"/>
        <v>66.5</v>
      </c>
    </row>
    <row r="6" ht="14.25" spans="1:8">
      <c r="A6" s="3" t="str">
        <f>"10101100105"</f>
        <v>10101100105</v>
      </c>
      <c r="B6" s="3">
        <v>1</v>
      </c>
      <c r="C6" s="3">
        <v>1</v>
      </c>
      <c r="D6" s="3">
        <v>5</v>
      </c>
      <c r="E6" s="3" t="s">
        <v>8</v>
      </c>
      <c r="F6" s="4">
        <v>66</v>
      </c>
      <c r="G6" s="4"/>
      <c r="H6" s="4">
        <f t="shared" si="0"/>
        <v>66</v>
      </c>
    </row>
    <row r="7" ht="14.25" spans="1:8">
      <c r="A7" s="3" t="str">
        <f>"10101100106"</f>
        <v>10101100106</v>
      </c>
      <c r="B7" s="3">
        <v>1</v>
      </c>
      <c r="C7" s="3">
        <v>1</v>
      </c>
      <c r="D7" s="3">
        <v>6</v>
      </c>
      <c r="E7" s="3" t="s">
        <v>8</v>
      </c>
      <c r="F7" s="4">
        <v>56.5</v>
      </c>
      <c r="G7" s="4"/>
      <c r="H7" s="4">
        <f t="shared" si="0"/>
        <v>56.5</v>
      </c>
    </row>
    <row r="8" ht="14.25" spans="1:8">
      <c r="A8" s="3" t="str">
        <f>"10101100107"</f>
        <v>10101100107</v>
      </c>
      <c r="B8" s="3">
        <v>1</v>
      </c>
      <c r="C8" s="3">
        <v>1</v>
      </c>
      <c r="D8" s="3">
        <v>7</v>
      </c>
      <c r="E8" s="3" t="s">
        <v>8</v>
      </c>
      <c r="F8" s="4">
        <v>84.5</v>
      </c>
      <c r="G8" s="4"/>
      <c r="H8" s="4">
        <f t="shared" si="0"/>
        <v>84.5</v>
      </c>
    </row>
    <row r="9" ht="14.25" spans="1:8">
      <c r="A9" s="3" t="str">
        <f>"10101100108"</f>
        <v>10101100108</v>
      </c>
      <c r="B9" s="3">
        <v>1</v>
      </c>
      <c r="C9" s="3">
        <v>1</v>
      </c>
      <c r="D9" s="3">
        <v>8</v>
      </c>
      <c r="E9" s="3" t="s">
        <v>8</v>
      </c>
      <c r="F9" s="4">
        <v>73</v>
      </c>
      <c r="G9" s="4"/>
      <c r="H9" s="4">
        <f t="shared" si="0"/>
        <v>73</v>
      </c>
    </row>
    <row r="10" ht="14.25" spans="1:8">
      <c r="A10" s="3" t="str">
        <f>"10101100109"</f>
        <v>10101100109</v>
      </c>
      <c r="B10" s="3">
        <v>1</v>
      </c>
      <c r="C10" s="3">
        <v>1</v>
      </c>
      <c r="D10" s="3">
        <v>9</v>
      </c>
      <c r="E10" s="3" t="s">
        <v>8</v>
      </c>
      <c r="F10" s="4">
        <v>66</v>
      </c>
      <c r="G10" s="4"/>
      <c r="H10" s="4">
        <f t="shared" si="0"/>
        <v>66</v>
      </c>
    </row>
    <row r="11" ht="14.25" spans="1:8">
      <c r="A11" s="3" t="str">
        <f>"10101100110"</f>
        <v>10101100110</v>
      </c>
      <c r="B11" s="3">
        <v>1</v>
      </c>
      <c r="C11" s="3">
        <v>1</v>
      </c>
      <c r="D11" s="3">
        <v>10</v>
      </c>
      <c r="E11" s="3" t="s">
        <v>8</v>
      </c>
      <c r="F11" s="4">
        <v>42</v>
      </c>
      <c r="G11" s="4"/>
      <c r="H11" s="4">
        <f t="shared" si="0"/>
        <v>42</v>
      </c>
    </row>
    <row r="12" ht="14.25" spans="1:8">
      <c r="A12" s="3" t="str">
        <f>"10101100111"</f>
        <v>10101100111</v>
      </c>
      <c r="B12" s="3">
        <v>1</v>
      </c>
      <c r="C12" s="3">
        <v>1</v>
      </c>
      <c r="D12" s="3">
        <v>11</v>
      </c>
      <c r="E12" s="3" t="s">
        <v>8</v>
      </c>
      <c r="F12" s="4">
        <v>87.5</v>
      </c>
      <c r="G12" s="4"/>
      <c r="H12" s="4">
        <f t="shared" si="0"/>
        <v>87.5</v>
      </c>
    </row>
    <row r="13" ht="14.25" spans="1:8">
      <c r="A13" s="3" t="str">
        <f>"10101100112"</f>
        <v>10101100112</v>
      </c>
      <c r="B13" s="3">
        <v>1</v>
      </c>
      <c r="C13" s="3">
        <v>1</v>
      </c>
      <c r="D13" s="3">
        <v>12</v>
      </c>
      <c r="E13" s="3" t="s">
        <v>8</v>
      </c>
      <c r="F13" s="4">
        <v>50.5</v>
      </c>
      <c r="G13" s="4"/>
      <c r="H13" s="4">
        <f t="shared" si="0"/>
        <v>50.5</v>
      </c>
    </row>
    <row r="14" ht="14.25" spans="1:8">
      <c r="A14" s="3" t="str">
        <f>"10101100113"</f>
        <v>10101100113</v>
      </c>
      <c r="B14" s="3">
        <v>1</v>
      </c>
      <c r="C14" s="3">
        <v>1</v>
      </c>
      <c r="D14" s="3">
        <v>13</v>
      </c>
      <c r="E14" s="3" t="s">
        <v>8</v>
      </c>
      <c r="F14" s="4">
        <v>75.5</v>
      </c>
      <c r="G14" s="4"/>
      <c r="H14" s="4">
        <f t="shared" si="0"/>
        <v>75.5</v>
      </c>
    </row>
    <row r="15" ht="14.25" spans="1:8">
      <c r="A15" s="3" t="str">
        <f>"10101100114"</f>
        <v>10101100114</v>
      </c>
      <c r="B15" s="3">
        <v>1</v>
      </c>
      <c r="C15" s="3">
        <v>1</v>
      </c>
      <c r="D15" s="3">
        <v>14</v>
      </c>
      <c r="E15" s="3" t="s">
        <v>8</v>
      </c>
      <c r="F15" s="4">
        <v>60</v>
      </c>
      <c r="G15" s="4"/>
      <c r="H15" s="4">
        <f t="shared" si="0"/>
        <v>60</v>
      </c>
    </row>
    <row r="16" ht="14.25" spans="1:8">
      <c r="A16" s="3" t="str">
        <f>"10101100115"</f>
        <v>10101100115</v>
      </c>
      <c r="B16" s="3">
        <v>1</v>
      </c>
      <c r="C16" s="3">
        <v>1</v>
      </c>
      <c r="D16" s="3">
        <v>15</v>
      </c>
      <c r="E16" s="3" t="s">
        <v>8</v>
      </c>
      <c r="F16" s="4">
        <v>87.5</v>
      </c>
      <c r="G16" s="4"/>
      <c r="H16" s="4">
        <f t="shared" si="0"/>
        <v>87.5</v>
      </c>
    </row>
    <row r="17" ht="14.25" spans="1:8">
      <c r="A17" s="3" t="str">
        <f>"10101100116"</f>
        <v>10101100116</v>
      </c>
      <c r="B17" s="3">
        <v>1</v>
      </c>
      <c r="C17" s="3">
        <v>1</v>
      </c>
      <c r="D17" s="3">
        <v>16</v>
      </c>
      <c r="E17" s="3" t="s">
        <v>8</v>
      </c>
      <c r="F17" s="4">
        <v>84</v>
      </c>
      <c r="G17" s="4"/>
      <c r="H17" s="4">
        <f t="shared" si="0"/>
        <v>84</v>
      </c>
    </row>
    <row r="18" ht="14.25" spans="1:8">
      <c r="A18" s="3" t="str">
        <f>"10101100117"</f>
        <v>10101100117</v>
      </c>
      <c r="B18" s="3">
        <v>1</v>
      </c>
      <c r="C18" s="3">
        <v>1</v>
      </c>
      <c r="D18" s="3">
        <v>17</v>
      </c>
      <c r="E18" s="3" t="s">
        <v>8</v>
      </c>
      <c r="F18" s="4">
        <v>64</v>
      </c>
      <c r="G18" s="4"/>
      <c r="H18" s="4">
        <f t="shared" si="0"/>
        <v>64</v>
      </c>
    </row>
    <row r="19" ht="14.25" spans="1:8">
      <c r="A19" s="3" t="str">
        <f>"10101100118"</f>
        <v>10101100118</v>
      </c>
      <c r="B19" s="3">
        <v>1</v>
      </c>
      <c r="C19" s="3">
        <v>1</v>
      </c>
      <c r="D19" s="3">
        <v>18</v>
      </c>
      <c r="E19" s="3" t="s">
        <v>8</v>
      </c>
      <c r="F19" s="4">
        <v>80.5</v>
      </c>
      <c r="G19" s="4"/>
      <c r="H19" s="4">
        <f t="shared" si="0"/>
        <v>80.5</v>
      </c>
    </row>
    <row r="20" ht="14.25" spans="1:8">
      <c r="A20" s="3" t="str">
        <f>"10101100119"</f>
        <v>10101100119</v>
      </c>
      <c r="B20" s="3">
        <v>1</v>
      </c>
      <c r="C20" s="3">
        <v>1</v>
      </c>
      <c r="D20" s="3">
        <v>19</v>
      </c>
      <c r="E20" s="3" t="s">
        <v>8</v>
      </c>
      <c r="F20" s="4">
        <v>68.5</v>
      </c>
      <c r="G20" s="4"/>
      <c r="H20" s="4">
        <f t="shared" si="0"/>
        <v>68.5</v>
      </c>
    </row>
    <row r="21" ht="14.25" spans="1:8">
      <c r="A21" s="3" t="str">
        <f>"10101100120"</f>
        <v>10101100120</v>
      </c>
      <c r="B21" s="3">
        <v>1</v>
      </c>
      <c r="C21" s="3">
        <v>1</v>
      </c>
      <c r="D21" s="3">
        <v>20</v>
      </c>
      <c r="E21" s="3" t="s">
        <v>8</v>
      </c>
      <c r="F21" s="4">
        <v>83</v>
      </c>
      <c r="G21" s="4"/>
      <c r="H21" s="4">
        <f t="shared" si="0"/>
        <v>83</v>
      </c>
    </row>
    <row r="22" ht="14.25" spans="1:8">
      <c r="A22" s="3" t="str">
        <f>"10101100121"</f>
        <v>10101100121</v>
      </c>
      <c r="B22" s="3">
        <v>1</v>
      </c>
      <c r="C22" s="3">
        <v>1</v>
      </c>
      <c r="D22" s="3">
        <v>21</v>
      </c>
      <c r="E22" s="3" t="s">
        <v>8</v>
      </c>
      <c r="F22" s="4">
        <v>48.5</v>
      </c>
      <c r="G22" s="4"/>
      <c r="H22" s="4">
        <f t="shared" si="0"/>
        <v>48.5</v>
      </c>
    </row>
    <row r="23" ht="14.25" spans="1:8">
      <c r="A23" s="3" t="str">
        <f>"10101100122"</f>
        <v>10101100122</v>
      </c>
      <c r="B23" s="3">
        <v>1</v>
      </c>
      <c r="C23" s="3">
        <v>1</v>
      </c>
      <c r="D23" s="3">
        <v>22</v>
      </c>
      <c r="E23" s="3" t="s">
        <v>8</v>
      </c>
      <c r="F23" s="4">
        <v>83</v>
      </c>
      <c r="G23" s="4"/>
      <c r="H23" s="4">
        <f t="shared" si="0"/>
        <v>83</v>
      </c>
    </row>
    <row r="24" ht="14.25" spans="1:8">
      <c r="A24" s="3" t="str">
        <f>"10101100123"</f>
        <v>10101100123</v>
      </c>
      <c r="B24" s="3">
        <v>1</v>
      </c>
      <c r="C24" s="3">
        <v>1</v>
      </c>
      <c r="D24" s="3">
        <v>23</v>
      </c>
      <c r="E24" s="3" t="s">
        <v>8</v>
      </c>
      <c r="F24" s="4">
        <v>44.5</v>
      </c>
      <c r="G24" s="4"/>
      <c r="H24" s="4">
        <f t="shared" si="0"/>
        <v>44.5</v>
      </c>
    </row>
    <row r="25" ht="14.25" spans="1:8">
      <c r="A25" s="3" t="str">
        <f>"10101100124"</f>
        <v>10101100124</v>
      </c>
      <c r="B25" s="3">
        <v>1</v>
      </c>
      <c r="C25" s="3">
        <v>1</v>
      </c>
      <c r="D25" s="3">
        <v>24</v>
      </c>
      <c r="E25" s="3" t="s">
        <v>8</v>
      </c>
      <c r="F25" s="4">
        <v>50.5</v>
      </c>
      <c r="G25" s="4"/>
      <c r="H25" s="4">
        <f t="shared" si="0"/>
        <v>50.5</v>
      </c>
    </row>
    <row r="26" ht="14.25" spans="1:8">
      <c r="A26" s="3" t="str">
        <f>"10101100125"</f>
        <v>10101100125</v>
      </c>
      <c r="B26" s="3">
        <v>1</v>
      </c>
      <c r="C26" s="3">
        <v>1</v>
      </c>
      <c r="D26" s="3">
        <v>25</v>
      </c>
      <c r="E26" s="3" t="s">
        <v>8</v>
      </c>
      <c r="F26" s="4">
        <v>81</v>
      </c>
      <c r="G26" s="4"/>
      <c r="H26" s="4">
        <f t="shared" si="0"/>
        <v>81</v>
      </c>
    </row>
    <row r="27" ht="14.25" spans="1:8">
      <c r="A27" s="3" t="str">
        <f>"10101100126"</f>
        <v>10101100126</v>
      </c>
      <c r="B27" s="3">
        <v>1</v>
      </c>
      <c r="C27" s="3">
        <v>1</v>
      </c>
      <c r="D27" s="3">
        <v>26</v>
      </c>
      <c r="E27" s="3" t="s">
        <v>8</v>
      </c>
      <c r="F27" s="4">
        <v>83.5</v>
      </c>
      <c r="G27" s="4"/>
      <c r="H27" s="4">
        <f t="shared" si="0"/>
        <v>83.5</v>
      </c>
    </row>
    <row r="28" ht="14.25" spans="1:8">
      <c r="A28" s="3" t="str">
        <f>"10101100127"</f>
        <v>10101100127</v>
      </c>
      <c r="B28" s="3">
        <v>1</v>
      </c>
      <c r="C28" s="3">
        <v>1</v>
      </c>
      <c r="D28" s="3">
        <v>27</v>
      </c>
      <c r="E28" s="3" t="s">
        <v>8</v>
      </c>
      <c r="F28" s="4">
        <v>65.5</v>
      </c>
      <c r="G28" s="4"/>
      <c r="H28" s="4">
        <f t="shared" si="0"/>
        <v>65.5</v>
      </c>
    </row>
    <row r="29" ht="14.25" spans="1:8">
      <c r="A29" s="3" t="str">
        <f>"10101100128"</f>
        <v>10101100128</v>
      </c>
      <c r="B29" s="3">
        <v>1</v>
      </c>
      <c r="C29" s="3">
        <v>1</v>
      </c>
      <c r="D29" s="3">
        <v>28</v>
      </c>
      <c r="E29" s="3" t="s">
        <v>8</v>
      </c>
      <c r="F29" s="4">
        <v>84</v>
      </c>
      <c r="G29" s="4"/>
      <c r="H29" s="4">
        <f t="shared" si="0"/>
        <v>84</v>
      </c>
    </row>
    <row r="30" ht="14.25" spans="1:8">
      <c r="A30" s="3" t="str">
        <f>"10101100129"</f>
        <v>10101100129</v>
      </c>
      <c r="B30" s="3">
        <v>1</v>
      </c>
      <c r="C30" s="3">
        <v>1</v>
      </c>
      <c r="D30" s="3">
        <v>29</v>
      </c>
      <c r="E30" s="3" t="s">
        <v>8</v>
      </c>
      <c r="F30" s="3">
        <v>0</v>
      </c>
      <c r="G30" s="4"/>
      <c r="H30" s="3">
        <v>0</v>
      </c>
    </row>
    <row r="31" ht="14.25" spans="1:8">
      <c r="A31" s="3" t="str">
        <f>"10101100130"</f>
        <v>10101100130</v>
      </c>
      <c r="B31" s="3">
        <v>1</v>
      </c>
      <c r="C31" s="3">
        <v>1</v>
      </c>
      <c r="D31" s="3">
        <v>30</v>
      </c>
      <c r="E31" s="3" t="s">
        <v>8</v>
      </c>
      <c r="F31" s="4">
        <v>81.5</v>
      </c>
      <c r="G31" s="4"/>
      <c r="H31" s="4">
        <f t="shared" ref="H31:H40" si="1">F31+G31</f>
        <v>81.5</v>
      </c>
    </row>
    <row r="32" ht="14.25" spans="1:8">
      <c r="A32" s="3" t="str">
        <f>"10101100201"</f>
        <v>10101100201</v>
      </c>
      <c r="B32" s="3">
        <v>1</v>
      </c>
      <c r="C32" s="3">
        <v>2</v>
      </c>
      <c r="D32" s="3">
        <v>1</v>
      </c>
      <c r="E32" s="3" t="s">
        <v>8</v>
      </c>
      <c r="F32" s="4">
        <v>75.5</v>
      </c>
      <c r="G32" s="4"/>
      <c r="H32" s="4">
        <f t="shared" si="1"/>
        <v>75.5</v>
      </c>
    </row>
    <row r="33" ht="14.25" spans="1:8">
      <c r="A33" s="3" t="str">
        <f>"10101100202"</f>
        <v>10101100202</v>
      </c>
      <c r="B33" s="3">
        <v>1</v>
      </c>
      <c r="C33" s="3">
        <v>2</v>
      </c>
      <c r="D33" s="3">
        <v>2</v>
      </c>
      <c r="E33" s="3" t="s">
        <v>8</v>
      </c>
      <c r="F33" s="4">
        <v>90</v>
      </c>
      <c r="G33" s="4"/>
      <c r="H33" s="4">
        <f t="shared" si="1"/>
        <v>90</v>
      </c>
    </row>
    <row r="34" ht="14.25" spans="1:8">
      <c r="A34" s="3" t="str">
        <f>"10101100203"</f>
        <v>10101100203</v>
      </c>
      <c r="B34" s="3">
        <v>1</v>
      </c>
      <c r="C34" s="3">
        <v>2</v>
      </c>
      <c r="D34" s="3">
        <v>3</v>
      </c>
      <c r="E34" s="3" t="s">
        <v>8</v>
      </c>
      <c r="F34" s="4">
        <v>83.5</v>
      </c>
      <c r="G34" s="4"/>
      <c r="H34" s="4">
        <f t="shared" si="1"/>
        <v>83.5</v>
      </c>
    </row>
    <row r="35" ht="14.25" spans="1:8">
      <c r="A35" s="3" t="str">
        <f>"10101100204"</f>
        <v>10101100204</v>
      </c>
      <c r="B35" s="3">
        <v>1</v>
      </c>
      <c r="C35" s="3">
        <v>2</v>
      </c>
      <c r="D35" s="3">
        <v>4</v>
      </c>
      <c r="E35" s="3" t="s">
        <v>8</v>
      </c>
      <c r="F35" s="4">
        <v>73.5</v>
      </c>
      <c r="G35" s="4"/>
      <c r="H35" s="4">
        <f t="shared" si="1"/>
        <v>73.5</v>
      </c>
    </row>
    <row r="36" ht="14.25" spans="1:8">
      <c r="A36" s="3" t="str">
        <f>"10101100205"</f>
        <v>10101100205</v>
      </c>
      <c r="B36" s="3">
        <v>1</v>
      </c>
      <c r="C36" s="3">
        <v>2</v>
      </c>
      <c r="D36" s="3">
        <v>5</v>
      </c>
      <c r="E36" s="3" t="s">
        <v>8</v>
      </c>
      <c r="F36" s="4">
        <v>81.5</v>
      </c>
      <c r="G36" s="4"/>
      <c r="H36" s="4">
        <f t="shared" si="1"/>
        <v>81.5</v>
      </c>
    </row>
    <row r="37" ht="14.25" spans="1:8">
      <c r="A37" s="3" t="str">
        <f>"10101100206"</f>
        <v>10101100206</v>
      </c>
      <c r="B37" s="3">
        <v>1</v>
      </c>
      <c r="C37" s="3">
        <v>2</v>
      </c>
      <c r="D37" s="3">
        <v>6</v>
      </c>
      <c r="E37" s="3" t="s">
        <v>8</v>
      </c>
      <c r="F37" s="4">
        <v>79.5</v>
      </c>
      <c r="G37" s="4"/>
      <c r="H37" s="4">
        <f t="shared" si="1"/>
        <v>79.5</v>
      </c>
    </row>
    <row r="38" ht="14.25" spans="1:8">
      <c r="A38" s="3" t="str">
        <f>"10101100207"</f>
        <v>10101100207</v>
      </c>
      <c r="B38" s="3">
        <v>1</v>
      </c>
      <c r="C38" s="3">
        <v>2</v>
      </c>
      <c r="D38" s="3">
        <v>7</v>
      </c>
      <c r="E38" s="3" t="s">
        <v>8</v>
      </c>
      <c r="F38" s="4">
        <v>72.5</v>
      </c>
      <c r="G38" s="4"/>
      <c r="H38" s="4">
        <f t="shared" si="1"/>
        <v>72.5</v>
      </c>
    </row>
    <row r="39" ht="14.25" spans="1:8">
      <c r="A39" s="3" t="str">
        <f>"10101100208"</f>
        <v>10101100208</v>
      </c>
      <c r="B39" s="3">
        <v>1</v>
      </c>
      <c r="C39" s="3">
        <v>2</v>
      </c>
      <c r="D39" s="3">
        <v>8</v>
      </c>
      <c r="E39" s="3" t="s">
        <v>8</v>
      </c>
      <c r="F39" s="4">
        <v>69.5</v>
      </c>
      <c r="G39" s="4"/>
      <c r="H39" s="4">
        <f t="shared" si="1"/>
        <v>69.5</v>
      </c>
    </row>
    <row r="40" ht="14.25" spans="1:8">
      <c r="A40" s="3" t="str">
        <f>"10101100209"</f>
        <v>10101100209</v>
      </c>
      <c r="B40" s="3">
        <v>1</v>
      </c>
      <c r="C40" s="3">
        <v>2</v>
      </c>
      <c r="D40" s="3">
        <v>9</v>
      </c>
      <c r="E40" s="3" t="s">
        <v>8</v>
      </c>
      <c r="F40" s="4">
        <v>81</v>
      </c>
      <c r="G40" s="4"/>
      <c r="H40" s="4">
        <f t="shared" si="1"/>
        <v>81</v>
      </c>
    </row>
    <row r="41" ht="14.25" spans="1:8">
      <c r="A41" s="3" t="str">
        <f>"10101100210"</f>
        <v>10101100210</v>
      </c>
      <c r="B41" s="3">
        <v>1</v>
      </c>
      <c r="C41" s="3">
        <v>2</v>
      </c>
      <c r="D41" s="3">
        <v>10</v>
      </c>
      <c r="E41" s="3" t="s">
        <v>8</v>
      </c>
      <c r="F41" s="3">
        <v>0</v>
      </c>
      <c r="G41" s="4"/>
      <c r="H41" s="3">
        <v>0</v>
      </c>
    </row>
    <row r="42" ht="14.25" spans="1:8">
      <c r="A42" s="3" t="str">
        <f>"10101100211"</f>
        <v>10101100211</v>
      </c>
      <c r="B42" s="3">
        <v>1</v>
      </c>
      <c r="C42" s="3">
        <v>2</v>
      </c>
      <c r="D42" s="3">
        <v>11</v>
      </c>
      <c r="E42" s="3" t="s">
        <v>8</v>
      </c>
      <c r="F42" s="4">
        <v>86</v>
      </c>
      <c r="G42" s="4"/>
      <c r="H42" s="4">
        <f t="shared" ref="H42:H54" si="2">F42+G42</f>
        <v>86</v>
      </c>
    </row>
    <row r="43" ht="14.25" spans="1:8">
      <c r="A43" s="3" t="str">
        <f>"10101100212"</f>
        <v>10101100212</v>
      </c>
      <c r="B43" s="3">
        <v>1</v>
      </c>
      <c r="C43" s="3">
        <v>2</v>
      </c>
      <c r="D43" s="3">
        <v>12</v>
      </c>
      <c r="E43" s="3" t="s">
        <v>8</v>
      </c>
      <c r="F43" s="4">
        <v>79.5</v>
      </c>
      <c r="G43" s="4"/>
      <c r="H43" s="4">
        <f t="shared" si="2"/>
        <v>79.5</v>
      </c>
    </row>
    <row r="44" ht="14.25" spans="1:8">
      <c r="A44" s="3" t="str">
        <f>"10101100213"</f>
        <v>10101100213</v>
      </c>
      <c r="B44" s="3">
        <v>1</v>
      </c>
      <c r="C44" s="3">
        <v>2</v>
      </c>
      <c r="D44" s="3">
        <v>13</v>
      </c>
      <c r="E44" s="3" t="s">
        <v>8</v>
      </c>
      <c r="F44" s="4">
        <v>71.5</v>
      </c>
      <c r="G44" s="4"/>
      <c r="H44" s="4">
        <f t="shared" si="2"/>
        <v>71.5</v>
      </c>
    </row>
    <row r="45" ht="14.25" spans="1:8">
      <c r="A45" s="3" t="str">
        <f>"10101100214"</f>
        <v>10101100214</v>
      </c>
      <c r="B45" s="3">
        <v>1</v>
      </c>
      <c r="C45" s="3">
        <v>2</v>
      </c>
      <c r="D45" s="3">
        <v>14</v>
      </c>
      <c r="E45" s="3" t="s">
        <v>8</v>
      </c>
      <c r="F45" s="4">
        <v>78</v>
      </c>
      <c r="G45" s="4"/>
      <c r="H45" s="4">
        <f t="shared" si="2"/>
        <v>78</v>
      </c>
    </row>
    <row r="46" ht="14.25" spans="1:8">
      <c r="A46" s="3" t="str">
        <f>"10101100215"</f>
        <v>10101100215</v>
      </c>
      <c r="B46" s="3">
        <v>1</v>
      </c>
      <c r="C46" s="3">
        <v>2</v>
      </c>
      <c r="D46" s="3">
        <v>15</v>
      </c>
      <c r="E46" s="3" t="s">
        <v>8</v>
      </c>
      <c r="F46" s="4">
        <v>65.5</v>
      </c>
      <c r="G46" s="4"/>
      <c r="H46" s="4">
        <f t="shared" si="2"/>
        <v>65.5</v>
      </c>
    </row>
    <row r="47" ht="14.25" spans="1:8">
      <c r="A47" s="3" t="str">
        <f>"10101100216"</f>
        <v>10101100216</v>
      </c>
      <c r="B47" s="3">
        <v>1</v>
      </c>
      <c r="C47" s="3">
        <v>2</v>
      </c>
      <c r="D47" s="3">
        <v>16</v>
      </c>
      <c r="E47" s="3" t="s">
        <v>8</v>
      </c>
      <c r="F47" s="4">
        <v>84</v>
      </c>
      <c r="G47" s="4"/>
      <c r="H47" s="4">
        <f t="shared" si="2"/>
        <v>84</v>
      </c>
    </row>
    <row r="48" ht="14.25" spans="1:8">
      <c r="A48" s="3" t="str">
        <f>"10101100217"</f>
        <v>10101100217</v>
      </c>
      <c r="B48" s="3">
        <v>1</v>
      </c>
      <c r="C48" s="3">
        <v>2</v>
      </c>
      <c r="D48" s="3">
        <v>17</v>
      </c>
      <c r="E48" s="3" t="s">
        <v>8</v>
      </c>
      <c r="F48" s="4">
        <v>76</v>
      </c>
      <c r="G48" s="4"/>
      <c r="H48" s="4">
        <f t="shared" si="2"/>
        <v>76</v>
      </c>
    </row>
    <row r="49" ht="14.25" spans="1:8">
      <c r="A49" s="3" t="str">
        <f>"10101100218"</f>
        <v>10101100218</v>
      </c>
      <c r="B49" s="3">
        <v>1</v>
      </c>
      <c r="C49" s="3">
        <v>2</v>
      </c>
      <c r="D49" s="3">
        <v>18</v>
      </c>
      <c r="E49" s="3" t="s">
        <v>8</v>
      </c>
      <c r="F49" s="4">
        <v>85</v>
      </c>
      <c r="G49" s="4"/>
      <c r="H49" s="4">
        <f t="shared" si="2"/>
        <v>85</v>
      </c>
    </row>
    <row r="50" ht="14.25" spans="1:8">
      <c r="A50" s="3" t="str">
        <f>"10101100219"</f>
        <v>10101100219</v>
      </c>
      <c r="B50" s="3">
        <v>1</v>
      </c>
      <c r="C50" s="3">
        <v>2</v>
      </c>
      <c r="D50" s="3">
        <v>19</v>
      </c>
      <c r="E50" s="3" t="s">
        <v>8</v>
      </c>
      <c r="F50" s="4">
        <v>47.5</v>
      </c>
      <c r="G50" s="4"/>
      <c r="H50" s="4">
        <f t="shared" si="2"/>
        <v>47.5</v>
      </c>
    </row>
    <row r="51" ht="14.25" spans="1:8">
      <c r="A51" s="3" t="str">
        <f>"10101100220"</f>
        <v>10101100220</v>
      </c>
      <c r="B51" s="3">
        <v>1</v>
      </c>
      <c r="C51" s="3">
        <v>2</v>
      </c>
      <c r="D51" s="3">
        <v>20</v>
      </c>
      <c r="E51" s="3" t="s">
        <v>8</v>
      </c>
      <c r="F51" s="4">
        <v>84</v>
      </c>
      <c r="G51" s="4"/>
      <c r="H51" s="4">
        <f t="shared" si="2"/>
        <v>84</v>
      </c>
    </row>
    <row r="52" ht="14.25" spans="1:8">
      <c r="A52" s="3" t="str">
        <f>"10101100221"</f>
        <v>10101100221</v>
      </c>
      <c r="B52" s="3">
        <v>1</v>
      </c>
      <c r="C52" s="3">
        <v>2</v>
      </c>
      <c r="D52" s="3">
        <v>21</v>
      </c>
      <c r="E52" s="3" t="s">
        <v>8</v>
      </c>
      <c r="F52" s="4">
        <v>80.5</v>
      </c>
      <c r="G52" s="4"/>
      <c r="H52" s="4">
        <f t="shared" si="2"/>
        <v>80.5</v>
      </c>
    </row>
    <row r="53" ht="14.25" spans="1:8">
      <c r="A53" s="3" t="str">
        <f>"10101100222"</f>
        <v>10101100222</v>
      </c>
      <c r="B53" s="3">
        <v>1</v>
      </c>
      <c r="C53" s="3">
        <v>2</v>
      </c>
      <c r="D53" s="3">
        <v>22</v>
      </c>
      <c r="E53" s="3" t="s">
        <v>8</v>
      </c>
      <c r="F53" s="4">
        <v>47</v>
      </c>
      <c r="G53" s="4"/>
      <c r="H53" s="4">
        <f t="shared" si="2"/>
        <v>47</v>
      </c>
    </row>
    <row r="54" ht="14.25" spans="1:8">
      <c r="A54" s="3" t="str">
        <f>"10101100223"</f>
        <v>10101100223</v>
      </c>
      <c r="B54" s="3">
        <v>1</v>
      </c>
      <c r="C54" s="3">
        <v>2</v>
      </c>
      <c r="D54" s="3">
        <v>23</v>
      </c>
      <c r="E54" s="3" t="s">
        <v>8</v>
      </c>
      <c r="F54" s="4">
        <v>48</v>
      </c>
      <c r="G54" s="4"/>
      <c r="H54" s="4">
        <f t="shared" si="2"/>
        <v>48</v>
      </c>
    </row>
    <row r="55" ht="14.25" spans="1:8">
      <c r="A55" s="3" t="str">
        <f>"10101100224"</f>
        <v>10101100224</v>
      </c>
      <c r="B55" s="3">
        <v>1</v>
      </c>
      <c r="C55" s="3">
        <v>2</v>
      </c>
      <c r="D55" s="3">
        <v>24</v>
      </c>
      <c r="E55" s="3" t="s">
        <v>8</v>
      </c>
      <c r="F55" s="3">
        <v>0</v>
      </c>
      <c r="G55" s="4"/>
      <c r="H55" s="3">
        <v>0</v>
      </c>
    </row>
    <row r="56" ht="14.25" spans="1:8">
      <c r="A56" s="3" t="str">
        <f>"10101100225"</f>
        <v>10101100225</v>
      </c>
      <c r="B56" s="3">
        <v>1</v>
      </c>
      <c r="C56" s="3">
        <v>2</v>
      </c>
      <c r="D56" s="3">
        <v>25</v>
      </c>
      <c r="E56" s="3" t="s">
        <v>8</v>
      </c>
      <c r="F56" s="4">
        <v>87</v>
      </c>
      <c r="G56" s="4"/>
      <c r="H56" s="4">
        <f t="shared" ref="H56:H88" si="3">F56+G56</f>
        <v>87</v>
      </c>
    </row>
    <row r="57" ht="14.25" spans="1:8">
      <c r="A57" s="3" t="str">
        <f>"10101100226"</f>
        <v>10101100226</v>
      </c>
      <c r="B57" s="3">
        <v>1</v>
      </c>
      <c r="C57" s="3">
        <v>2</v>
      </c>
      <c r="D57" s="3">
        <v>26</v>
      </c>
      <c r="E57" s="3" t="s">
        <v>8</v>
      </c>
      <c r="F57" s="4">
        <v>74.5</v>
      </c>
      <c r="G57" s="4"/>
      <c r="H57" s="4">
        <f t="shared" si="3"/>
        <v>74.5</v>
      </c>
    </row>
    <row r="58" ht="14.25" spans="1:8">
      <c r="A58" s="3" t="str">
        <f>"10101100227"</f>
        <v>10101100227</v>
      </c>
      <c r="B58" s="3">
        <v>1</v>
      </c>
      <c r="C58" s="3">
        <v>2</v>
      </c>
      <c r="D58" s="3">
        <v>27</v>
      </c>
      <c r="E58" s="3" t="s">
        <v>8</v>
      </c>
      <c r="F58" s="4">
        <v>90</v>
      </c>
      <c r="G58" s="4"/>
      <c r="H58" s="4">
        <f t="shared" si="3"/>
        <v>90</v>
      </c>
    </row>
    <row r="59" ht="14.25" spans="1:8">
      <c r="A59" s="3" t="str">
        <f>"10101100228"</f>
        <v>10101100228</v>
      </c>
      <c r="B59" s="3">
        <v>1</v>
      </c>
      <c r="C59" s="3">
        <v>2</v>
      </c>
      <c r="D59" s="3">
        <v>28</v>
      </c>
      <c r="E59" s="3" t="s">
        <v>8</v>
      </c>
      <c r="F59" s="4">
        <v>57.5</v>
      </c>
      <c r="G59" s="4"/>
      <c r="H59" s="4">
        <f t="shared" si="3"/>
        <v>57.5</v>
      </c>
    </row>
    <row r="60" ht="14.25" spans="1:8">
      <c r="A60" s="3" t="str">
        <f>"10101100229"</f>
        <v>10101100229</v>
      </c>
      <c r="B60" s="3">
        <v>1</v>
      </c>
      <c r="C60" s="3">
        <v>2</v>
      </c>
      <c r="D60" s="3">
        <v>29</v>
      </c>
      <c r="E60" s="3" t="s">
        <v>8</v>
      </c>
      <c r="F60" s="4">
        <v>49</v>
      </c>
      <c r="G60" s="4"/>
      <c r="H60" s="4">
        <f t="shared" si="3"/>
        <v>49</v>
      </c>
    </row>
    <row r="61" ht="14.25" spans="1:8">
      <c r="A61" s="3" t="str">
        <f>"10102100230"</f>
        <v>10102100230</v>
      </c>
      <c r="B61" s="3">
        <v>1</v>
      </c>
      <c r="C61" s="3">
        <v>2</v>
      </c>
      <c r="D61" s="3">
        <v>30</v>
      </c>
      <c r="E61" s="3" t="s">
        <v>8</v>
      </c>
      <c r="F61" s="4">
        <v>76</v>
      </c>
      <c r="G61" s="4"/>
      <c r="H61" s="4">
        <f t="shared" si="3"/>
        <v>76</v>
      </c>
    </row>
    <row r="62" ht="14.25" spans="1:8">
      <c r="A62" s="3" t="str">
        <f>"10102100301"</f>
        <v>10102100301</v>
      </c>
      <c r="B62" s="3">
        <v>1</v>
      </c>
      <c r="C62" s="3">
        <v>3</v>
      </c>
      <c r="D62" s="3">
        <v>1</v>
      </c>
      <c r="E62" s="3" t="s">
        <v>8</v>
      </c>
      <c r="F62" s="4">
        <v>82</v>
      </c>
      <c r="G62" s="4"/>
      <c r="H62" s="4">
        <f t="shared" si="3"/>
        <v>82</v>
      </c>
    </row>
    <row r="63" ht="14.25" spans="1:8">
      <c r="A63" s="3" t="str">
        <f>"10102100302"</f>
        <v>10102100302</v>
      </c>
      <c r="B63" s="3">
        <v>1</v>
      </c>
      <c r="C63" s="3">
        <v>3</v>
      </c>
      <c r="D63" s="3">
        <v>2</v>
      </c>
      <c r="E63" s="3" t="s">
        <v>8</v>
      </c>
      <c r="F63" s="4">
        <v>81.5</v>
      </c>
      <c r="G63" s="4"/>
      <c r="H63" s="4">
        <f t="shared" si="3"/>
        <v>81.5</v>
      </c>
    </row>
    <row r="64" ht="14.25" spans="1:8">
      <c r="A64" s="3" t="str">
        <f>"10102100303"</f>
        <v>10102100303</v>
      </c>
      <c r="B64" s="3">
        <v>1</v>
      </c>
      <c r="C64" s="3">
        <v>3</v>
      </c>
      <c r="D64" s="3">
        <v>3</v>
      </c>
      <c r="E64" s="3" t="s">
        <v>8</v>
      </c>
      <c r="F64" s="4">
        <v>71</v>
      </c>
      <c r="G64" s="4"/>
      <c r="H64" s="4">
        <f t="shared" si="3"/>
        <v>71</v>
      </c>
    </row>
    <row r="65" ht="14.25" spans="1:8">
      <c r="A65" s="3" t="str">
        <f>"10102100304"</f>
        <v>10102100304</v>
      </c>
      <c r="B65" s="3">
        <v>1</v>
      </c>
      <c r="C65" s="3">
        <v>3</v>
      </c>
      <c r="D65" s="3">
        <v>4</v>
      </c>
      <c r="E65" s="3" t="s">
        <v>8</v>
      </c>
      <c r="F65" s="4">
        <v>51</v>
      </c>
      <c r="G65" s="4"/>
      <c r="H65" s="4">
        <f t="shared" si="3"/>
        <v>51</v>
      </c>
    </row>
    <row r="66" ht="14.25" spans="1:8">
      <c r="A66" s="3" t="str">
        <f>"10102100305"</f>
        <v>10102100305</v>
      </c>
      <c r="B66" s="3">
        <v>1</v>
      </c>
      <c r="C66" s="3">
        <v>3</v>
      </c>
      <c r="D66" s="3">
        <v>5</v>
      </c>
      <c r="E66" s="3" t="s">
        <v>8</v>
      </c>
      <c r="F66" s="4">
        <v>76</v>
      </c>
      <c r="G66" s="4"/>
      <c r="H66" s="4">
        <f t="shared" si="3"/>
        <v>76</v>
      </c>
    </row>
    <row r="67" ht="14.25" spans="1:8">
      <c r="A67" s="3" t="str">
        <f>"10102100306"</f>
        <v>10102100306</v>
      </c>
      <c r="B67" s="3">
        <v>1</v>
      </c>
      <c r="C67" s="3">
        <v>3</v>
      </c>
      <c r="D67" s="3">
        <v>6</v>
      </c>
      <c r="E67" s="3" t="s">
        <v>8</v>
      </c>
      <c r="F67" s="4">
        <v>76</v>
      </c>
      <c r="G67" s="4"/>
      <c r="H67" s="4">
        <f t="shared" si="3"/>
        <v>76</v>
      </c>
    </row>
    <row r="68" ht="14.25" spans="1:8">
      <c r="A68" s="3" t="str">
        <f>"10102100307"</f>
        <v>10102100307</v>
      </c>
      <c r="B68" s="3">
        <v>1</v>
      </c>
      <c r="C68" s="3">
        <v>3</v>
      </c>
      <c r="D68" s="3">
        <v>7</v>
      </c>
      <c r="E68" s="3" t="s">
        <v>8</v>
      </c>
      <c r="F68" s="4">
        <v>81.5</v>
      </c>
      <c r="G68" s="4"/>
      <c r="H68" s="4">
        <f t="shared" si="3"/>
        <v>81.5</v>
      </c>
    </row>
    <row r="69" ht="14.25" spans="1:8">
      <c r="A69" s="3" t="str">
        <f>"10102100308"</f>
        <v>10102100308</v>
      </c>
      <c r="B69" s="3">
        <v>1</v>
      </c>
      <c r="C69" s="3">
        <v>3</v>
      </c>
      <c r="D69" s="3">
        <v>8</v>
      </c>
      <c r="E69" s="3" t="s">
        <v>8</v>
      </c>
      <c r="F69" s="4">
        <v>65</v>
      </c>
      <c r="G69" s="4"/>
      <c r="H69" s="4">
        <f t="shared" si="3"/>
        <v>65</v>
      </c>
    </row>
    <row r="70" ht="14.25" spans="1:8">
      <c r="A70" s="3" t="str">
        <f>"10102100309"</f>
        <v>10102100309</v>
      </c>
      <c r="B70" s="3">
        <v>1</v>
      </c>
      <c r="C70" s="3">
        <v>3</v>
      </c>
      <c r="D70" s="3">
        <v>9</v>
      </c>
      <c r="E70" s="3" t="s">
        <v>8</v>
      </c>
      <c r="F70" s="4">
        <v>57</v>
      </c>
      <c r="G70" s="4"/>
      <c r="H70" s="4">
        <f t="shared" si="3"/>
        <v>57</v>
      </c>
    </row>
    <row r="71" ht="14.25" spans="1:8">
      <c r="A71" s="3" t="str">
        <f>"10102100310"</f>
        <v>10102100310</v>
      </c>
      <c r="B71" s="3">
        <v>1</v>
      </c>
      <c r="C71" s="3">
        <v>3</v>
      </c>
      <c r="D71" s="3">
        <v>10</v>
      </c>
      <c r="E71" s="3" t="s">
        <v>8</v>
      </c>
      <c r="F71" s="4">
        <v>48.5</v>
      </c>
      <c r="G71" s="4"/>
      <c r="H71" s="4">
        <f t="shared" si="3"/>
        <v>48.5</v>
      </c>
    </row>
    <row r="72" ht="14.25" spans="1:8">
      <c r="A72" s="3" t="str">
        <f>"10102100311"</f>
        <v>10102100311</v>
      </c>
      <c r="B72" s="3">
        <v>1</v>
      </c>
      <c r="C72" s="3">
        <v>3</v>
      </c>
      <c r="D72" s="3">
        <v>11</v>
      </c>
      <c r="E72" s="3" t="s">
        <v>8</v>
      </c>
      <c r="F72" s="4">
        <v>81</v>
      </c>
      <c r="G72" s="4"/>
      <c r="H72" s="4">
        <f t="shared" si="3"/>
        <v>81</v>
      </c>
    </row>
    <row r="73" ht="14.25" spans="1:8">
      <c r="A73" s="3" t="str">
        <f>"10102100312"</f>
        <v>10102100312</v>
      </c>
      <c r="B73" s="3">
        <v>1</v>
      </c>
      <c r="C73" s="3">
        <v>3</v>
      </c>
      <c r="D73" s="3">
        <v>12</v>
      </c>
      <c r="E73" s="3" t="s">
        <v>8</v>
      </c>
      <c r="F73" s="4">
        <v>73.5</v>
      </c>
      <c r="G73" s="4"/>
      <c r="H73" s="4">
        <f t="shared" si="3"/>
        <v>73.5</v>
      </c>
    </row>
    <row r="74" ht="14.25" spans="1:8">
      <c r="A74" s="3" t="str">
        <f>"10102100313"</f>
        <v>10102100313</v>
      </c>
      <c r="B74" s="3">
        <v>1</v>
      </c>
      <c r="C74" s="3">
        <v>3</v>
      </c>
      <c r="D74" s="3">
        <v>13</v>
      </c>
      <c r="E74" s="3" t="s">
        <v>8</v>
      </c>
      <c r="F74" s="4">
        <v>72</v>
      </c>
      <c r="G74" s="4"/>
      <c r="H74" s="4">
        <f t="shared" si="3"/>
        <v>72</v>
      </c>
    </row>
    <row r="75" ht="14.25" spans="1:8">
      <c r="A75" s="3" t="str">
        <f>"10102100314"</f>
        <v>10102100314</v>
      </c>
      <c r="B75" s="3">
        <v>1</v>
      </c>
      <c r="C75" s="3">
        <v>3</v>
      </c>
      <c r="D75" s="3">
        <v>14</v>
      </c>
      <c r="E75" s="3" t="s">
        <v>8</v>
      </c>
      <c r="F75" s="4">
        <v>88</v>
      </c>
      <c r="G75" s="4"/>
      <c r="H75" s="4">
        <f t="shared" si="3"/>
        <v>88</v>
      </c>
    </row>
    <row r="76" ht="14.25" spans="1:8">
      <c r="A76" s="3" t="str">
        <f>"10102100315"</f>
        <v>10102100315</v>
      </c>
      <c r="B76" s="3">
        <v>1</v>
      </c>
      <c r="C76" s="3">
        <v>3</v>
      </c>
      <c r="D76" s="3">
        <v>15</v>
      </c>
      <c r="E76" s="3" t="s">
        <v>8</v>
      </c>
      <c r="F76" s="4">
        <v>77</v>
      </c>
      <c r="G76" s="4"/>
      <c r="H76" s="4">
        <f t="shared" si="3"/>
        <v>77</v>
      </c>
    </row>
    <row r="77" ht="14.25" spans="1:8">
      <c r="A77" s="3" t="str">
        <f>"10102100316"</f>
        <v>10102100316</v>
      </c>
      <c r="B77" s="3">
        <v>1</v>
      </c>
      <c r="C77" s="3">
        <v>3</v>
      </c>
      <c r="D77" s="3">
        <v>16</v>
      </c>
      <c r="E77" s="3" t="s">
        <v>8</v>
      </c>
      <c r="F77" s="4">
        <v>64.5</v>
      </c>
      <c r="G77" s="4"/>
      <c r="H77" s="4">
        <f t="shared" si="3"/>
        <v>64.5</v>
      </c>
    </row>
    <row r="78" ht="14.25" spans="1:8">
      <c r="A78" s="3" t="str">
        <f>"10102100317"</f>
        <v>10102100317</v>
      </c>
      <c r="B78" s="3">
        <v>1</v>
      </c>
      <c r="C78" s="3">
        <v>3</v>
      </c>
      <c r="D78" s="3">
        <v>17</v>
      </c>
      <c r="E78" s="3" t="s">
        <v>8</v>
      </c>
      <c r="F78" s="4">
        <v>85</v>
      </c>
      <c r="G78" s="4"/>
      <c r="H78" s="4">
        <f t="shared" si="3"/>
        <v>85</v>
      </c>
    </row>
    <row r="79" ht="14.25" spans="1:8">
      <c r="A79" s="3" t="str">
        <f>"10102100318"</f>
        <v>10102100318</v>
      </c>
      <c r="B79" s="3">
        <v>1</v>
      </c>
      <c r="C79" s="3">
        <v>3</v>
      </c>
      <c r="D79" s="3">
        <v>18</v>
      </c>
      <c r="E79" s="3" t="s">
        <v>8</v>
      </c>
      <c r="F79" s="4">
        <v>79.5</v>
      </c>
      <c r="G79" s="4"/>
      <c r="H79" s="4">
        <f t="shared" si="3"/>
        <v>79.5</v>
      </c>
    </row>
    <row r="80" ht="14.25" spans="1:8">
      <c r="A80" s="3" t="str">
        <f>"10102100319"</f>
        <v>10102100319</v>
      </c>
      <c r="B80" s="3">
        <v>1</v>
      </c>
      <c r="C80" s="3">
        <v>3</v>
      </c>
      <c r="D80" s="3">
        <v>19</v>
      </c>
      <c r="E80" s="3" t="s">
        <v>8</v>
      </c>
      <c r="F80" s="4">
        <v>79</v>
      </c>
      <c r="G80" s="4"/>
      <c r="H80" s="4">
        <f t="shared" si="3"/>
        <v>79</v>
      </c>
    </row>
    <row r="81" ht="14.25" spans="1:8">
      <c r="A81" s="3" t="str">
        <f>"10102100320"</f>
        <v>10102100320</v>
      </c>
      <c r="B81" s="3">
        <v>1</v>
      </c>
      <c r="C81" s="3">
        <v>3</v>
      </c>
      <c r="D81" s="3">
        <v>20</v>
      </c>
      <c r="E81" s="3" t="s">
        <v>8</v>
      </c>
      <c r="F81" s="4">
        <v>75</v>
      </c>
      <c r="G81" s="4"/>
      <c r="H81" s="4">
        <f t="shared" si="3"/>
        <v>75</v>
      </c>
    </row>
    <row r="82" ht="14.25" spans="1:8">
      <c r="A82" s="3" t="str">
        <f>"10102100321"</f>
        <v>10102100321</v>
      </c>
      <c r="B82" s="3">
        <v>1</v>
      </c>
      <c r="C82" s="3">
        <v>3</v>
      </c>
      <c r="D82" s="3">
        <v>21</v>
      </c>
      <c r="E82" s="3" t="s">
        <v>8</v>
      </c>
      <c r="F82" s="4">
        <v>80</v>
      </c>
      <c r="G82" s="4"/>
      <c r="H82" s="4">
        <f t="shared" si="3"/>
        <v>80</v>
      </c>
    </row>
    <row r="83" ht="14.25" spans="1:8">
      <c r="A83" s="3" t="str">
        <f>"10102100322"</f>
        <v>10102100322</v>
      </c>
      <c r="B83" s="3">
        <v>1</v>
      </c>
      <c r="C83" s="3">
        <v>3</v>
      </c>
      <c r="D83" s="3">
        <v>22</v>
      </c>
      <c r="E83" s="3" t="s">
        <v>8</v>
      </c>
      <c r="F83" s="4">
        <v>83</v>
      </c>
      <c r="G83" s="4"/>
      <c r="H83" s="4">
        <f t="shared" si="3"/>
        <v>83</v>
      </c>
    </row>
    <row r="84" ht="14.25" spans="1:8">
      <c r="A84" s="3" t="str">
        <f>"10102100323"</f>
        <v>10102100323</v>
      </c>
      <c r="B84" s="3">
        <v>1</v>
      </c>
      <c r="C84" s="3">
        <v>3</v>
      </c>
      <c r="D84" s="3">
        <v>23</v>
      </c>
      <c r="E84" s="3" t="s">
        <v>8</v>
      </c>
      <c r="F84" s="4">
        <v>80.5</v>
      </c>
      <c r="G84" s="4"/>
      <c r="H84" s="4">
        <f t="shared" si="3"/>
        <v>80.5</v>
      </c>
    </row>
    <row r="85" ht="14.25" spans="1:8">
      <c r="A85" s="3" t="str">
        <f>"10102100324"</f>
        <v>10102100324</v>
      </c>
      <c r="B85" s="3">
        <v>1</v>
      </c>
      <c r="C85" s="3">
        <v>3</v>
      </c>
      <c r="D85" s="3">
        <v>24</v>
      </c>
      <c r="E85" s="3" t="s">
        <v>8</v>
      </c>
      <c r="F85" s="4">
        <v>76</v>
      </c>
      <c r="G85" s="4"/>
      <c r="H85" s="4">
        <f t="shared" si="3"/>
        <v>76</v>
      </c>
    </row>
    <row r="86" ht="14.25" spans="1:8">
      <c r="A86" s="3" t="str">
        <f>"10102100325"</f>
        <v>10102100325</v>
      </c>
      <c r="B86" s="3">
        <v>1</v>
      </c>
      <c r="C86" s="3">
        <v>3</v>
      </c>
      <c r="D86" s="3">
        <v>25</v>
      </c>
      <c r="E86" s="3" t="s">
        <v>8</v>
      </c>
      <c r="F86" s="4">
        <v>54.5</v>
      </c>
      <c r="G86" s="4"/>
      <c r="H86" s="4">
        <f t="shared" si="3"/>
        <v>54.5</v>
      </c>
    </row>
    <row r="87" ht="14.25" spans="1:8">
      <c r="A87" s="3" t="str">
        <f>"10102100326"</f>
        <v>10102100326</v>
      </c>
      <c r="B87" s="3">
        <v>1</v>
      </c>
      <c r="C87" s="3">
        <v>3</v>
      </c>
      <c r="D87" s="3">
        <v>26</v>
      </c>
      <c r="E87" s="3" t="s">
        <v>8</v>
      </c>
      <c r="F87" s="4">
        <v>75</v>
      </c>
      <c r="G87" s="4"/>
      <c r="H87" s="4">
        <f t="shared" si="3"/>
        <v>75</v>
      </c>
    </row>
    <row r="88" ht="14.25" spans="1:8">
      <c r="A88" s="3" t="str">
        <f>"10102100327"</f>
        <v>10102100327</v>
      </c>
      <c r="B88" s="3">
        <v>1</v>
      </c>
      <c r="C88" s="3">
        <v>3</v>
      </c>
      <c r="D88" s="3">
        <v>27</v>
      </c>
      <c r="E88" s="3" t="s">
        <v>8</v>
      </c>
      <c r="F88" s="4">
        <v>81</v>
      </c>
      <c r="G88" s="4"/>
      <c r="H88" s="4">
        <f t="shared" si="3"/>
        <v>81</v>
      </c>
    </row>
    <row r="89" ht="14.25" spans="1:8">
      <c r="A89" s="3" t="str">
        <f>"10102100328"</f>
        <v>10102100328</v>
      </c>
      <c r="B89" s="3">
        <v>1</v>
      </c>
      <c r="C89" s="3">
        <v>3</v>
      </c>
      <c r="D89" s="3">
        <v>28</v>
      </c>
      <c r="E89" s="3" t="s">
        <v>8</v>
      </c>
      <c r="F89" s="3">
        <v>0</v>
      </c>
      <c r="G89" s="4"/>
      <c r="H89" s="3">
        <v>0</v>
      </c>
    </row>
    <row r="90" ht="14.25" spans="1:8">
      <c r="A90" s="3" t="str">
        <f>"10102100329"</f>
        <v>10102100329</v>
      </c>
      <c r="B90" s="3">
        <v>1</v>
      </c>
      <c r="C90" s="3">
        <v>3</v>
      </c>
      <c r="D90" s="3">
        <v>29</v>
      </c>
      <c r="E90" s="3" t="s">
        <v>8</v>
      </c>
      <c r="F90" s="4">
        <v>78.5</v>
      </c>
      <c r="G90" s="4"/>
      <c r="H90" s="4">
        <f t="shared" ref="H90:H132" si="4">F90+G90</f>
        <v>78.5</v>
      </c>
    </row>
    <row r="91" ht="14.25" spans="1:8">
      <c r="A91" s="3" t="str">
        <f>"10102100330"</f>
        <v>10102100330</v>
      </c>
      <c r="B91" s="3">
        <v>1</v>
      </c>
      <c r="C91" s="3">
        <v>3</v>
      </c>
      <c r="D91" s="3">
        <v>30</v>
      </c>
      <c r="E91" s="3" t="s">
        <v>8</v>
      </c>
      <c r="F91" s="4">
        <v>70</v>
      </c>
      <c r="G91" s="4"/>
      <c r="H91" s="4">
        <f t="shared" si="4"/>
        <v>70</v>
      </c>
    </row>
    <row r="92" ht="14.25" spans="1:8">
      <c r="A92" s="3" t="str">
        <f>"10102100401"</f>
        <v>10102100401</v>
      </c>
      <c r="B92" s="3">
        <v>1</v>
      </c>
      <c r="C92" s="3">
        <v>4</v>
      </c>
      <c r="D92" s="3">
        <v>1</v>
      </c>
      <c r="E92" s="3" t="s">
        <v>8</v>
      </c>
      <c r="F92" s="4">
        <v>63.5</v>
      </c>
      <c r="G92" s="4"/>
      <c r="H92" s="4">
        <f t="shared" si="4"/>
        <v>63.5</v>
      </c>
    </row>
    <row r="93" ht="14.25" spans="1:8">
      <c r="A93" s="3" t="str">
        <f>"10102100402"</f>
        <v>10102100402</v>
      </c>
      <c r="B93" s="3">
        <v>1</v>
      </c>
      <c r="C93" s="3">
        <v>4</v>
      </c>
      <c r="D93" s="3">
        <v>2</v>
      </c>
      <c r="E93" s="3" t="s">
        <v>8</v>
      </c>
      <c r="F93" s="4">
        <v>72.5</v>
      </c>
      <c r="G93" s="4"/>
      <c r="H93" s="4">
        <f t="shared" si="4"/>
        <v>72.5</v>
      </c>
    </row>
    <row r="94" ht="14.25" spans="1:8">
      <c r="A94" s="3" t="str">
        <f>"10102100403"</f>
        <v>10102100403</v>
      </c>
      <c r="B94" s="3">
        <v>1</v>
      </c>
      <c r="C94" s="3">
        <v>4</v>
      </c>
      <c r="D94" s="3">
        <v>3</v>
      </c>
      <c r="E94" s="3" t="s">
        <v>8</v>
      </c>
      <c r="F94" s="4">
        <v>54</v>
      </c>
      <c r="G94" s="4"/>
      <c r="H94" s="4">
        <f t="shared" si="4"/>
        <v>54</v>
      </c>
    </row>
    <row r="95" ht="14.25" spans="1:8">
      <c r="A95" s="3" t="str">
        <f>"10102100404"</f>
        <v>10102100404</v>
      </c>
      <c r="B95" s="3">
        <v>1</v>
      </c>
      <c r="C95" s="3">
        <v>4</v>
      </c>
      <c r="D95" s="3">
        <v>4</v>
      </c>
      <c r="E95" s="3" t="s">
        <v>8</v>
      </c>
      <c r="F95" s="4">
        <v>64</v>
      </c>
      <c r="G95" s="4"/>
      <c r="H95" s="4">
        <f t="shared" si="4"/>
        <v>64</v>
      </c>
    </row>
    <row r="96" ht="14.25" spans="1:8">
      <c r="A96" s="3" t="str">
        <f>"10102100405"</f>
        <v>10102100405</v>
      </c>
      <c r="B96" s="3">
        <v>1</v>
      </c>
      <c r="C96" s="3">
        <v>4</v>
      </c>
      <c r="D96" s="3">
        <v>5</v>
      </c>
      <c r="E96" s="3" t="s">
        <v>8</v>
      </c>
      <c r="F96" s="4">
        <v>86</v>
      </c>
      <c r="G96" s="4"/>
      <c r="H96" s="4">
        <f t="shared" si="4"/>
        <v>86</v>
      </c>
    </row>
    <row r="97" ht="14.25" spans="1:8">
      <c r="A97" s="3" t="str">
        <f>"10102100406"</f>
        <v>10102100406</v>
      </c>
      <c r="B97" s="3">
        <v>1</v>
      </c>
      <c r="C97" s="3">
        <v>4</v>
      </c>
      <c r="D97" s="3">
        <v>6</v>
      </c>
      <c r="E97" s="3" t="s">
        <v>8</v>
      </c>
      <c r="F97" s="4">
        <v>86</v>
      </c>
      <c r="G97" s="4"/>
      <c r="H97" s="4">
        <f t="shared" si="4"/>
        <v>86</v>
      </c>
    </row>
    <row r="98" ht="14.25" spans="1:8">
      <c r="A98" s="3" t="str">
        <f>"10102100407"</f>
        <v>10102100407</v>
      </c>
      <c r="B98" s="3">
        <v>1</v>
      </c>
      <c r="C98" s="3">
        <v>4</v>
      </c>
      <c r="D98" s="3">
        <v>7</v>
      </c>
      <c r="E98" s="3" t="s">
        <v>8</v>
      </c>
      <c r="F98" s="4">
        <v>88.5</v>
      </c>
      <c r="G98" s="4"/>
      <c r="H98" s="4">
        <f t="shared" si="4"/>
        <v>88.5</v>
      </c>
    </row>
    <row r="99" ht="14.25" spans="1:8">
      <c r="A99" s="3" t="str">
        <f>"10102100408"</f>
        <v>10102100408</v>
      </c>
      <c r="B99" s="3">
        <v>1</v>
      </c>
      <c r="C99" s="3">
        <v>4</v>
      </c>
      <c r="D99" s="3">
        <v>8</v>
      </c>
      <c r="E99" s="3" t="s">
        <v>8</v>
      </c>
      <c r="F99" s="4">
        <v>76.5</v>
      </c>
      <c r="G99" s="4"/>
      <c r="H99" s="4">
        <f t="shared" si="4"/>
        <v>76.5</v>
      </c>
    </row>
    <row r="100" ht="14.25" spans="1:8">
      <c r="A100" s="3" t="str">
        <f>"10102100409"</f>
        <v>10102100409</v>
      </c>
      <c r="B100" s="3">
        <v>1</v>
      </c>
      <c r="C100" s="3">
        <v>4</v>
      </c>
      <c r="D100" s="3">
        <v>9</v>
      </c>
      <c r="E100" s="3" t="s">
        <v>8</v>
      </c>
      <c r="F100" s="4">
        <v>80</v>
      </c>
      <c r="G100" s="4"/>
      <c r="H100" s="4">
        <f t="shared" si="4"/>
        <v>80</v>
      </c>
    </row>
    <row r="101" ht="14.25" spans="1:8">
      <c r="A101" s="3" t="str">
        <f>"10102100410"</f>
        <v>10102100410</v>
      </c>
      <c r="B101" s="3">
        <v>1</v>
      </c>
      <c r="C101" s="3">
        <v>4</v>
      </c>
      <c r="D101" s="3">
        <v>10</v>
      </c>
      <c r="E101" s="3" t="s">
        <v>8</v>
      </c>
      <c r="F101" s="4">
        <v>66.5</v>
      </c>
      <c r="G101" s="4"/>
      <c r="H101" s="4">
        <f t="shared" si="4"/>
        <v>66.5</v>
      </c>
    </row>
    <row r="102" ht="14.25" spans="1:8">
      <c r="A102" s="3" t="str">
        <f>"10102100411"</f>
        <v>10102100411</v>
      </c>
      <c r="B102" s="3">
        <v>1</v>
      </c>
      <c r="C102" s="3">
        <v>4</v>
      </c>
      <c r="D102" s="3">
        <v>11</v>
      </c>
      <c r="E102" s="3" t="s">
        <v>8</v>
      </c>
      <c r="F102" s="4">
        <v>46.5</v>
      </c>
      <c r="G102" s="4"/>
      <c r="H102" s="4">
        <f t="shared" si="4"/>
        <v>46.5</v>
      </c>
    </row>
    <row r="103" ht="14.25" spans="1:8">
      <c r="A103" s="3" t="str">
        <f>"10102100412"</f>
        <v>10102100412</v>
      </c>
      <c r="B103" s="3">
        <v>1</v>
      </c>
      <c r="C103" s="3">
        <v>4</v>
      </c>
      <c r="D103" s="3">
        <v>12</v>
      </c>
      <c r="E103" s="3" t="s">
        <v>8</v>
      </c>
      <c r="F103" s="4">
        <v>67.5</v>
      </c>
      <c r="G103" s="4"/>
      <c r="H103" s="4">
        <f t="shared" si="4"/>
        <v>67.5</v>
      </c>
    </row>
    <row r="104" ht="14.25" spans="1:8">
      <c r="A104" s="3" t="str">
        <f>"10102100413"</f>
        <v>10102100413</v>
      </c>
      <c r="B104" s="3">
        <v>1</v>
      </c>
      <c r="C104" s="3">
        <v>4</v>
      </c>
      <c r="D104" s="3">
        <v>13</v>
      </c>
      <c r="E104" s="3" t="s">
        <v>8</v>
      </c>
      <c r="F104" s="4">
        <v>79</v>
      </c>
      <c r="G104" s="4"/>
      <c r="H104" s="4">
        <f t="shared" si="4"/>
        <v>79</v>
      </c>
    </row>
    <row r="105" ht="14.25" spans="1:8">
      <c r="A105" s="3" t="str">
        <f>"10102100414"</f>
        <v>10102100414</v>
      </c>
      <c r="B105" s="3">
        <v>1</v>
      </c>
      <c r="C105" s="3">
        <v>4</v>
      </c>
      <c r="D105" s="3">
        <v>14</v>
      </c>
      <c r="E105" s="3" t="s">
        <v>8</v>
      </c>
      <c r="F105" s="4">
        <v>52</v>
      </c>
      <c r="G105" s="4"/>
      <c r="H105" s="4">
        <f t="shared" si="4"/>
        <v>52</v>
      </c>
    </row>
    <row r="106" ht="14.25" spans="1:8">
      <c r="A106" s="3" t="str">
        <f>"10102100415"</f>
        <v>10102100415</v>
      </c>
      <c r="B106" s="3">
        <v>1</v>
      </c>
      <c r="C106" s="3">
        <v>4</v>
      </c>
      <c r="D106" s="3">
        <v>15</v>
      </c>
      <c r="E106" s="3" t="s">
        <v>8</v>
      </c>
      <c r="F106" s="4">
        <v>79.5</v>
      </c>
      <c r="G106" s="4"/>
      <c r="H106" s="4">
        <f t="shared" si="4"/>
        <v>79.5</v>
      </c>
    </row>
    <row r="107" ht="14.25" spans="1:8">
      <c r="A107" s="3" t="str">
        <f>"10102100416"</f>
        <v>10102100416</v>
      </c>
      <c r="B107" s="3">
        <v>1</v>
      </c>
      <c r="C107" s="3">
        <v>4</v>
      </c>
      <c r="D107" s="3">
        <v>16</v>
      </c>
      <c r="E107" s="3" t="s">
        <v>8</v>
      </c>
      <c r="F107" s="4">
        <v>53.5</v>
      </c>
      <c r="G107" s="4"/>
      <c r="H107" s="4">
        <f t="shared" si="4"/>
        <v>53.5</v>
      </c>
    </row>
    <row r="108" ht="14.25" spans="1:8">
      <c r="A108" s="3" t="str">
        <f>"10102100417"</f>
        <v>10102100417</v>
      </c>
      <c r="B108" s="3">
        <v>1</v>
      </c>
      <c r="C108" s="3">
        <v>4</v>
      </c>
      <c r="D108" s="3">
        <v>17</v>
      </c>
      <c r="E108" s="3" t="s">
        <v>8</v>
      </c>
      <c r="F108" s="4">
        <v>69</v>
      </c>
      <c r="G108" s="4"/>
      <c r="H108" s="4">
        <f t="shared" si="4"/>
        <v>69</v>
      </c>
    </row>
    <row r="109" ht="14.25" spans="1:8">
      <c r="A109" s="3" t="str">
        <f>"10102100418"</f>
        <v>10102100418</v>
      </c>
      <c r="B109" s="3">
        <v>1</v>
      </c>
      <c r="C109" s="3">
        <v>4</v>
      </c>
      <c r="D109" s="3">
        <v>18</v>
      </c>
      <c r="E109" s="3" t="s">
        <v>8</v>
      </c>
      <c r="F109" s="4">
        <v>48</v>
      </c>
      <c r="G109" s="4"/>
      <c r="H109" s="4">
        <f t="shared" si="4"/>
        <v>48</v>
      </c>
    </row>
    <row r="110" ht="14.25" spans="1:8">
      <c r="A110" s="3" t="str">
        <f>"10102100419"</f>
        <v>10102100419</v>
      </c>
      <c r="B110" s="3">
        <v>1</v>
      </c>
      <c r="C110" s="3">
        <v>4</v>
      </c>
      <c r="D110" s="3">
        <v>19</v>
      </c>
      <c r="E110" s="3" t="s">
        <v>8</v>
      </c>
      <c r="F110" s="4">
        <v>82.5</v>
      </c>
      <c r="G110" s="4"/>
      <c r="H110" s="4">
        <f t="shared" si="4"/>
        <v>82.5</v>
      </c>
    </row>
    <row r="111" ht="14.25" spans="1:8">
      <c r="A111" s="3" t="str">
        <f>"10102100420"</f>
        <v>10102100420</v>
      </c>
      <c r="B111" s="3">
        <v>1</v>
      </c>
      <c r="C111" s="3">
        <v>4</v>
      </c>
      <c r="D111" s="3">
        <v>20</v>
      </c>
      <c r="E111" s="3" t="s">
        <v>8</v>
      </c>
      <c r="F111" s="4">
        <v>63</v>
      </c>
      <c r="G111" s="4"/>
      <c r="H111" s="4">
        <f t="shared" si="4"/>
        <v>63</v>
      </c>
    </row>
    <row r="112" ht="14.25" spans="1:8">
      <c r="A112" s="3" t="str">
        <f>"10102100421"</f>
        <v>10102100421</v>
      </c>
      <c r="B112" s="3">
        <v>1</v>
      </c>
      <c r="C112" s="3">
        <v>4</v>
      </c>
      <c r="D112" s="3">
        <v>21</v>
      </c>
      <c r="E112" s="3" t="s">
        <v>8</v>
      </c>
      <c r="F112" s="4">
        <v>82</v>
      </c>
      <c r="G112" s="4"/>
      <c r="H112" s="4">
        <f t="shared" si="4"/>
        <v>82</v>
      </c>
    </row>
    <row r="113" ht="14.25" spans="1:8">
      <c r="A113" s="3" t="str">
        <f>"10102100422"</f>
        <v>10102100422</v>
      </c>
      <c r="B113" s="3">
        <v>1</v>
      </c>
      <c r="C113" s="3">
        <v>4</v>
      </c>
      <c r="D113" s="3">
        <v>22</v>
      </c>
      <c r="E113" s="3" t="s">
        <v>8</v>
      </c>
      <c r="F113" s="4">
        <v>79</v>
      </c>
      <c r="G113" s="4"/>
      <c r="H113" s="4">
        <f t="shared" si="4"/>
        <v>79</v>
      </c>
    </row>
    <row r="114" ht="14.25" spans="1:8">
      <c r="A114" s="3" t="str">
        <f>"10102100423"</f>
        <v>10102100423</v>
      </c>
      <c r="B114" s="3">
        <v>1</v>
      </c>
      <c r="C114" s="3">
        <v>4</v>
      </c>
      <c r="D114" s="3">
        <v>23</v>
      </c>
      <c r="E114" s="3" t="s">
        <v>8</v>
      </c>
      <c r="F114" s="4">
        <v>52.5</v>
      </c>
      <c r="G114" s="4"/>
      <c r="H114" s="4">
        <f t="shared" si="4"/>
        <v>52.5</v>
      </c>
    </row>
    <row r="115" ht="14.25" spans="1:8">
      <c r="A115" s="3" t="str">
        <f>"10103100424"</f>
        <v>10103100424</v>
      </c>
      <c r="B115" s="3">
        <v>1</v>
      </c>
      <c r="C115" s="3">
        <v>4</v>
      </c>
      <c r="D115" s="3">
        <v>24</v>
      </c>
      <c r="E115" s="3" t="s">
        <v>8</v>
      </c>
      <c r="F115" s="4">
        <v>61.5</v>
      </c>
      <c r="G115" s="4"/>
      <c r="H115" s="4">
        <f t="shared" si="4"/>
        <v>61.5</v>
      </c>
    </row>
    <row r="116" ht="14.25" spans="1:8">
      <c r="A116" s="3" t="str">
        <f>"10103100425"</f>
        <v>10103100425</v>
      </c>
      <c r="B116" s="3">
        <v>1</v>
      </c>
      <c r="C116" s="3">
        <v>4</v>
      </c>
      <c r="D116" s="3">
        <v>25</v>
      </c>
      <c r="E116" s="3" t="s">
        <v>8</v>
      </c>
      <c r="F116" s="4">
        <v>80</v>
      </c>
      <c r="G116" s="4"/>
      <c r="H116" s="4">
        <f t="shared" si="4"/>
        <v>80</v>
      </c>
    </row>
    <row r="117" ht="14.25" spans="1:8">
      <c r="A117" s="3" t="str">
        <f>"10103100426"</f>
        <v>10103100426</v>
      </c>
      <c r="B117" s="3">
        <v>1</v>
      </c>
      <c r="C117" s="3">
        <v>4</v>
      </c>
      <c r="D117" s="3">
        <v>26</v>
      </c>
      <c r="E117" s="3" t="s">
        <v>8</v>
      </c>
      <c r="F117" s="4">
        <v>77</v>
      </c>
      <c r="G117" s="4"/>
      <c r="H117" s="4">
        <f t="shared" si="4"/>
        <v>77</v>
      </c>
    </row>
    <row r="118" ht="14.25" spans="1:8">
      <c r="A118" s="3" t="str">
        <f>"10103100427"</f>
        <v>10103100427</v>
      </c>
      <c r="B118" s="3">
        <v>1</v>
      </c>
      <c r="C118" s="3">
        <v>4</v>
      </c>
      <c r="D118" s="3">
        <v>27</v>
      </c>
      <c r="E118" s="3" t="s">
        <v>8</v>
      </c>
      <c r="F118" s="4">
        <v>74.5</v>
      </c>
      <c r="G118" s="4"/>
      <c r="H118" s="4">
        <f t="shared" si="4"/>
        <v>74.5</v>
      </c>
    </row>
    <row r="119" ht="14.25" spans="1:8">
      <c r="A119" s="3" t="str">
        <f>"10103100428"</f>
        <v>10103100428</v>
      </c>
      <c r="B119" s="3">
        <v>1</v>
      </c>
      <c r="C119" s="3">
        <v>4</v>
      </c>
      <c r="D119" s="3">
        <v>28</v>
      </c>
      <c r="E119" s="3" t="s">
        <v>8</v>
      </c>
      <c r="F119" s="4">
        <v>71.5</v>
      </c>
      <c r="G119" s="4"/>
      <c r="H119" s="4">
        <f t="shared" si="4"/>
        <v>71.5</v>
      </c>
    </row>
    <row r="120" ht="14.25" spans="1:8">
      <c r="A120" s="3" t="str">
        <f>"10103100429"</f>
        <v>10103100429</v>
      </c>
      <c r="B120" s="3">
        <v>1</v>
      </c>
      <c r="C120" s="3">
        <v>4</v>
      </c>
      <c r="D120" s="3">
        <v>29</v>
      </c>
      <c r="E120" s="3" t="s">
        <v>8</v>
      </c>
      <c r="F120" s="4">
        <v>52</v>
      </c>
      <c r="G120" s="4"/>
      <c r="H120" s="4">
        <f t="shared" si="4"/>
        <v>52</v>
      </c>
    </row>
    <row r="121" ht="14.25" spans="1:8">
      <c r="A121" s="3" t="str">
        <f>"10103100430"</f>
        <v>10103100430</v>
      </c>
      <c r="B121" s="3">
        <v>1</v>
      </c>
      <c r="C121" s="3">
        <v>4</v>
      </c>
      <c r="D121" s="3">
        <v>30</v>
      </c>
      <c r="E121" s="3" t="s">
        <v>8</v>
      </c>
      <c r="F121" s="4">
        <v>68</v>
      </c>
      <c r="G121" s="4"/>
      <c r="H121" s="4">
        <f t="shared" si="4"/>
        <v>68</v>
      </c>
    </row>
    <row r="122" ht="14.25" spans="1:8">
      <c r="A122" s="3" t="str">
        <f>"10103100501"</f>
        <v>10103100501</v>
      </c>
      <c r="B122" s="3">
        <v>1</v>
      </c>
      <c r="C122" s="3">
        <v>5</v>
      </c>
      <c r="D122" s="3">
        <v>1</v>
      </c>
      <c r="E122" s="3" t="s">
        <v>8</v>
      </c>
      <c r="F122" s="4">
        <v>87.5</v>
      </c>
      <c r="G122" s="4"/>
      <c r="H122" s="4">
        <f t="shared" si="4"/>
        <v>87.5</v>
      </c>
    </row>
    <row r="123" ht="14.25" spans="1:8">
      <c r="A123" s="3" t="str">
        <f>"10103100502"</f>
        <v>10103100502</v>
      </c>
      <c r="B123" s="3">
        <v>1</v>
      </c>
      <c r="C123" s="3">
        <v>5</v>
      </c>
      <c r="D123" s="3">
        <v>2</v>
      </c>
      <c r="E123" s="3" t="s">
        <v>8</v>
      </c>
      <c r="F123" s="4">
        <v>79.5</v>
      </c>
      <c r="G123" s="4"/>
      <c r="H123" s="4">
        <f t="shared" si="4"/>
        <v>79.5</v>
      </c>
    </row>
    <row r="124" ht="14.25" spans="1:8">
      <c r="A124" s="3" t="str">
        <f>"10103100503"</f>
        <v>10103100503</v>
      </c>
      <c r="B124" s="3">
        <v>1</v>
      </c>
      <c r="C124" s="3">
        <v>5</v>
      </c>
      <c r="D124" s="3">
        <v>3</v>
      </c>
      <c r="E124" s="3" t="s">
        <v>8</v>
      </c>
      <c r="F124" s="4">
        <v>60.5</v>
      </c>
      <c r="G124" s="4"/>
      <c r="H124" s="4">
        <f t="shared" si="4"/>
        <v>60.5</v>
      </c>
    </row>
    <row r="125" ht="14.25" spans="1:8">
      <c r="A125" s="3" t="str">
        <f>"10103100504"</f>
        <v>10103100504</v>
      </c>
      <c r="B125" s="3">
        <v>1</v>
      </c>
      <c r="C125" s="3">
        <v>5</v>
      </c>
      <c r="D125" s="3">
        <v>4</v>
      </c>
      <c r="E125" s="3" t="s">
        <v>8</v>
      </c>
      <c r="F125" s="4">
        <v>70.5</v>
      </c>
      <c r="G125" s="4"/>
      <c r="H125" s="4">
        <f t="shared" si="4"/>
        <v>70.5</v>
      </c>
    </row>
    <row r="126" ht="14.25" spans="1:8">
      <c r="A126" s="3" t="str">
        <f>"10103100505"</f>
        <v>10103100505</v>
      </c>
      <c r="B126" s="3">
        <v>1</v>
      </c>
      <c r="C126" s="3">
        <v>5</v>
      </c>
      <c r="D126" s="3">
        <v>5</v>
      </c>
      <c r="E126" s="3" t="s">
        <v>8</v>
      </c>
      <c r="F126" s="4">
        <v>44.5</v>
      </c>
      <c r="G126" s="4"/>
      <c r="H126" s="4">
        <f t="shared" si="4"/>
        <v>44.5</v>
      </c>
    </row>
    <row r="127" ht="14.25" spans="1:8">
      <c r="A127" s="3" t="str">
        <f>"10103100506"</f>
        <v>10103100506</v>
      </c>
      <c r="B127" s="3">
        <v>1</v>
      </c>
      <c r="C127" s="3">
        <v>5</v>
      </c>
      <c r="D127" s="3">
        <v>6</v>
      </c>
      <c r="E127" s="3" t="s">
        <v>8</v>
      </c>
      <c r="F127" s="4">
        <v>69.5</v>
      </c>
      <c r="G127" s="4"/>
      <c r="H127" s="4">
        <f t="shared" si="4"/>
        <v>69.5</v>
      </c>
    </row>
    <row r="128" ht="14.25" spans="1:8">
      <c r="A128" s="3" t="str">
        <f>"10103100507"</f>
        <v>10103100507</v>
      </c>
      <c r="B128" s="3">
        <v>1</v>
      </c>
      <c r="C128" s="3">
        <v>5</v>
      </c>
      <c r="D128" s="3">
        <v>7</v>
      </c>
      <c r="E128" s="3" t="s">
        <v>8</v>
      </c>
      <c r="F128" s="4">
        <v>57</v>
      </c>
      <c r="G128" s="4"/>
      <c r="H128" s="4">
        <f t="shared" si="4"/>
        <v>57</v>
      </c>
    </row>
    <row r="129" ht="14.25" spans="1:8">
      <c r="A129" s="3" t="str">
        <f>"10104100508"</f>
        <v>10104100508</v>
      </c>
      <c r="B129" s="3">
        <v>1</v>
      </c>
      <c r="C129" s="3">
        <v>5</v>
      </c>
      <c r="D129" s="3">
        <v>8</v>
      </c>
      <c r="E129" s="3" t="s">
        <v>8</v>
      </c>
      <c r="F129" s="4">
        <v>58</v>
      </c>
      <c r="G129" s="4"/>
      <c r="H129" s="4">
        <f t="shared" si="4"/>
        <v>58</v>
      </c>
    </row>
    <row r="130" ht="14.25" spans="1:8">
      <c r="A130" s="3" t="str">
        <f>"10104100509"</f>
        <v>10104100509</v>
      </c>
      <c r="B130" s="3">
        <v>1</v>
      </c>
      <c r="C130" s="3">
        <v>5</v>
      </c>
      <c r="D130" s="3">
        <v>9</v>
      </c>
      <c r="E130" s="3" t="s">
        <v>8</v>
      </c>
      <c r="F130" s="4">
        <v>63</v>
      </c>
      <c r="G130" s="4"/>
      <c r="H130" s="4">
        <f t="shared" si="4"/>
        <v>63</v>
      </c>
    </row>
    <row r="131" ht="14.25" spans="1:8">
      <c r="A131" s="3" t="str">
        <f>"10104100510"</f>
        <v>10104100510</v>
      </c>
      <c r="B131" s="3">
        <v>1</v>
      </c>
      <c r="C131" s="3">
        <v>5</v>
      </c>
      <c r="D131" s="3">
        <v>10</v>
      </c>
      <c r="E131" s="3" t="s">
        <v>8</v>
      </c>
      <c r="F131" s="4">
        <v>66.5</v>
      </c>
      <c r="G131" s="4"/>
      <c r="H131" s="4">
        <f t="shared" si="4"/>
        <v>66.5</v>
      </c>
    </row>
    <row r="132" ht="14.25" spans="1:8">
      <c r="A132" s="3" t="str">
        <f>"10104100511"</f>
        <v>10104100511</v>
      </c>
      <c r="B132" s="3">
        <v>1</v>
      </c>
      <c r="C132" s="3">
        <v>5</v>
      </c>
      <c r="D132" s="3">
        <v>11</v>
      </c>
      <c r="E132" s="3" t="s">
        <v>8</v>
      </c>
      <c r="F132" s="4">
        <v>87.5</v>
      </c>
      <c r="G132" s="4"/>
      <c r="H132" s="4">
        <f t="shared" si="4"/>
        <v>87.5</v>
      </c>
    </row>
    <row r="133" ht="14.25" spans="1:8">
      <c r="A133" s="3" t="str">
        <f>"10104100512"</f>
        <v>10104100512</v>
      </c>
      <c r="B133" s="3">
        <v>1</v>
      </c>
      <c r="C133" s="3">
        <v>5</v>
      </c>
      <c r="D133" s="3">
        <v>12</v>
      </c>
      <c r="E133" s="3" t="s">
        <v>8</v>
      </c>
      <c r="F133" s="3">
        <v>0</v>
      </c>
      <c r="G133" s="4"/>
      <c r="H133" s="3">
        <v>0</v>
      </c>
    </row>
    <row r="134" ht="14.25" spans="1:8">
      <c r="A134" s="3" t="str">
        <f>"10105100513"</f>
        <v>10105100513</v>
      </c>
      <c r="B134" s="3">
        <v>1</v>
      </c>
      <c r="C134" s="3">
        <v>5</v>
      </c>
      <c r="D134" s="3">
        <v>13</v>
      </c>
      <c r="E134" s="3" t="s">
        <v>8</v>
      </c>
      <c r="F134" s="4">
        <v>66</v>
      </c>
      <c r="G134" s="4"/>
      <c r="H134" s="4">
        <f t="shared" ref="H134:H137" si="5">F134+G134</f>
        <v>66</v>
      </c>
    </row>
    <row r="135" ht="14.25" spans="1:8">
      <c r="A135" s="3" t="str">
        <f>"10105100514"</f>
        <v>10105100514</v>
      </c>
      <c r="B135" s="3">
        <v>1</v>
      </c>
      <c r="C135" s="3">
        <v>5</v>
      </c>
      <c r="D135" s="3">
        <v>14</v>
      </c>
      <c r="E135" s="3" t="s">
        <v>8</v>
      </c>
      <c r="F135" s="4">
        <v>56</v>
      </c>
      <c r="G135" s="4"/>
      <c r="H135" s="4">
        <f t="shared" si="5"/>
        <v>56</v>
      </c>
    </row>
    <row r="136" ht="14.25" spans="1:8">
      <c r="A136" s="3" t="str">
        <f>"10105100515"</f>
        <v>10105100515</v>
      </c>
      <c r="B136" s="3">
        <v>1</v>
      </c>
      <c r="C136" s="3">
        <v>5</v>
      </c>
      <c r="D136" s="3">
        <v>15</v>
      </c>
      <c r="E136" s="3" t="s">
        <v>8</v>
      </c>
      <c r="F136" s="4">
        <v>35.5</v>
      </c>
      <c r="G136" s="4"/>
      <c r="H136" s="4">
        <f t="shared" si="5"/>
        <v>35.5</v>
      </c>
    </row>
    <row r="137" ht="14.25" spans="1:8">
      <c r="A137" s="3" t="str">
        <f>"10105100516"</f>
        <v>10105100516</v>
      </c>
      <c r="B137" s="3">
        <v>1</v>
      </c>
      <c r="C137" s="3">
        <v>5</v>
      </c>
      <c r="D137" s="3">
        <v>16</v>
      </c>
      <c r="E137" s="3" t="s">
        <v>8</v>
      </c>
      <c r="F137" s="4">
        <v>53.5</v>
      </c>
      <c r="G137" s="4"/>
      <c r="H137" s="4">
        <f t="shared" si="5"/>
        <v>53.5</v>
      </c>
    </row>
    <row r="138" ht="14.25" spans="1:8">
      <c r="A138" s="3" t="str">
        <f>"10105100517"</f>
        <v>10105100517</v>
      </c>
      <c r="B138" s="3">
        <v>1</v>
      </c>
      <c r="C138" s="3">
        <v>5</v>
      </c>
      <c r="D138" s="3">
        <v>17</v>
      </c>
      <c r="E138" s="3" t="s">
        <v>8</v>
      </c>
      <c r="F138" s="3">
        <v>0</v>
      </c>
      <c r="G138" s="4"/>
      <c r="H138" s="3">
        <v>0</v>
      </c>
    </row>
    <row r="139" ht="14.25" spans="1:8">
      <c r="A139" s="3" t="str">
        <f>"10105100518"</f>
        <v>10105100518</v>
      </c>
      <c r="B139" s="3">
        <v>1</v>
      </c>
      <c r="C139" s="3">
        <v>5</v>
      </c>
      <c r="D139" s="3">
        <v>18</v>
      </c>
      <c r="E139" s="3" t="s">
        <v>8</v>
      </c>
      <c r="F139" s="4">
        <v>69</v>
      </c>
      <c r="G139" s="4"/>
      <c r="H139" s="4">
        <f t="shared" ref="H139:H144" si="6">F139+G139</f>
        <v>69</v>
      </c>
    </row>
    <row r="140" ht="14.25" spans="1:8">
      <c r="A140" s="3" t="str">
        <f>"10105100519"</f>
        <v>10105100519</v>
      </c>
      <c r="B140" s="3">
        <v>1</v>
      </c>
      <c r="C140" s="3">
        <v>5</v>
      </c>
      <c r="D140" s="3">
        <v>19</v>
      </c>
      <c r="E140" s="3" t="s">
        <v>8</v>
      </c>
      <c r="F140" s="4">
        <v>48</v>
      </c>
      <c r="G140" s="4"/>
      <c r="H140" s="4">
        <f t="shared" si="6"/>
        <v>48</v>
      </c>
    </row>
    <row r="141" ht="14.25" spans="1:8">
      <c r="A141" s="3" t="str">
        <f>"10106100520"</f>
        <v>10106100520</v>
      </c>
      <c r="B141" s="3">
        <v>1</v>
      </c>
      <c r="C141" s="3">
        <v>5</v>
      </c>
      <c r="D141" s="3">
        <v>20</v>
      </c>
      <c r="E141" s="3" t="s">
        <v>8</v>
      </c>
      <c r="F141" s="3">
        <v>0</v>
      </c>
      <c r="G141" s="4"/>
      <c r="H141" s="3">
        <v>0</v>
      </c>
    </row>
    <row r="142" ht="14.25" spans="1:8">
      <c r="A142" s="3" t="str">
        <f>"10106100521"</f>
        <v>10106100521</v>
      </c>
      <c r="B142" s="3">
        <v>1</v>
      </c>
      <c r="C142" s="3">
        <v>5</v>
      </c>
      <c r="D142" s="3">
        <v>21</v>
      </c>
      <c r="E142" s="3" t="s">
        <v>8</v>
      </c>
      <c r="F142" s="3">
        <v>0</v>
      </c>
      <c r="G142" s="4"/>
      <c r="H142" s="3">
        <v>0</v>
      </c>
    </row>
    <row r="143" ht="14.25" spans="1:8">
      <c r="A143" s="3" t="str">
        <f>"10106100522"</f>
        <v>10106100522</v>
      </c>
      <c r="B143" s="3">
        <v>1</v>
      </c>
      <c r="C143" s="3">
        <v>5</v>
      </c>
      <c r="D143" s="3">
        <v>22</v>
      </c>
      <c r="E143" s="3" t="s">
        <v>8</v>
      </c>
      <c r="F143" s="4">
        <v>55</v>
      </c>
      <c r="G143" s="4"/>
      <c r="H143" s="4">
        <f t="shared" si="6"/>
        <v>55</v>
      </c>
    </row>
    <row r="144" ht="14.25" spans="1:8">
      <c r="A144" s="3" t="str">
        <f>"10106100523"</f>
        <v>10106100523</v>
      </c>
      <c r="B144" s="3">
        <v>1</v>
      </c>
      <c r="C144" s="3">
        <v>5</v>
      </c>
      <c r="D144" s="3">
        <v>23</v>
      </c>
      <c r="E144" s="3" t="s">
        <v>8</v>
      </c>
      <c r="F144" s="4">
        <v>52.5</v>
      </c>
      <c r="G144" s="4"/>
      <c r="H144" s="4">
        <f t="shared" si="6"/>
        <v>52.5</v>
      </c>
    </row>
    <row r="145" ht="14.25" spans="1:8">
      <c r="A145" s="3" t="str">
        <f>"10106100524"</f>
        <v>10106100524</v>
      </c>
      <c r="B145" s="3">
        <v>1</v>
      </c>
      <c r="C145" s="3">
        <v>5</v>
      </c>
      <c r="D145" s="3">
        <v>24</v>
      </c>
      <c r="E145" s="3" t="s">
        <v>8</v>
      </c>
      <c r="F145" s="3">
        <v>0</v>
      </c>
      <c r="G145" s="4"/>
      <c r="H145" s="3">
        <v>0</v>
      </c>
    </row>
    <row r="146" ht="14.25" spans="1:8">
      <c r="A146" s="3" t="str">
        <f>"10106100525"</f>
        <v>10106100525</v>
      </c>
      <c r="B146" s="3">
        <v>1</v>
      </c>
      <c r="C146" s="3">
        <v>5</v>
      </c>
      <c r="D146" s="3">
        <v>25</v>
      </c>
      <c r="E146" s="3" t="s">
        <v>8</v>
      </c>
      <c r="F146" s="4">
        <v>59.5</v>
      </c>
      <c r="G146" s="4"/>
      <c r="H146" s="4">
        <f t="shared" ref="H146:H149" si="7">F146+G146</f>
        <v>59.5</v>
      </c>
    </row>
    <row r="147" ht="14.25" spans="1:8">
      <c r="A147" s="3" t="str">
        <f>"10106100526"</f>
        <v>10106100526</v>
      </c>
      <c r="B147" s="3">
        <v>1</v>
      </c>
      <c r="C147" s="3">
        <v>5</v>
      </c>
      <c r="D147" s="3">
        <v>26</v>
      </c>
      <c r="E147" s="3" t="s">
        <v>8</v>
      </c>
      <c r="F147" s="4">
        <v>61</v>
      </c>
      <c r="G147" s="4"/>
      <c r="H147" s="4">
        <f t="shared" si="7"/>
        <v>61</v>
      </c>
    </row>
    <row r="148" ht="14.25" spans="1:8">
      <c r="A148" s="3" t="str">
        <f>"10106100527"</f>
        <v>10106100527</v>
      </c>
      <c r="B148" s="3">
        <v>1</v>
      </c>
      <c r="C148" s="3">
        <v>5</v>
      </c>
      <c r="D148" s="3">
        <v>27</v>
      </c>
      <c r="E148" s="3" t="s">
        <v>8</v>
      </c>
      <c r="F148" s="4">
        <v>65</v>
      </c>
      <c r="G148" s="4"/>
      <c r="H148" s="4">
        <f t="shared" si="7"/>
        <v>65</v>
      </c>
    </row>
    <row r="149" ht="14.25" spans="1:8">
      <c r="A149" s="3" t="str">
        <f>"10106100528"</f>
        <v>10106100528</v>
      </c>
      <c r="B149" s="3">
        <v>1</v>
      </c>
      <c r="C149" s="3">
        <v>5</v>
      </c>
      <c r="D149" s="3">
        <v>28</v>
      </c>
      <c r="E149" s="3" t="s">
        <v>8</v>
      </c>
      <c r="F149" s="4">
        <v>80</v>
      </c>
      <c r="G149" s="4"/>
      <c r="H149" s="4">
        <f t="shared" si="7"/>
        <v>80</v>
      </c>
    </row>
    <row r="150" ht="14.25" spans="1:8">
      <c r="A150" s="3" t="str">
        <f>"10106100529"</f>
        <v>10106100529</v>
      </c>
      <c r="B150" s="3">
        <v>1</v>
      </c>
      <c r="C150" s="3">
        <v>5</v>
      </c>
      <c r="D150" s="3">
        <v>29</v>
      </c>
      <c r="E150" s="3" t="s">
        <v>8</v>
      </c>
      <c r="F150" s="3">
        <v>0</v>
      </c>
      <c r="G150" s="4"/>
      <c r="H150" s="3">
        <v>0</v>
      </c>
    </row>
    <row r="151" ht="14.25" spans="1:8">
      <c r="A151" s="3" t="str">
        <f>"10106100530"</f>
        <v>10106100530</v>
      </c>
      <c r="B151" s="3">
        <v>1</v>
      </c>
      <c r="C151" s="3">
        <v>5</v>
      </c>
      <c r="D151" s="3">
        <v>30</v>
      </c>
      <c r="E151" s="3" t="s">
        <v>8</v>
      </c>
      <c r="F151" s="4">
        <v>55.5</v>
      </c>
      <c r="G151" s="4"/>
      <c r="H151" s="4">
        <f t="shared" ref="H151:H154" si="8">F151+G151</f>
        <v>55.5</v>
      </c>
    </row>
    <row r="152" ht="14.25" spans="1:8">
      <c r="A152" s="3" t="str">
        <f>"10106100601"</f>
        <v>10106100601</v>
      </c>
      <c r="B152" s="3">
        <v>1</v>
      </c>
      <c r="C152" s="3">
        <v>6</v>
      </c>
      <c r="D152" s="3">
        <v>1</v>
      </c>
      <c r="E152" s="3" t="s">
        <v>8</v>
      </c>
      <c r="F152" s="4">
        <v>39.5</v>
      </c>
      <c r="G152" s="4"/>
      <c r="H152" s="4">
        <f t="shared" si="8"/>
        <v>39.5</v>
      </c>
    </row>
    <row r="153" ht="14.25" spans="1:8">
      <c r="A153" s="3" t="str">
        <f>"10106100602"</f>
        <v>10106100602</v>
      </c>
      <c r="B153" s="3">
        <v>1</v>
      </c>
      <c r="C153" s="3">
        <v>6</v>
      </c>
      <c r="D153" s="3">
        <v>2</v>
      </c>
      <c r="E153" s="3" t="s">
        <v>8</v>
      </c>
      <c r="F153" s="4">
        <v>65.5</v>
      </c>
      <c r="G153" s="4"/>
      <c r="H153" s="4">
        <f t="shared" si="8"/>
        <v>65.5</v>
      </c>
    </row>
    <row r="154" ht="14.25" spans="1:8">
      <c r="A154" s="3" t="str">
        <f>"10106100603"</f>
        <v>10106100603</v>
      </c>
      <c r="B154" s="3">
        <v>1</v>
      </c>
      <c r="C154" s="3">
        <v>6</v>
      </c>
      <c r="D154" s="3">
        <v>3</v>
      </c>
      <c r="E154" s="3" t="s">
        <v>8</v>
      </c>
      <c r="F154" s="4">
        <v>83.5</v>
      </c>
      <c r="G154" s="4"/>
      <c r="H154" s="4">
        <f t="shared" si="8"/>
        <v>83.5</v>
      </c>
    </row>
    <row r="155" ht="14.25" spans="1:8">
      <c r="A155" s="3" t="str">
        <f>"10106100604"</f>
        <v>10106100604</v>
      </c>
      <c r="B155" s="3">
        <v>1</v>
      </c>
      <c r="C155" s="3">
        <v>6</v>
      </c>
      <c r="D155" s="3">
        <v>4</v>
      </c>
      <c r="E155" s="3" t="s">
        <v>8</v>
      </c>
      <c r="F155" s="3">
        <v>0</v>
      </c>
      <c r="G155" s="4"/>
      <c r="H155" s="3">
        <v>0</v>
      </c>
    </row>
    <row r="156" ht="14.25" spans="1:8">
      <c r="A156" s="3" t="str">
        <f>"10201100605"</f>
        <v>10201100605</v>
      </c>
      <c r="B156" s="3">
        <v>1</v>
      </c>
      <c r="C156" s="3">
        <v>6</v>
      </c>
      <c r="D156" s="3">
        <v>5</v>
      </c>
      <c r="E156" s="3" t="s">
        <v>8</v>
      </c>
      <c r="F156" s="3">
        <v>0</v>
      </c>
      <c r="G156" s="4"/>
      <c r="H156" s="3">
        <v>0</v>
      </c>
    </row>
    <row r="157" ht="14.25" spans="1:8">
      <c r="A157" s="3" t="str">
        <f>"10201100606"</f>
        <v>10201100606</v>
      </c>
      <c r="B157" s="3">
        <v>1</v>
      </c>
      <c r="C157" s="3">
        <v>6</v>
      </c>
      <c r="D157" s="3">
        <v>6</v>
      </c>
      <c r="E157" s="3" t="s">
        <v>8</v>
      </c>
      <c r="F157" s="4">
        <v>52</v>
      </c>
      <c r="G157" s="4"/>
      <c r="H157" s="4">
        <f t="shared" ref="H157:H161" si="9">F157+G157</f>
        <v>52</v>
      </c>
    </row>
    <row r="158" ht="14.25" spans="1:8">
      <c r="A158" s="3" t="str">
        <f>"10201100607"</f>
        <v>10201100607</v>
      </c>
      <c r="B158" s="3">
        <v>1</v>
      </c>
      <c r="C158" s="3">
        <v>6</v>
      </c>
      <c r="D158" s="3">
        <v>7</v>
      </c>
      <c r="E158" s="3" t="s">
        <v>8</v>
      </c>
      <c r="F158" s="4">
        <v>80.5</v>
      </c>
      <c r="G158" s="4"/>
      <c r="H158" s="4">
        <f t="shared" si="9"/>
        <v>80.5</v>
      </c>
    </row>
    <row r="159" ht="14.25" spans="1:8">
      <c r="A159" s="3" t="str">
        <f>"10201100608"</f>
        <v>10201100608</v>
      </c>
      <c r="B159" s="3">
        <v>1</v>
      </c>
      <c r="C159" s="3">
        <v>6</v>
      </c>
      <c r="D159" s="3">
        <v>8</v>
      </c>
      <c r="E159" s="3" t="s">
        <v>8</v>
      </c>
      <c r="F159" s="4">
        <v>84</v>
      </c>
      <c r="G159" s="4"/>
      <c r="H159" s="4">
        <f t="shared" si="9"/>
        <v>84</v>
      </c>
    </row>
    <row r="160" ht="14.25" spans="1:8">
      <c r="A160" s="3" t="str">
        <f>"10201100609"</f>
        <v>10201100609</v>
      </c>
      <c r="B160" s="3">
        <v>1</v>
      </c>
      <c r="C160" s="3">
        <v>6</v>
      </c>
      <c r="D160" s="3">
        <v>9</v>
      </c>
      <c r="E160" s="3" t="s">
        <v>8</v>
      </c>
      <c r="F160" s="4">
        <v>66</v>
      </c>
      <c r="G160" s="4"/>
      <c r="H160" s="4">
        <f t="shared" si="9"/>
        <v>66</v>
      </c>
    </row>
    <row r="161" ht="14.25" spans="1:8">
      <c r="A161" s="3" t="str">
        <f>"10201100610"</f>
        <v>10201100610</v>
      </c>
      <c r="B161" s="3">
        <v>1</v>
      </c>
      <c r="C161" s="3">
        <v>6</v>
      </c>
      <c r="D161" s="3">
        <v>10</v>
      </c>
      <c r="E161" s="3" t="s">
        <v>8</v>
      </c>
      <c r="F161" s="4">
        <v>69</v>
      </c>
      <c r="G161" s="4"/>
      <c r="H161" s="4">
        <f t="shared" si="9"/>
        <v>69</v>
      </c>
    </row>
    <row r="162" ht="14.25" spans="1:8">
      <c r="A162" s="3" t="str">
        <f>"10201100611"</f>
        <v>10201100611</v>
      </c>
      <c r="B162" s="3">
        <v>1</v>
      </c>
      <c r="C162" s="3">
        <v>6</v>
      </c>
      <c r="D162" s="3">
        <v>11</v>
      </c>
      <c r="E162" s="3" t="s">
        <v>8</v>
      </c>
      <c r="F162" s="3">
        <v>0</v>
      </c>
      <c r="G162" s="4"/>
      <c r="H162" s="3">
        <v>0</v>
      </c>
    </row>
    <row r="163" ht="14.25" spans="1:8">
      <c r="A163" s="3" t="str">
        <f>"10201100612"</f>
        <v>10201100612</v>
      </c>
      <c r="B163" s="3">
        <v>1</v>
      </c>
      <c r="C163" s="3">
        <v>6</v>
      </c>
      <c r="D163" s="3">
        <v>12</v>
      </c>
      <c r="E163" s="3" t="s">
        <v>8</v>
      </c>
      <c r="F163" s="4">
        <v>77.5</v>
      </c>
      <c r="G163" s="4"/>
      <c r="H163" s="4">
        <f t="shared" ref="H163:H168" si="10">F163+G163</f>
        <v>77.5</v>
      </c>
    </row>
    <row r="164" ht="14.25" spans="1:8">
      <c r="A164" s="3" t="str">
        <f>"10201100613"</f>
        <v>10201100613</v>
      </c>
      <c r="B164" s="3">
        <v>1</v>
      </c>
      <c r="C164" s="3">
        <v>6</v>
      </c>
      <c r="D164" s="3">
        <v>13</v>
      </c>
      <c r="E164" s="3" t="s">
        <v>8</v>
      </c>
      <c r="F164" s="4">
        <v>59</v>
      </c>
      <c r="G164" s="4"/>
      <c r="H164" s="4">
        <f t="shared" si="10"/>
        <v>59</v>
      </c>
    </row>
    <row r="165" ht="14.25" spans="1:8">
      <c r="A165" s="3" t="str">
        <f>"10201100614"</f>
        <v>10201100614</v>
      </c>
      <c r="B165" s="3">
        <v>1</v>
      </c>
      <c r="C165" s="3">
        <v>6</v>
      </c>
      <c r="D165" s="3">
        <v>14</v>
      </c>
      <c r="E165" s="3" t="s">
        <v>8</v>
      </c>
      <c r="F165" s="4">
        <v>82.5</v>
      </c>
      <c r="G165" s="4"/>
      <c r="H165" s="4">
        <f t="shared" si="10"/>
        <v>82.5</v>
      </c>
    </row>
    <row r="166" ht="14.25" spans="1:8">
      <c r="A166" s="3" t="str">
        <f>"10201100615"</f>
        <v>10201100615</v>
      </c>
      <c r="B166" s="3">
        <v>1</v>
      </c>
      <c r="C166" s="3">
        <v>6</v>
      </c>
      <c r="D166" s="3">
        <v>15</v>
      </c>
      <c r="E166" s="3" t="s">
        <v>8</v>
      </c>
      <c r="F166" s="4">
        <v>81.5</v>
      </c>
      <c r="G166" s="4"/>
      <c r="H166" s="4">
        <f t="shared" si="10"/>
        <v>81.5</v>
      </c>
    </row>
    <row r="167" ht="14.25" spans="1:8">
      <c r="A167" s="3" t="str">
        <f>"10201100616"</f>
        <v>10201100616</v>
      </c>
      <c r="B167" s="3">
        <v>1</v>
      </c>
      <c r="C167" s="3">
        <v>6</v>
      </c>
      <c r="D167" s="3">
        <v>16</v>
      </c>
      <c r="E167" s="3" t="s">
        <v>8</v>
      </c>
      <c r="F167" s="4">
        <v>84.5</v>
      </c>
      <c r="G167" s="4"/>
      <c r="H167" s="4">
        <f t="shared" si="10"/>
        <v>84.5</v>
      </c>
    </row>
    <row r="168" ht="14.25" spans="1:8">
      <c r="A168" s="3" t="str">
        <f>"10201100617"</f>
        <v>10201100617</v>
      </c>
      <c r="B168" s="3">
        <v>1</v>
      </c>
      <c r="C168" s="3">
        <v>6</v>
      </c>
      <c r="D168" s="3">
        <v>17</v>
      </c>
      <c r="E168" s="3" t="s">
        <v>8</v>
      </c>
      <c r="F168" s="4">
        <v>84</v>
      </c>
      <c r="G168" s="4"/>
      <c r="H168" s="4">
        <f t="shared" si="10"/>
        <v>84</v>
      </c>
    </row>
    <row r="169" ht="14.25" spans="1:8">
      <c r="A169" s="3" t="str">
        <f>"10201100618"</f>
        <v>10201100618</v>
      </c>
      <c r="B169" s="3">
        <v>1</v>
      </c>
      <c r="C169" s="3">
        <v>6</v>
      </c>
      <c r="D169" s="3">
        <v>18</v>
      </c>
      <c r="E169" s="3" t="s">
        <v>8</v>
      </c>
      <c r="F169" s="3">
        <v>0</v>
      </c>
      <c r="G169" s="4"/>
      <c r="H169" s="3">
        <v>0</v>
      </c>
    </row>
    <row r="170" ht="14.25" spans="1:8">
      <c r="A170" s="3" t="str">
        <f>"10201100619"</f>
        <v>10201100619</v>
      </c>
      <c r="B170" s="3">
        <v>1</v>
      </c>
      <c r="C170" s="3">
        <v>6</v>
      </c>
      <c r="D170" s="3">
        <v>19</v>
      </c>
      <c r="E170" s="3" t="s">
        <v>8</v>
      </c>
      <c r="F170" s="4">
        <v>80.5</v>
      </c>
      <c r="G170" s="4"/>
      <c r="H170" s="4">
        <f t="shared" ref="H170:H183" si="11">F170+G170</f>
        <v>80.5</v>
      </c>
    </row>
    <row r="171" ht="14.25" spans="1:8">
      <c r="A171" s="3" t="str">
        <f>"10201100620"</f>
        <v>10201100620</v>
      </c>
      <c r="B171" s="3">
        <v>1</v>
      </c>
      <c r="C171" s="3">
        <v>6</v>
      </c>
      <c r="D171" s="3">
        <v>20</v>
      </c>
      <c r="E171" s="3" t="s">
        <v>8</v>
      </c>
      <c r="F171" s="4">
        <v>76</v>
      </c>
      <c r="G171" s="4"/>
      <c r="H171" s="4">
        <f t="shared" si="11"/>
        <v>76</v>
      </c>
    </row>
    <row r="172" ht="14.25" spans="1:8">
      <c r="A172" s="3" t="str">
        <f>"10201100621"</f>
        <v>10201100621</v>
      </c>
      <c r="B172" s="3">
        <v>1</v>
      </c>
      <c r="C172" s="3">
        <v>6</v>
      </c>
      <c r="D172" s="3">
        <v>21</v>
      </c>
      <c r="E172" s="3" t="s">
        <v>8</v>
      </c>
      <c r="F172" s="3">
        <v>0</v>
      </c>
      <c r="G172" s="4"/>
      <c r="H172" s="3">
        <v>0</v>
      </c>
    </row>
    <row r="173" ht="14.25" spans="1:8">
      <c r="A173" s="3" t="str">
        <f>"10201100622"</f>
        <v>10201100622</v>
      </c>
      <c r="B173" s="3">
        <v>1</v>
      </c>
      <c r="C173" s="3">
        <v>6</v>
      </c>
      <c r="D173" s="3">
        <v>22</v>
      </c>
      <c r="E173" s="3" t="s">
        <v>8</v>
      </c>
      <c r="F173" s="4">
        <v>75.5</v>
      </c>
      <c r="G173" s="4"/>
      <c r="H173" s="4">
        <f t="shared" si="11"/>
        <v>75.5</v>
      </c>
    </row>
    <row r="174" ht="14.25" spans="1:8">
      <c r="A174" s="3" t="str">
        <f>"10201100623"</f>
        <v>10201100623</v>
      </c>
      <c r="B174" s="3">
        <v>1</v>
      </c>
      <c r="C174" s="3">
        <v>6</v>
      </c>
      <c r="D174" s="3">
        <v>23</v>
      </c>
      <c r="E174" s="3" t="s">
        <v>8</v>
      </c>
      <c r="F174" s="4">
        <v>81.5</v>
      </c>
      <c r="G174" s="4"/>
      <c r="H174" s="4">
        <f t="shared" si="11"/>
        <v>81.5</v>
      </c>
    </row>
    <row r="175" ht="14.25" spans="1:8">
      <c r="A175" s="3" t="str">
        <f>"10201100624"</f>
        <v>10201100624</v>
      </c>
      <c r="B175" s="3">
        <v>1</v>
      </c>
      <c r="C175" s="3">
        <v>6</v>
      </c>
      <c r="D175" s="3">
        <v>24</v>
      </c>
      <c r="E175" s="3" t="s">
        <v>8</v>
      </c>
      <c r="F175" s="4">
        <v>76</v>
      </c>
      <c r="G175" s="4"/>
      <c r="H175" s="4">
        <f t="shared" si="11"/>
        <v>76</v>
      </c>
    </row>
    <row r="176" ht="14.25" spans="1:8">
      <c r="A176" s="3" t="str">
        <f>"10201100625"</f>
        <v>10201100625</v>
      </c>
      <c r="B176" s="3">
        <v>1</v>
      </c>
      <c r="C176" s="3">
        <v>6</v>
      </c>
      <c r="D176" s="3">
        <v>25</v>
      </c>
      <c r="E176" s="3" t="s">
        <v>8</v>
      </c>
      <c r="F176" s="4">
        <v>80.5</v>
      </c>
      <c r="G176" s="4"/>
      <c r="H176" s="4">
        <f t="shared" si="11"/>
        <v>80.5</v>
      </c>
    </row>
    <row r="177" ht="14.25" spans="1:8">
      <c r="A177" s="3" t="str">
        <f>"10201100626"</f>
        <v>10201100626</v>
      </c>
      <c r="B177" s="3">
        <v>1</v>
      </c>
      <c r="C177" s="3">
        <v>6</v>
      </c>
      <c r="D177" s="3">
        <v>26</v>
      </c>
      <c r="E177" s="3" t="s">
        <v>8</v>
      </c>
      <c r="F177" s="4">
        <v>83.5</v>
      </c>
      <c r="G177" s="4"/>
      <c r="H177" s="4">
        <f t="shared" si="11"/>
        <v>83.5</v>
      </c>
    </row>
    <row r="178" ht="14.25" spans="1:8">
      <c r="A178" s="3" t="str">
        <f>"10201100627"</f>
        <v>10201100627</v>
      </c>
      <c r="B178" s="3">
        <v>1</v>
      </c>
      <c r="C178" s="3">
        <v>6</v>
      </c>
      <c r="D178" s="3">
        <v>27</v>
      </c>
      <c r="E178" s="3" t="s">
        <v>8</v>
      </c>
      <c r="F178" s="4">
        <v>81.5</v>
      </c>
      <c r="G178" s="4"/>
      <c r="H178" s="4">
        <f t="shared" si="11"/>
        <v>81.5</v>
      </c>
    </row>
    <row r="179" ht="14.25" spans="1:8">
      <c r="A179" s="3" t="str">
        <f>"10201100628"</f>
        <v>10201100628</v>
      </c>
      <c r="B179" s="3">
        <v>1</v>
      </c>
      <c r="C179" s="3">
        <v>6</v>
      </c>
      <c r="D179" s="3">
        <v>28</v>
      </c>
      <c r="E179" s="3" t="s">
        <v>8</v>
      </c>
      <c r="F179" s="4">
        <v>56.5</v>
      </c>
      <c r="G179" s="4"/>
      <c r="H179" s="4">
        <f t="shared" si="11"/>
        <v>56.5</v>
      </c>
    </row>
    <row r="180" ht="14.25" spans="1:8">
      <c r="A180" s="3" t="str">
        <f>"10201100629"</f>
        <v>10201100629</v>
      </c>
      <c r="B180" s="3">
        <v>1</v>
      </c>
      <c r="C180" s="3">
        <v>6</v>
      </c>
      <c r="D180" s="3">
        <v>29</v>
      </c>
      <c r="E180" s="3" t="s">
        <v>8</v>
      </c>
      <c r="F180" s="4">
        <v>67.5</v>
      </c>
      <c r="G180" s="4"/>
      <c r="H180" s="4">
        <f t="shared" si="11"/>
        <v>67.5</v>
      </c>
    </row>
    <row r="181" ht="14.25" spans="1:8">
      <c r="A181" s="3" t="str">
        <f>"10201100630"</f>
        <v>10201100630</v>
      </c>
      <c r="B181" s="3">
        <v>1</v>
      </c>
      <c r="C181" s="3">
        <v>6</v>
      </c>
      <c r="D181" s="3">
        <v>30</v>
      </c>
      <c r="E181" s="3" t="s">
        <v>8</v>
      </c>
      <c r="F181" s="4">
        <v>82.5</v>
      </c>
      <c r="G181" s="4"/>
      <c r="H181" s="4">
        <f t="shared" si="11"/>
        <v>82.5</v>
      </c>
    </row>
    <row r="182" ht="14.25" spans="1:8">
      <c r="A182" s="3" t="str">
        <f>"10201100701"</f>
        <v>10201100701</v>
      </c>
      <c r="B182" s="3">
        <v>1</v>
      </c>
      <c r="C182" s="3">
        <v>7</v>
      </c>
      <c r="D182" s="3">
        <v>1</v>
      </c>
      <c r="E182" s="3" t="s">
        <v>8</v>
      </c>
      <c r="F182" s="4">
        <v>81.5</v>
      </c>
      <c r="G182" s="4"/>
      <c r="H182" s="4">
        <f t="shared" si="11"/>
        <v>81.5</v>
      </c>
    </row>
    <row r="183" ht="14.25" spans="1:8">
      <c r="A183" s="3" t="str">
        <f>"10201100702"</f>
        <v>10201100702</v>
      </c>
      <c r="B183" s="3">
        <v>1</v>
      </c>
      <c r="C183" s="3">
        <v>7</v>
      </c>
      <c r="D183" s="3">
        <v>2</v>
      </c>
      <c r="E183" s="3" t="s">
        <v>8</v>
      </c>
      <c r="F183" s="4">
        <v>53</v>
      </c>
      <c r="G183" s="4"/>
      <c r="H183" s="4">
        <f t="shared" si="11"/>
        <v>53</v>
      </c>
    </row>
    <row r="184" ht="14.25" spans="1:8">
      <c r="A184" s="3" t="str">
        <f>"10202100703"</f>
        <v>10202100703</v>
      </c>
      <c r="B184" s="3">
        <v>1</v>
      </c>
      <c r="C184" s="3">
        <v>7</v>
      </c>
      <c r="D184" s="3">
        <v>3</v>
      </c>
      <c r="E184" s="3" t="s">
        <v>8</v>
      </c>
      <c r="F184" s="3">
        <v>0</v>
      </c>
      <c r="G184" s="4"/>
      <c r="H184" s="3">
        <v>0</v>
      </c>
    </row>
    <row r="185" ht="14.25" spans="1:8">
      <c r="A185" s="3" t="str">
        <f>"10202100704"</f>
        <v>10202100704</v>
      </c>
      <c r="B185" s="3">
        <v>1</v>
      </c>
      <c r="C185" s="3">
        <v>7</v>
      </c>
      <c r="D185" s="3">
        <v>4</v>
      </c>
      <c r="E185" s="3" t="s">
        <v>8</v>
      </c>
      <c r="F185" s="4">
        <v>59</v>
      </c>
      <c r="G185" s="4"/>
      <c r="H185" s="4">
        <f t="shared" ref="H185:H200" si="12">F185+G185</f>
        <v>59</v>
      </c>
    </row>
    <row r="186" ht="14.25" spans="1:8">
      <c r="A186" s="3" t="str">
        <f>"10202100705"</f>
        <v>10202100705</v>
      </c>
      <c r="B186" s="3">
        <v>1</v>
      </c>
      <c r="C186" s="3">
        <v>7</v>
      </c>
      <c r="D186" s="3">
        <v>5</v>
      </c>
      <c r="E186" s="3" t="s">
        <v>8</v>
      </c>
      <c r="F186" s="4">
        <v>72.5</v>
      </c>
      <c r="G186" s="4"/>
      <c r="H186" s="4">
        <f t="shared" si="12"/>
        <v>72.5</v>
      </c>
    </row>
    <row r="187" ht="14.25" spans="1:8">
      <c r="A187" s="3" t="str">
        <f>"10202100706"</f>
        <v>10202100706</v>
      </c>
      <c r="B187" s="3">
        <v>1</v>
      </c>
      <c r="C187" s="3">
        <v>7</v>
      </c>
      <c r="D187" s="3">
        <v>6</v>
      </c>
      <c r="E187" s="3" t="s">
        <v>8</v>
      </c>
      <c r="F187" s="4">
        <v>90</v>
      </c>
      <c r="G187" s="4"/>
      <c r="H187" s="4">
        <f t="shared" si="12"/>
        <v>90</v>
      </c>
    </row>
    <row r="188" ht="14.25" spans="1:8">
      <c r="A188" s="3" t="str">
        <f>"10202100707"</f>
        <v>10202100707</v>
      </c>
      <c r="B188" s="3">
        <v>1</v>
      </c>
      <c r="C188" s="3">
        <v>7</v>
      </c>
      <c r="D188" s="3">
        <v>7</v>
      </c>
      <c r="E188" s="3" t="s">
        <v>8</v>
      </c>
      <c r="F188" s="4">
        <v>64.5</v>
      </c>
      <c r="G188" s="4"/>
      <c r="H188" s="4">
        <f t="shared" si="12"/>
        <v>64.5</v>
      </c>
    </row>
    <row r="189" ht="14.25" spans="1:8">
      <c r="A189" s="3" t="str">
        <f>"10202100708"</f>
        <v>10202100708</v>
      </c>
      <c r="B189" s="3">
        <v>1</v>
      </c>
      <c r="C189" s="3">
        <v>7</v>
      </c>
      <c r="D189" s="3">
        <v>8</v>
      </c>
      <c r="E189" s="3" t="s">
        <v>8</v>
      </c>
      <c r="F189" s="4">
        <v>81</v>
      </c>
      <c r="G189" s="4"/>
      <c r="H189" s="4">
        <f t="shared" si="12"/>
        <v>81</v>
      </c>
    </row>
    <row r="190" ht="14.25" spans="1:8">
      <c r="A190" s="3" t="str">
        <f>"10202100709"</f>
        <v>10202100709</v>
      </c>
      <c r="B190" s="3">
        <v>1</v>
      </c>
      <c r="C190" s="3">
        <v>7</v>
      </c>
      <c r="D190" s="3">
        <v>9</v>
      </c>
      <c r="E190" s="3" t="s">
        <v>8</v>
      </c>
      <c r="F190" s="4">
        <v>84</v>
      </c>
      <c r="G190" s="4"/>
      <c r="H190" s="4">
        <f t="shared" si="12"/>
        <v>84</v>
      </c>
    </row>
    <row r="191" ht="14.25" spans="1:8">
      <c r="A191" s="3" t="str">
        <f>"10202100710"</f>
        <v>10202100710</v>
      </c>
      <c r="B191" s="3">
        <v>1</v>
      </c>
      <c r="C191" s="3">
        <v>7</v>
      </c>
      <c r="D191" s="3">
        <v>10</v>
      </c>
      <c r="E191" s="3" t="s">
        <v>8</v>
      </c>
      <c r="F191" s="4">
        <v>72.5</v>
      </c>
      <c r="G191" s="4"/>
      <c r="H191" s="4">
        <f t="shared" si="12"/>
        <v>72.5</v>
      </c>
    </row>
    <row r="192" ht="14.25" spans="1:8">
      <c r="A192" s="3" t="str">
        <f>"10202100711"</f>
        <v>10202100711</v>
      </c>
      <c r="B192" s="3">
        <v>1</v>
      </c>
      <c r="C192" s="3">
        <v>7</v>
      </c>
      <c r="D192" s="3">
        <v>11</v>
      </c>
      <c r="E192" s="3" t="s">
        <v>8</v>
      </c>
      <c r="F192" s="4">
        <v>79</v>
      </c>
      <c r="G192" s="4"/>
      <c r="H192" s="4">
        <f t="shared" si="12"/>
        <v>79</v>
      </c>
    </row>
    <row r="193" ht="14.25" spans="1:8">
      <c r="A193" s="3" t="str">
        <f>"10202100712"</f>
        <v>10202100712</v>
      </c>
      <c r="B193" s="3">
        <v>1</v>
      </c>
      <c r="C193" s="3">
        <v>7</v>
      </c>
      <c r="D193" s="3">
        <v>12</v>
      </c>
      <c r="E193" s="3" t="s">
        <v>8</v>
      </c>
      <c r="F193" s="4">
        <v>73.5</v>
      </c>
      <c r="G193" s="4"/>
      <c r="H193" s="4">
        <f t="shared" si="12"/>
        <v>73.5</v>
      </c>
    </row>
    <row r="194" ht="14.25" spans="1:8">
      <c r="A194" s="3" t="str">
        <f>"10202100713"</f>
        <v>10202100713</v>
      </c>
      <c r="B194" s="3">
        <v>1</v>
      </c>
      <c r="C194" s="3">
        <v>7</v>
      </c>
      <c r="D194" s="3">
        <v>13</v>
      </c>
      <c r="E194" s="3" t="s">
        <v>8</v>
      </c>
      <c r="F194" s="4">
        <v>75.5</v>
      </c>
      <c r="G194" s="4"/>
      <c r="H194" s="4">
        <f t="shared" si="12"/>
        <v>75.5</v>
      </c>
    </row>
    <row r="195" ht="14.25" spans="1:8">
      <c r="A195" s="3" t="str">
        <f>"10202100714"</f>
        <v>10202100714</v>
      </c>
      <c r="B195" s="3">
        <v>1</v>
      </c>
      <c r="C195" s="3">
        <v>7</v>
      </c>
      <c r="D195" s="3">
        <v>14</v>
      </c>
      <c r="E195" s="3" t="s">
        <v>8</v>
      </c>
      <c r="F195" s="4">
        <v>81.5</v>
      </c>
      <c r="G195" s="4"/>
      <c r="H195" s="4">
        <f t="shared" si="12"/>
        <v>81.5</v>
      </c>
    </row>
    <row r="196" ht="14.25" spans="1:8">
      <c r="A196" s="3" t="str">
        <f>"10202100715"</f>
        <v>10202100715</v>
      </c>
      <c r="B196" s="3">
        <v>1</v>
      </c>
      <c r="C196" s="3">
        <v>7</v>
      </c>
      <c r="D196" s="3">
        <v>15</v>
      </c>
      <c r="E196" s="3" t="s">
        <v>8</v>
      </c>
      <c r="F196" s="4">
        <v>77</v>
      </c>
      <c r="G196" s="4"/>
      <c r="H196" s="4">
        <f t="shared" si="12"/>
        <v>77</v>
      </c>
    </row>
    <row r="197" ht="14.25" spans="1:8">
      <c r="A197" s="3" t="str">
        <f>"10202100716"</f>
        <v>10202100716</v>
      </c>
      <c r="B197" s="3">
        <v>1</v>
      </c>
      <c r="C197" s="3">
        <v>7</v>
      </c>
      <c r="D197" s="3">
        <v>16</v>
      </c>
      <c r="E197" s="3" t="s">
        <v>8</v>
      </c>
      <c r="F197" s="4">
        <v>86.5</v>
      </c>
      <c r="G197" s="4"/>
      <c r="H197" s="4">
        <f t="shared" si="12"/>
        <v>86.5</v>
      </c>
    </row>
    <row r="198" ht="14.25" spans="1:8">
      <c r="A198" s="3" t="str">
        <f>"10202100717"</f>
        <v>10202100717</v>
      </c>
      <c r="B198" s="3">
        <v>1</v>
      </c>
      <c r="C198" s="3">
        <v>7</v>
      </c>
      <c r="D198" s="3">
        <v>17</v>
      </c>
      <c r="E198" s="3" t="s">
        <v>8</v>
      </c>
      <c r="F198" s="4">
        <v>80.5</v>
      </c>
      <c r="G198" s="4"/>
      <c r="H198" s="4">
        <f t="shared" si="12"/>
        <v>80.5</v>
      </c>
    </row>
    <row r="199" ht="14.25" spans="1:8">
      <c r="A199" s="3" t="str">
        <f>"10202100718"</f>
        <v>10202100718</v>
      </c>
      <c r="B199" s="3">
        <v>1</v>
      </c>
      <c r="C199" s="3">
        <v>7</v>
      </c>
      <c r="D199" s="3">
        <v>18</v>
      </c>
      <c r="E199" s="3" t="s">
        <v>8</v>
      </c>
      <c r="F199" s="4">
        <v>58</v>
      </c>
      <c r="G199" s="4"/>
      <c r="H199" s="4">
        <f t="shared" si="12"/>
        <v>58</v>
      </c>
    </row>
    <row r="200" ht="14.25" spans="1:8">
      <c r="A200" s="3" t="str">
        <f>"10202100719"</f>
        <v>10202100719</v>
      </c>
      <c r="B200" s="3">
        <v>1</v>
      </c>
      <c r="C200" s="3">
        <v>7</v>
      </c>
      <c r="D200" s="3">
        <v>19</v>
      </c>
      <c r="E200" s="3" t="s">
        <v>8</v>
      </c>
      <c r="F200" s="4">
        <v>54.5</v>
      </c>
      <c r="G200" s="4"/>
      <c r="H200" s="4">
        <f t="shared" si="12"/>
        <v>54.5</v>
      </c>
    </row>
    <row r="201" ht="14.25" spans="1:8">
      <c r="A201" s="3" t="str">
        <f>"10202100720"</f>
        <v>10202100720</v>
      </c>
      <c r="B201" s="3">
        <v>1</v>
      </c>
      <c r="C201" s="3">
        <v>7</v>
      </c>
      <c r="D201" s="3">
        <v>20</v>
      </c>
      <c r="E201" s="3" t="s">
        <v>8</v>
      </c>
      <c r="F201" s="3">
        <v>0</v>
      </c>
      <c r="G201" s="4"/>
      <c r="H201" s="3">
        <v>0</v>
      </c>
    </row>
    <row r="202" ht="14.25" spans="1:8">
      <c r="A202" s="3" t="str">
        <f>"10202100721"</f>
        <v>10202100721</v>
      </c>
      <c r="B202" s="3">
        <v>1</v>
      </c>
      <c r="C202" s="3">
        <v>7</v>
      </c>
      <c r="D202" s="3">
        <v>21</v>
      </c>
      <c r="E202" s="3" t="s">
        <v>8</v>
      </c>
      <c r="F202" s="4">
        <v>80</v>
      </c>
      <c r="G202" s="4"/>
      <c r="H202" s="4">
        <f t="shared" ref="H202:H209" si="13">F202+G202</f>
        <v>80</v>
      </c>
    </row>
    <row r="203" ht="14.25" spans="1:8">
      <c r="A203" s="3" t="str">
        <f>"10202100722"</f>
        <v>10202100722</v>
      </c>
      <c r="B203" s="3">
        <v>1</v>
      </c>
      <c r="C203" s="3">
        <v>7</v>
      </c>
      <c r="D203" s="3">
        <v>22</v>
      </c>
      <c r="E203" s="3" t="s">
        <v>8</v>
      </c>
      <c r="F203" s="4">
        <v>67</v>
      </c>
      <c r="G203" s="4"/>
      <c r="H203" s="4">
        <f t="shared" si="13"/>
        <v>67</v>
      </c>
    </row>
    <row r="204" ht="14.25" spans="1:8">
      <c r="A204" s="3" t="str">
        <f>"10202100723"</f>
        <v>10202100723</v>
      </c>
      <c r="B204" s="3">
        <v>1</v>
      </c>
      <c r="C204" s="3">
        <v>7</v>
      </c>
      <c r="D204" s="3">
        <v>23</v>
      </c>
      <c r="E204" s="3" t="s">
        <v>8</v>
      </c>
      <c r="F204" s="3">
        <v>0</v>
      </c>
      <c r="G204" s="4"/>
      <c r="H204" s="3">
        <v>0</v>
      </c>
    </row>
    <row r="205" ht="14.25" spans="1:8">
      <c r="A205" s="3" t="str">
        <f>"10202100724"</f>
        <v>10202100724</v>
      </c>
      <c r="B205" s="3">
        <v>1</v>
      </c>
      <c r="C205" s="3">
        <v>7</v>
      </c>
      <c r="D205" s="3">
        <v>24</v>
      </c>
      <c r="E205" s="3" t="s">
        <v>8</v>
      </c>
      <c r="F205" s="4">
        <v>74</v>
      </c>
      <c r="G205" s="4"/>
      <c r="H205" s="4">
        <f t="shared" si="13"/>
        <v>74</v>
      </c>
    </row>
    <row r="206" ht="14.25" spans="1:8">
      <c r="A206" s="3" t="str">
        <f>"10203100725"</f>
        <v>10203100725</v>
      </c>
      <c r="B206" s="3">
        <v>1</v>
      </c>
      <c r="C206" s="3">
        <v>7</v>
      </c>
      <c r="D206" s="3">
        <v>25</v>
      </c>
      <c r="E206" s="3" t="s">
        <v>8</v>
      </c>
      <c r="F206" s="4">
        <v>64</v>
      </c>
      <c r="G206" s="4"/>
      <c r="H206" s="4">
        <f t="shared" si="13"/>
        <v>64</v>
      </c>
    </row>
    <row r="207" ht="14.25" spans="1:8">
      <c r="A207" s="3" t="str">
        <f>"10203100726"</f>
        <v>10203100726</v>
      </c>
      <c r="B207" s="3">
        <v>1</v>
      </c>
      <c r="C207" s="3">
        <v>7</v>
      </c>
      <c r="D207" s="3">
        <v>26</v>
      </c>
      <c r="E207" s="3" t="s">
        <v>8</v>
      </c>
      <c r="F207" s="4">
        <v>78.5</v>
      </c>
      <c r="G207" s="4"/>
      <c r="H207" s="4">
        <f t="shared" si="13"/>
        <v>78.5</v>
      </c>
    </row>
    <row r="208" ht="14.25" spans="1:8">
      <c r="A208" s="3" t="str">
        <f>"10203100727"</f>
        <v>10203100727</v>
      </c>
      <c r="B208" s="3">
        <v>1</v>
      </c>
      <c r="C208" s="3">
        <v>7</v>
      </c>
      <c r="D208" s="3">
        <v>27</v>
      </c>
      <c r="E208" s="3" t="s">
        <v>8</v>
      </c>
      <c r="F208" s="4">
        <v>81.5</v>
      </c>
      <c r="G208" s="4"/>
      <c r="H208" s="4">
        <f t="shared" si="13"/>
        <v>81.5</v>
      </c>
    </row>
    <row r="209" ht="14.25" spans="1:8">
      <c r="A209" s="3" t="str">
        <f>"10203100728"</f>
        <v>10203100728</v>
      </c>
      <c r="B209" s="3">
        <v>1</v>
      </c>
      <c r="C209" s="3">
        <v>7</v>
      </c>
      <c r="D209" s="3">
        <v>28</v>
      </c>
      <c r="E209" s="3" t="s">
        <v>8</v>
      </c>
      <c r="F209" s="4">
        <v>84</v>
      </c>
      <c r="G209" s="4"/>
      <c r="H209" s="4">
        <f t="shared" si="13"/>
        <v>84</v>
      </c>
    </row>
    <row r="210" ht="14.25" spans="1:8">
      <c r="A210" s="3" t="str">
        <f>"10203100729"</f>
        <v>10203100729</v>
      </c>
      <c r="B210" s="3">
        <v>1</v>
      </c>
      <c r="C210" s="3">
        <v>7</v>
      </c>
      <c r="D210" s="3">
        <v>29</v>
      </c>
      <c r="E210" s="3" t="s">
        <v>8</v>
      </c>
      <c r="F210" s="3">
        <v>0</v>
      </c>
      <c r="G210" s="4"/>
      <c r="H210" s="3">
        <v>0</v>
      </c>
    </row>
    <row r="211" ht="14.25" spans="1:8">
      <c r="A211" s="3" t="str">
        <f>"10203100730"</f>
        <v>10203100730</v>
      </c>
      <c r="B211" s="3">
        <v>1</v>
      </c>
      <c r="C211" s="3">
        <v>7</v>
      </c>
      <c r="D211" s="3">
        <v>30</v>
      </c>
      <c r="E211" s="3" t="s">
        <v>8</v>
      </c>
      <c r="F211" s="4">
        <v>58.5</v>
      </c>
      <c r="G211" s="4"/>
      <c r="H211" s="4">
        <f t="shared" ref="H211:H214" si="14">F211+G211</f>
        <v>58.5</v>
      </c>
    </row>
    <row r="212" ht="14.25" spans="1:8">
      <c r="A212" s="3" t="str">
        <f>"10203100801"</f>
        <v>10203100801</v>
      </c>
      <c r="B212" s="3">
        <v>1</v>
      </c>
      <c r="C212" s="3">
        <v>8</v>
      </c>
      <c r="D212" s="3">
        <v>1</v>
      </c>
      <c r="E212" s="3" t="s">
        <v>8</v>
      </c>
      <c r="F212" s="3">
        <v>0</v>
      </c>
      <c r="G212" s="4"/>
      <c r="H212" s="3">
        <v>0</v>
      </c>
    </row>
    <row r="213" ht="14.25" spans="1:8">
      <c r="A213" s="3" t="str">
        <f>"10203100802"</f>
        <v>10203100802</v>
      </c>
      <c r="B213" s="3">
        <v>1</v>
      </c>
      <c r="C213" s="3">
        <v>8</v>
      </c>
      <c r="D213" s="3">
        <v>2</v>
      </c>
      <c r="E213" s="3" t="s">
        <v>8</v>
      </c>
      <c r="F213" s="4">
        <v>64.5</v>
      </c>
      <c r="G213" s="4"/>
      <c r="H213" s="4">
        <f t="shared" si="14"/>
        <v>64.5</v>
      </c>
    </row>
    <row r="214" ht="14.25" spans="1:8">
      <c r="A214" s="3" t="str">
        <f>"10203100803"</f>
        <v>10203100803</v>
      </c>
      <c r="B214" s="3">
        <v>1</v>
      </c>
      <c r="C214" s="3">
        <v>8</v>
      </c>
      <c r="D214" s="3">
        <v>3</v>
      </c>
      <c r="E214" s="3" t="s">
        <v>8</v>
      </c>
      <c r="F214" s="4">
        <v>87</v>
      </c>
      <c r="G214" s="4"/>
      <c r="H214" s="4">
        <f t="shared" si="14"/>
        <v>87</v>
      </c>
    </row>
    <row r="215" ht="14.25" spans="1:8">
      <c r="A215" s="3" t="str">
        <f>"10203100804"</f>
        <v>10203100804</v>
      </c>
      <c r="B215" s="3">
        <v>1</v>
      </c>
      <c r="C215" s="3">
        <v>8</v>
      </c>
      <c r="D215" s="3">
        <v>4</v>
      </c>
      <c r="E215" s="3" t="s">
        <v>8</v>
      </c>
      <c r="F215" s="3">
        <v>0</v>
      </c>
      <c r="G215" s="4"/>
      <c r="H215" s="3">
        <v>0</v>
      </c>
    </row>
    <row r="216" ht="14.25" spans="1:8">
      <c r="A216" s="3" t="str">
        <f>"10203100805"</f>
        <v>10203100805</v>
      </c>
      <c r="B216" s="3">
        <v>1</v>
      </c>
      <c r="C216" s="3">
        <v>8</v>
      </c>
      <c r="D216" s="3">
        <v>5</v>
      </c>
      <c r="E216" s="3" t="s">
        <v>8</v>
      </c>
      <c r="F216" s="4">
        <v>78.5</v>
      </c>
      <c r="G216" s="4"/>
      <c r="H216" s="4">
        <f t="shared" ref="H216:H220" si="15">F216+G216</f>
        <v>78.5</v>
      </c>
    </row>
    <row r="217" ht="14.25" spans="1:8">
      <c r="A217" s="3" t="str">
        <f>"10203100806"</f>
        <v>10203100806</v>
      </c>
      <c r="B217" s="3">
        <v>1</v>
      </c>
      <c r="C217" s="3">
        <v>8</v>
      </c>
      <c r="D217" s="3">
        <v>6</v>
      </c>
      <c r="E217" s="3" t="s">
        <v>8</v>
      </c>
      <c r="F217" s="4">
        <v>60</v>
      </c>
      <c r="G217" s="4"/>
      <c r="H217" s="4">
        <f t="shared" si="15"/>
        <v>60</v>
      </c>
    </row>
    <row r="218" ht="14.25" spans="1:8">
      <c r="A218" s="3" t="str">
        <f>"10203100807"</f>
        <v>10203100807</v>
      </c>
      <c r="B218" s="3">
        <v>1</v>
      </c>
      <c r="C218" s="3">
        <v>8</v>
      </c>
      <c r="D218" s="3">
        <v>7</v>
      </c>
      <c r="E218" s="3" t="s">
        <v>8</v>
      </c>
      <c r="F218" s="4">
        <v>83</v>
      </c>
      <c r="G218" s="4"/>
      <c r="H218" s="4">
        <f t="shared" si="15"/>
        <v>83</v>
      </c>
    </row>
    <row r="219" ht="14.25" spans="1:8">
      <c r="A219" s="3" t="str">
        <f>"10203100808"</f>
        <v>10203100808</v>
      </c>
      <c r="B219" s="3">
        <v>1</v>
      </c>
      <c r="C219" s="3">
        <v>8</v>
      </c>
      <c r="D219" s="3">
        <v>8</v>
      </c>
      <c r="E219" s="3" t="s">
        <v>8</v>
      </c>
      <c r="F219" s="4">
        <v>62</v>
      </c>
      <c r="G219" s="4"/>
      <c r="H219" s="4">
        <f t="shared" si="15"/>
        <v>62</v>
      </c>
    </row>
    <row r="220" ht="14.25" spans="1:8">
      <c r="A220" s="3" t="str">
        <f>"10203100809"</f>
        <v>10203100809</v>
      </c>
      <c r="B220" s="3">
        <v>1</v>
      </c>
      <c r="C220" s="3">
        <v>8</v>
      </c>
      <c r="D220" s="3">
        <v>9</v>
      </c>
      <c r="E220" s="3" t="s">
        <v>8</v>
      </c>
      <c r="F220" s="4">
        <v>79.5</v>
      </c>
      <c r="G220" s="4"/>
      <c r="H220" s="4">
        <f t="shared" si="15"/>
        <v>79.5</v>
      </c>
    </row>
    <row r="221" ht="14.25" spans="1:8">
      <c r="A221" s="3" t="str">
        <f>"10203100810"</f>
        <v>10203100810</v>
      </c>
      <c r="B221" s="3">
        <v>1</v>
      </c>
      <c r="C221" s="3">
        <v>8</v>
      </c>
      <c r="D221" s="3">
        <v>10</v>
      </c>
      <c r="E221" s="3" t="s">
        <v>8</v>
      </c>
      <c r="F221" s="3">
        <v>0</v>
      </c>
      <c r="G221" s="4"/>
      <c r="H221" s="3">
        <v>0</v>
      </c>
    </row>
    <row r="222" ht="14.25" spans="1:8">
      <c r="A222" s="3" t="str">
        <f>"10203100811"</f>
        <v>10203100811</v>
      </c>
      <c r="B222" s="3">
        <v>1</v>
      </c>
      <c r="C222" s="3">
        <v>8</v>
      </c>
      <c r="D222" s="3">
        <v>11</v>
      </c>
      <c r="E222" s="3" t="s">
        <v>8</v>
      </c>
      <c r="F222" s="4">
        <v>67</v>
      </c>
      <c r="G222" s="4"/>
      <c r="H222" s="4">
        <f t="shared" ref="H222:H229" si="16">F222+G222</f>
        <v>67</v>
      </c>
    </row>
    <row r="223" ht="14.25" spans="1:8">
      <c r="A223" s="3" t="str">
        <f>"10203100812"</f>
        <v>10203100812</v>
      </c>
      <c r="B223" s="3">
        <v>1</v>
      </c>
      <c r="C223" s="3">
        <v>8</v>
      </c>
      <c r="D223" s="3">
        <v>12</v>
      </c>
      <c r="E223" s="3" t="s">
        <v>8</v>
      </c>
      <c r="F223" s="4">
        <v>80.5</v>
      </c>
      <c r="G223" s="4"/>
      <c r="H223" s="4">
        <f t="shared" si="16"/>
        <v>80.5</v>
      </c>
    </row>
    <row r="224" ht="14.25" spans="1:8">
      <c r="A224" s="3" t="str">
        <f>"10203100813"</f>
        <v>10203100813</v>
      </c>
      <c r="B224" s="3">
        <v>1</v>
      </c>
      <c r="C224" s="3">
        <v>8</v>
      </c>
      <c r="D224" s="3">
        <v>13</v>
      </c>
      <c r="E224" s="3" t="s">
        <v>8</v>
      </c>
      <c r="F224" s="4">
        <v>75</v>
      </c>
      <c r="G224" s="4"/>
      <c r="H224" s="4">
        <f t="shared" si="16"/>
        <v>75</v>
      </c>
    </row>
    <row r="225" ht="14.25" spans="1:8">
      <c r="A225" s="3" t="str">
        <f>"10204100814"</f>
        <v>10204100814</v>
      </c>
      <c r="B225" s="3">
        <v>1</v>
      </c>
      <c r="C225" s="3">
        <v>8</v>
      </c>
      <c r="D225" s="3">
        <v>14</v>
      </c>
      <c r="E225" s="3" t="s">
        <v>8</v>
      </c>
      <c r="F225" s="4">
        <v>66.5</v>
      </c>
      <c r="G225" s="4"/>
      <c r="H225" s="4">
        <f t="shared" si="16"/>
        <v>66.5</v>
      </c>
    </row>
    <row r="226" ht="14.25" spans="1:8">
      <c r="A226" s="3" t="str">
        <f>"10204100815"</f>
        <v>10204100815</v>
      </c>
      <c r="B226" s="3">
        <v>1</v>
      </c>
      <c r="C226" s="3">
        <v>8</v>
      </c>
      <c r="D226" s="3">
        <v>15</v>
      </c>
      <c r="E226" s="3" t="s">
        <v>8</v>
      </c>
      <c r="F226" s="4">
        <v>66.5</v>
      </c>
      <c r="G226" s="4"/>
      <c r="H226" s="4">
        <f t="shared" si="16"/>
        <v>66.5</v>
      </c>
    </row>
    <row r="227" ht="14.25" spans="1:8">
      <c r="A227" s="3" t="str">
        <f>"10204100816"</f>
        <v>10204100816</v>
      </c>
      <c r="B227" s="3">
        <v>1</v>
      </c>
      <c r="C227" s="3">
        <v>8</v>
      </c>
      <c r="D227" s="3">
        <v>16</v>
      </c>
      <c r="E227" s="3" t="s">
        <v>8</v>
      </c>
      <c r="F227" s="4">
        <v>81.5</v>
      </c>
      <c r="G227" s="4"/>
      <c r="H227" s="4">
        <f t="shared" si="16"/>
        <v>81.5</v>
      </c>
    </row>
    <row r="228" ht="14.25" spans="1:8">
      <c r="A228" s="3" t="str">
        <f>"10204100817"</f>
        <v>10204100817</v>
      </c>
      <c r="B228" s="3">
        <v>1</v>
      </c>
      <c r="C228" s="3">
        <v>8</v>
      </c>
      <c r="D228" s="3">
        <v>17</v>
      </c>
      <c r="E228" s="3" t="s">
        <v>8</v>
      </c>
      <c r="F228" s="4">
        <v>72.5</v>
      </c>
      <c r="G228" s="4"/>
      <c r="H228" s="4">
        <f t="shared" si="16"/>
        <v>72.5</v>
      </c>
    </row>
    <row r="229" ht="14.25" spans="1:8">
      <c r="A229" s="3" t="str">
        <f>"10204100818"</f>
        <v>10204100818</v>
      </c>
      <c r="B229" s="3">
        <v>1</v>
      </c>
      <c r="C229" s="3">
        <v>8</v>
      </c>
      <c r="D229" s="3">
        <v>18</v>
      </c>
      <c r="E229" s="3" t="s">
        <v>8</v>
      </c>
      <c r="F229" s="4">
        <v>57</v>
      </c>
      <c r="G229" s="4"/>
      <c r="H229" s="4">
        <f t="shared" si="16"/>
        <v>57</v>
      </c>
    </row>
    <row r="230" ht="14.25" spans="1:8">
      <c r="A230" s="3" t="str">
        <f>"10204100819"</f>
        <v>10204100819</v>
      </c>
      <c r="B230" s="3">
        <v>1</v>
      </c>
      <c r="C230" s="3">
        <v>8</v>
      </c>
      <c r="D230" s="3">
        <v>19</v>
      </c>
      <c r="E230" s="3" t="s">
        <v>8</v>
      </c>
      <c r="F230" s="3">
        <v>0</v>
      </c>
      <c r="G230" s="4"/>
      <c r="H230" s="3">
        <v>0</v>
      </c>
    </row>
    <row r="231" ht="14.25" spans="1:8">
      <c r="A231" s="3" t="str">
        <f>"10204100820"</f>
        <v>10204100820</v>
      </c>
      <c r="B231" s="3">
        <v>1</v>
      </c>
      <c r="C231" s="3">
        <v>8</v>
      </c>
      <c r="D231" s="3">
        <v>20</v>
      </c>
      <c r="E231" s="3" t="s">
        <v>8</v>
      </c>
      <c r="F231" s="4">
        <v>72</v>
      </c>
      <c r="G231" s="4"/>
      <c r="H231" s="4">
        <f t="shared" ref="H231:H243" si="17">F231+G231</f>
        <v>72</v>
      </c>
    </row>
    <row r="232" ht="14.25" spans="1:8">
      <c r="A232" s="3" t="str">
        <f>"10205100821"</f>
        <v>10205100821</v>
      </c>
      <c r="B232" s="3">
        <v>1</v>
      </c>
      <c r="C232" s="3">
        <v>8</v>
      </c>
      <c r="D232" s="3">
        <v>21</v>
      </c>
      <c r="E232" s="3" t="s">
        <v>8</v>
      </c>
      <c r="F232" s="4">
        <v>67</v>
      </c>
      <c r="G232" s="4"/>
      <c r="H232" s="4">
        <f t="shared" si="17"/>
        <v>67</v>
      </c>
    </row>
    <row r="233" ht="14.25" spans="1:8">
      <c r="A233" s="3" t="str">
        <f>"10205100822"</f>
        <v>10205100822</v>
      </c>
      <c r="B233" s="3">
        <v>1</v>
      </c>
      <c r="C233" s="3">
        <v>8</v>
      </c>
      <c r="D233" s="3">
        <v>22</v>
      </c>
      <c r="E233" s="3" t="s">
        <v>8</v>
      </c>
      <c r="F233" s="3">
        <v>0</v>
      </c>
      <c r="G233" s="4"/>
      <c r="H233" s="3">
        <v>0</v>
      </c>
    </row>
    <row r="234" ht="14.25" spans="1:8">
      <c r="A234" s="3" t="str">
        <f>"10205100823"</f>
        <v>10205100823</v>
      </c>
      <c r="B234" s="3">
        <v>1</v>
      </c>
      <c r="C234" s="3">
        <v>8</v>
      </c>
      <c r="D234" s="3">
        <v>23</v>
      </c>
      <c r="E234" s="3" t="s">
        <v>8</v>
      </c>
      <c r="F234" s="4">
        <v>69.5</v>
      </c>
      <c r="G234" s="4"/>
      <c r="H234" s="4">
        <f t="shared" si="17"/>
        <v>69.5</v>
      </c>
    </row>
    <row r="235" ht="14.25" spans="1:8">
      <c r="A235" s="3" t="str">
        <f>"10205100824"</f>
        <v>10205100824</v>
      </c>
      <c r="B235" s="3">
        <v>1</v>
      </c>
      <c r="C235" s="3">
        <v>8</v>
      </c>
      <c r="D235" s="3">
        <v>24</v>
      </c>
      <c r="E235" s="3" t="s">
        <v>8</v>
      </c>
      <c r="F235" s="4">
        <v>82.5</v>
      </c>
      <c r="G235" s="4"/>
      <c r="H235" s="4">
        <f t="shared" si="17"/>
        <v>82.5</v>
      </c>
    </row>
    <row r="236" ht="14.25" spans="1:8">
      <c r="A236" s="3" t="str">
        <f>"10206100825"</f>
        <v>10206100825</v>
      </c>
      <c r="B236" s="3">
        <v>1</v>
      </c>
      <c r="C236" s="3">
        <v>8</v>
      </c>
      <c r="D236" s="3">
        <v>25</v>
      </c>
      <c r="E236" s="3" t="s">
        <v>8</v>
      </c>
      <c r="F236" s="4">
        <v>65.5</v>
      </c>
      <c r="G236" s="4"/>
      <c r="H236" s="4">
        <f t="shared" si="17"/>
        <v>65.5</v>
      </c>
    </row>
    <row r="237" ht="14.25" spans="1:8">
      <c r="A237" s="3" t="str">
        <f>"10206100826"</f>
        <v>10206100826</v>
      </c>
      <c r="B237" s="3">
        <v>1</v>
      </c>
      <c r="C237" s="3">
        <v>8</v>
      </c>
      <c r="D237" s="3">
        <v>26</v>
      </c>
      <c r="E237" s="3" t="s">
        <v>8</v>
      </c>
      <c r="F237" s="4">
        <v>71.5</v>
      </c>
      <c r="G237" s="4"/>
      <c r="H237" s="4">
        <f t="shared" si="17"/>
        <v>71.5</v>
      </c>
    </row>
    <row r="238" ht="14.25" spans="1:8">
      <c r="A238" s="3" t="str">
        <f>"10206100827"</f>
        <v>10206100827</v>
      </c>
      <c r="B238" s="3">
        <v>1</v>
      </c>
      <c r="C238" s="3">
        <v>8</v>
      </c>
      <c r="D238" s="3">
        <v>27</v>
      </c>
      <c r="E238" s="3" t="s">
        <v>8</v>
      </c>
      <c r="F238" s="4">
        <v>82</v>
      </c>
      <c r="G238" s="4"/>
      <c r="H238" s="4">
        <f t="shared" si="17"/>
        <v>82</v>
      </c>
    </row>
    <row r="239" ht="14.25" spans="1:8">
      <c r="A239" s="3" t="str">
        <f>"10206100828"</f>
        <v>10206100828</v>
      </c>
      <c r="B239" s="3">
        <v>1</v>
      </c>
      <c r="C239" s="3">
        <v>8</v>
      </c>
      <c r="D239" s="3">
        <v>28</v>
      </c>
      <c r="E239" s="3" t="s">
        <v>8</v>
      </c>
      <c r="F239" s="4">
        <v>69</v>
      </c>
      <c r="G239" s="4"/>
      <c r="H239" s="4">
        <f t="shared" si="17"/>
        <v>69</v>
      </c>
    </row>
    <row r="240" ht="14.25" spans="1:8">
      <c r="A240" s="3" t="str">
        <f>"10206100829"</f>
        <v>10206100829</v>
      </c>
      <c r="B240" s="3">
        <v>1</v>
      </c>
      <c r="C240" s="3">
        <v>8</v>
      </c>
      <c r="D240" s="3">
        <v>29</v>
      </c>
      <c r="E240" s="3" t="s">
        <v>8</v>
      </c>
      <c r="F240" s="4">
        <v>74</v>
      </c>
      <c r="G240" s="4"/>
      <c r="H240" s="4">
        <f t="shared" si="17"/>
        <v>74</v>
      </c>
    </row>
    <row r="241" ht="14.25" spans="1:8">
      <c r="A241" s="3" t="str">
        <f>"10206100830"</f>
        <v>10206100830</v>
      </c>
      <c r="B241" s="3">
        <v>1</v>
      </c>
      <c r="C241" s="3">
        <v>8</v>
      </c>
      <c r="D241" s="3">
        <v>30</v>
      </c>
      <c r="E241" s="3" t="s">
        <v>8</v>
      </c>
      <c r="F241" s="4">
        <v>75.5</v>
      </c>
      <c r="G241" s="4"/>
      <c r="H241" s="4">
        <f t="shared" si="17"/>
        <v>75.5</v>
      </c>
    </row>
    <row r="242" ht="14.25" spans="1:8">
      <c r="A242" s="3" t="str">
        <f>"10207100901"</f>
        <v>10207100901</v>
      </c>
      <c r="B242" s="3">
        <v>1</v>
      </c>
      <c r="C242" s="3">
        <v>9</v>
      </c>
      <c r="D242" s="3">
        <v>1</v>
      </c>
      <c r="E242" s="3" t="s">
        <v>8</v>
      </c>
      <c r="F242" s="4">
        <v>78.5</v>
      </c>
      <c r="G242" s="4"/>
      <c r="H242" s="4">
        <f t="shared" si="17"/>
        <v>78.5</v>
      </c>
    </row>
    <row r="243" ht="14.25" spans="1:8">
      <c r="A243" s="3" t="str">
        <f>"10207100902"</f>
        <v>10207100902</v>
      </c>
      <c r="B243" s="3">
        <v>1</v>
      </c>
      <c r="C243" s="3">
        <v>9</v>
      </c>
      <c r="D243" s="3">
        <v>2</v>
      </c>
      <c r="E243" s="3" t="s">
        <v>8</v>
      </c>
      <c r="F243" s="4">
        <v>55</v>
      </c>
      <c r="G243" s="4"/>
      <c r="H243" s="4">
        <f t="shared" si="17"/>
        <v>55</v>
      </c>
    </row>
    <row r="244" ht="14.25" spans="1:8">
      <c r="A244" s="3" t="str">
        <f>"10207100903"</f>
        <v>10207100903</v>
      </c>
      <c r="B244" s="3">
        <v>1</v>
      </c>
      <c r="C244" s="3">
        <v>9</v>
      </c>
      <c r="D244" s="3">
        <v>3</v>
      </c>
      <c r="E244" s="3" t="s">
        <v>8</v>
      </c>
      <c r="F244" s="3">
        <v>0</v>
      </c>
      <c r="G244" s="4"/>
      <c r="H244" s="3">
        <v>0</v>
      </c>
    </row>
    <row r="245" ht="14.25" spans="1:8">
      <c r="A245" s="3" t="str">
        <f>"10301100904"</f>
        <v>10301100904</v>
      </c>
      <c r="B245" s="3">
        <v>1</v>
      </c>
      <c r="C245" s="3">
        <v>9</v>
      </c>
      <c r="D245" s="3">
        <v>4</v>
      </c>
      <c r="E245" s="3" t="s">
        <v>8</v>
      </c>
      <c r="F245" s="4">
        <v>58.5</v>
      </c>
      <c r="G245" s="4"/>
      <c r="H245" s="4">
        <f t="shared" ref="H245:H252" si="18">F245+G245</f>
        <v>58.5</v>
      </c>
    </row>
    <row r="246" ht="14.25" spans="1:8">
      <c r="A246" s="3" t="str">
        <f>"10301100905"</f>
        <v>10301100905</v>
      </c>
      <c r="B246" s="3">
        <v>1</v>
      </c>
      <c r="C246" s="3">
        <v>9</v>
      </c>
      <c r="D246" s="3">
        <v>5</v>
      </c>
      <c r="E246" s="3" t="s">
        <v>8</v>
      </c>
      <c r="F246" s="4">
        <v>78</v>
      </c>
      <c r="G246" s="4"/>
      <c r="H246" s="4">
        <f t="shared" si="18"/>
        <v>78</v>
      </c>
    </row>
    <row r="247" ht="14.25" spans="1:8">
      <c r="A247" s="3" t="str">
        <f>"10301100906"</f>
        <v>10301100906</v>
      </c>
      <c r="B247" s="3">
        <v>1</v>
      </c>
      <c r="C247" s="3">
        <v>9</v>
      </c>
      <c r="D247" s="3">
        <v>6</v>
      </c>
      <c r="E247" s="3" t="s">
        <v>8</v>
      </c>
      <c r="F247" s="4">
        <v>82</v>
      </c>
      <c r="G247" s="4"/>
      <c r="H247" s="4">
        <f t="shared" si="18"/>
        <v>82</v>
      </c>
    </row>
    <row r="248" ht="14.25" spans="1:8">
      <c r="A248" s="3" t="str">
        <f>"10301100907"</f>
        <v>10301100907</v>
      </c>
      <c r="B248" s="3">
        <v>1</v>
      </c>
      <c r="C248" s="3">
        <v>9</v>
      </c>
      <c r="D248" s="3">
        <v>7</v>
      </c>
      <c r="E248" s="3" t="s">
        <v>8</v>
      </c>
      <c r="F248" s="4">
        <v>76.5</v>
      </c>
      <c r="G248" s="4"/>
      <c r="H248" s="4">
        <f t="shared" si="18"/>
        <v>76.5</v>
      </c>
    </row>
    <row r="249" ht="14.25" spans="1:8">
      <c r="A249" s="3" t="str">
        <f>"10301100908"</f>
        <v>10301100908</v>
      </c>
      <c r="B249" s="3">
        <v>1</v>
      </c>
      <c r="C249" s="3">
        <v>9</v>
      </c>
      <c r="D249" s="3">
        <v>8</v>
      </c>
      <c r="E249" s="3" t="s">
        <v>8</v>
      </c>
      <c r="F249" s="4">
        <v>75.5</v>
      </c>
      <c r="G249" s="4"/>
      <c r="H249" s="4">
        <f t="shared" si="18"/>
        <v>75.5</v>
      </c>
    </row>
    <row r="250" ht="14.25" spans="1:8">
      <c r="A250" s="3" t="str">
        <f>"10301100909"</f>
        <v>10301100909</v>
      </c>
      <c r="B250" s="3">
        <v>1</v>
      </c>
      <c r="C250" s="3">
        <v>9</v>
      </c>
      <c r="D250" s="3">
        <v>9</v>
      </c>
      <c r="E250" s="3" t="s">
        <v>8</v>
      </c>
      <c r="F250" s="4">
        <v>71.5</v>
      </c>
      <c r="G250" s="4"/>
      <c r="H250" s="4">
        <f t="shared" si="18"/>
        <v>71.5</v>
      </c>
    </row>
    <row r="251" ht="14.25" spans="1:8">
      <c r="A251" s="3" t="str">
        <f>"10301100910"</f>
        <v>10301100910</v>
      </c>
      <c r="B251" s="3">
        <v>1</v>
      </c>
      <c r="C251" s="3">
        <v>9</v>
      </c>
      <c r="D251" s="3">
        <v>10</v>
      </c>
      <c r="E251" s="3" t="s">
        <v>8</v>
      </c>
      <c r="F251" s="4">
        <v>46.5</v>
      </c>
      <c r="G251" s="4"/>
      <c r="H251" s="4">
        <f t="shared" si="18"/>
        <v>46.5</v>
      </c>
    </row>
    <row r="252" ht="14.25" spans="1:8">
      <c r="A252" s="3" t="str">
        <f>"10301100911"</f>
        <v>10301100911</v>
      </c>
      <c r="B252" s="3">
        <v>1</v>
      </c>
      <c r="C252" s="3">
        <v>9</v>
      </c>
      <c r="D252" s="3">
        <v>11</v>
      </c>
      <c r="E252" s="3" t="s">
        <v>8</v>
      </c>
      <c r="F252" s="4">
        <v>81</v>
      </c>
      <c r="G252" s="4"/>
      <c r="H252" s="4">
        <f t="shared" si="18"/>
        <v>81</v>
      </c>
    </row>
    <row r="253" ht="14.25" spans="1:8">
      <c r="A253" s="3" t="str">
        <f>"10301100912"</f>
        <v>10301100912</v>
      </c>
      <c r="B253" s="3">
        <v>1</v>
      </c>
      <c r="C253" s="3">
        <v>9</v>
      </c>
      <c r="D253" s="3">
        <v>12</v>
      </c>
      <c r="E253" s="3" t="s">
        <v>8</v>
      </c>
      <c r="F253" s="3">
        <v>0</v>
      </c>
      <c r="G253" s="4"/>
      <c r="H253" s="3">
        <v>0</v>
      </c>
    </row>
    <row r="254" ht="14.25" spans="1:8">
      <c r="A254" s="3" t="str">
        <f>"10301100913"</f>
        <v>10301100913</v>
      </c>
      <c r="B254" s="3">
        <v>1</v>
      </c>
      <c r="C254" s="3">
        <v>9</v>
      </c>
      <c r="D254" s="3">
        <v>13</v>
      </c>
      <c r="E254" s="3" t="s">
        <v>8</v>
      </c>
      <c r="F254" s="4">
        <v>59.5</v>
      </c>
      <c r="G254" s="4"/>
      <c r="H254" s="4">
        <f t="shared" ref="H254:H274" si="19">F254+G254</f>
        <v>59.5</v>
      </c>
    </row>
    <row r="255" ht="14.25" spans="1:8">
      <c r="A255" s="3" t="str">
        <f>"10301100914"</f>
        <v>10301100914</v>
      </c>
      <c r="B255" s="3">
        <v>1</v>
      </c>
      <c r="C255" s="3">
        <v>9</v>
      </c>
      <c r="D255" s="3">
        <v>14</v>
      </c>
      <c r="E255" s="3" t="s">
        <v>8</v>
      </c>
      <c r="F255" s="4">
        <v>87</v>
      </c>
      <c r="G255" s="4"/>
      <c r="H255" s="4">
        <f t="shared" si="19"/>
        <v>87</v>
      </c>
    </row>
    <row r="256" ht="14.25" spans="1:8">
      <c r="A256" s="3" t="str">
        <f>"10301100915"</f>
        <v>10301100915</v>
      </c>
      <c r="B256" s="3">
        <v>1</v>
      </c>
      <c r="C256" s="3">
        <v>9</v>
      </c>
      <c r="D256" s="3">
        <v>15</v>
      </c>
      <c r="E256" s="3" t="s">
        <v>8</v>
      </c>
      <c r="F256" s="4">
        <v>45</v>
      </c>
      <c r="G256" s="4"/>
      <c r="H256" s="4">
        <f t="shared" si="19"/>
        <v>45</v>
      </c>
    </row>
    <row r="257" ht="14.25" spans="1:8">
      <c r="A257" s="3" t="str">
        <f>"10301100916"</f>
        <v>10301100916</v>
      </c>
      <c r="B257" s="3">
        <v>1</v>
      </c>
      <c r="C257" s="3">
        <v>9</v>
      </c>
      <c r="D257" s="3">
        <v>16</v>
      </c>
      <c r="E257" s="3" t="s">
        <v>8</v>
      </c>
      <c r="F257" s="4">
        <v>65</v>
      </c>
      <c r="G257" s="4"/>
      <c r="H257" s="4">
        <f t="shared" si="19"/>
        <v>65</v>
      </c>
    </row>
    <row r="258" ht="14.25" spans="1:8">
      <c r="A258" s="3" t="str">
        <f>"10301100917"</f>
        <v>10301100917</v>
      </c>
      <c r="B258" s="3">
        <v>1</v>
      </c>
      <c r="C258" s="3">
        <v>9</v>
      </c>
      <c r="D258" s="3">
        <v>17</v>
      </c>
      <c r="E258" s="3" t="s">
        <v>8</v>
      </c>
      <c r="F258" s="4">
        <v>87.5</v>
      </c>
      <c r="G258" s="4"/>
      <c r="H258" s="4">
        <f t="shared" si="19"/>
        <v>87.5</v>
      </c>
    </row>
    <row r="259" ht="14.25" spans="1:8">
      <c r="A259" s="3" t="str">
        <f>"10301100918"</f>
        <v>10301100918</v>
      </c>
      <c r="B259" s="3">
        <v>1</v>
      </c>
      <c r="C259" s="3">
        <v>9</v>
      </c>
      <c r="D259" s="3">
        <v>18</v>
      </c>
      <c r="E259" s="3" t="s">
        <v>8</v>
      </c>
      <c r="F259" s="4">
        <v>76</v>
      </c>
      <c r="G259" s="4"/>
      <c r="H259" s="4">
        <f t="shared" si="19"/>
        <v>76</v>
      </c>
    </row>
    <row r="260" ht="14.25" spans="1:8">
      <c r="A260" s="3" t="str">
        <f>"10301100919"</f>
        <v>10301100919</v>
      </c>
      <c r="B260" s="3">
        <v>1</v>
      </c>
      <c r="C260" s="3">
        <v>9</v>
      </c>
      <c r="D260" s="3">
        <v>19</v>
      </c>
      <c r="E260" s="3" t="s">
        <v>8</v>
      </c>
      <c r="F260" s="4">
        <v>65.5</v>
      </c>
      <c r="G260" s="4"/>
      <c r="H260" s="4">
        <f t="shared" si="19"/>
        <v>65.5</v>
      </c>
    </row>
    <row r="261" ht="14.25" spans="1:8">
      <c r="A261" s="3" t="str">
        <f>"10301100920"</f>
        <v>10301100920</v>
      </c>
      <c r="B261" s="3">
        <v>1</v>
      </c>
      <c r="C261" s="3">
        <v>9</v>
      </c>
      <c r="D261" s="3">
        <v>20</v>
      </c>
      <c r="E261" s="3" t="s">
        <v>8</v>
      </c>
      <c r="F261" s="4">
        <v>54</v>
      </c>
      <c r="G261" s="4"/>
      <c r="H261" s="4">
        <f t="shared" si="19"/>
        <v>54</v>
      </c>
    </row>
    <row r="262" ht="14.25" spans="1:8">
      <c r="A262" s="3" t="str">
        <f>"10301100921"</f>
        <v>10301100921</v>
      </c>
      <c r="B262" s="3">
        <v>1</v>
      </c>
      <c r="C262" s="3">
        <v>9</v>
      </c>
      <c r="D262" s="3">
        <v>21</v>
      </c>
      <c r="E262" s="3" t="s">
        <v>8</v>
      </c>
      <c r="F262" s="4">
        <v>77.5</v>
      </c>
      <c r="G262" s="4"/>
      <c r="H262" s="4">
        <f t="shared" si="19"/>
        <v>77.5</v>
      </c>
    </row>
    <row r="263" ht="14.25" spans="1:8">
      <c r="A263" s="3" t="str">
        <f>"10301100922"</f>
        <v>10301100922</v>
      </c>
      <c r="B263" s="3">
        <v>1</v>
      </c>
      <c r="C263" s="3">
        <v>9</v>
      </c>
      <c r="D263" s="3">
        <v>22</v>
      </c>
      <c r="E263" s="3" t="s">
        <v>8</v>
      </c>
      <c r="F263" s="4">
        <v>68.5</v>
      </c>
      <c r="G263" s="4"/>
      <c r="H263" s="4">
        <f t="shared" si="19"/>
        <v>68.5</v>
      </c>
    </row>
    <row r="264" ht="14.25" spans="1:8">
      <c r="A264" s="3" t="str">
        <f>"10301100923"</f>
        <v>10301100923</v>
      </c>
      <c r="B264" s="3">
        <v>1</v>
      </c>
      <c r="C264" s="3">
        <v>9</v>
      </c>
      <c r="D264" s="3">
        <v>23</v>
      </c>
      <c r="E264" s="3" t="s">
        <v>8</v>
      </c>
      <c r="F264" s="4">
        <v>81.5</v>
      </c>
      <c r="G264" s="4"/>
      <c r="H264" s="4">
        <f t="shared" si="19"/>
        <v>81.5</v>
      </c>
    </row>
    <row r="265" ht="14.25" spans="1:8">
      <c r="A265" s="3" t="str">
        <f>"10301100924"</f>
        <v>10301100924</v>
      </c>
      <c r="B265" s="3">
        <v>1</v>
      </c>
      <c r="C265" s="3">
        <v>9</v>
      </c>
      <c r="D265" s="3">
        <v>24</v>
      </c>
      <c r="E265" s="3" t="s">
        <v>8</v>
      </c>
      <c r="F265" s="4">
        <v>55.5</v>
      </c>
      <c r="G265" s="4"/>
      <c r="H265" s="4">
        <f t="shared" si="19"/>
        <v>55.5</v>
      </c>
    </row>
    <row r="266" ht="14.25" spans="1:8">
      <c r="A266" s="3" t="str">
        <f>"10301100925"</f>
        <v>10301100925</v>
      </c>
      <c r="B266" s="3">
        <v>1</v>
      </c>
      <c r="C266" s="3">
        <v>9</v>
      </c>
      <c r="D266" s="3">
        <v>25</v>
      </c>
      <c r="E266" s="3" t="s">
        <v>8</v>
      </c>
      <c r="F266" s="4">
        <v>80</v>
      </c>
      <c r="G266" s="4"/>
      <c r="H266" s="4">
        <f t="shared" si="19"/>
        <v>80</v>
      </c>
    </row>
    <row r="267" ht="14.25" spans="1:8">
      <c r="A267" s="3" t="str">
        <f>"10301100926"</f>
        <v>10301100926</v>
      </c>
      <c r="B267" s="3">
        <v>1</v>
      </c>
      <c r="C267" s="3">
        <v>9</v>
      </c>
      <c r="D267" s="3">
        <v>26</v>
      </c>
      <c r="E267" s="3" t="s">
        <v>8</v>
      </c>
      <c r="F267" s="4">
        <v>72.5</v>
      </c>
      <c r="G267" s="4"/>
      <c r="H267" s="4">
        <f t="shared" si="19"/>
        <v>72.5</v>
      </c>
    </row>
    <row r="268" ht="14.25" spans="1:8">
      <c r="A268" s="3" t="str">
        <f>"10301100927"</f>
        <v>10301100927</v>
      </c>
      <c r="B268" s="3">
        <v>1</v>
      </c>
      <c r="C268" s="3">
        <v>9</v>
      </c>
      <c r="D268" s="3">
        <v>27</v>
      </c>
      <c r="E268" s="3" t="s">
        <v>8</v>
      </c>
      <c r="F268" s="4">
        <v>51</v>
      </c>
      <c r="G268" s="4"/>
      <c r="H268" s="4">
        <f t="shared" si="19"/>
        <v>51</v>
      </c>
    </row>
    <row r="269" ht="14.25" spans="1:8">
      <c r="A269" s="3" t="str">
        <f>"10301100928"</f>
        <v>10301100928</v>
      </c>
      <c r="B269" s="3">
        <v>1</v>
      </c>
      <c r="C269" s="3">
        <v>9</v>
      </c>
      <c r="D269" s="3">
        <v>28</v>
      </c>
      <c r="E269" s="3" t="s">
        <v>8</v>
      </c>
      <c r="F269" s="4">
        <v>82</v>
      </c>
      <c r="G269" s="4"/>
      <c r="H269" s="4">
        <f t="shared" si="19"/>
        <v>82</v>
      </c>
    </row>
    <row r="270" ht="14.25" spans="1:8">
      <c r="A270" s="3" t="str">
        <f>"10301100929"</f>
        <v>10301100929</v>
      </c>
      <c r="B270" s="3">
        <v>1</v>
      </c>
      <c r="C270" s="3">
        <v>9</v>
      </c>
      <c r="D270" s="3">
        <v>29</v>
      </c>
      <c r="E270" s="3" t="s">
        <v>8</v>
      </c>
      <c r="F270" s="4">
        <v>86.5</v>
      </c>
      <c r="G270" s="4"/>
      <c r="H270" s="4">
        <f t="shared" si="19"/>
        <v>86.5</v>
      </c>
    </row>
    <row r="271" ht="14.25" spans="1:8">
      <c r="A271" s="3" t="str">
        <f>"10301100930"</f>
        <v>10301100930</v>
      </c>
      <c r="B271" s="3">
        <v>1</v>
      </c>
      <c r="C271" s="3">
        <v>9</v>
      </c>
      <c r="D271" s="3">
        <v>30</v>
      </c>
      <c r="E271" s="3" t="s">
        <v>8</v>
      </c>
      <c r="F271" s="4">
        <v>77</v>
      </c>
      <c r="G271" s="4"/>
      <c r="H271" s="4">
        <f t="shared" si="19"/>
        <v>77</v>
      </c>
    </row>
    <row r="272" ht="14.25" spans="1:8">
      <c r="A272" s="3" t="str">
        <f>"10301101001"</f>
        <v>10301101001</v>
      </c>
      <c r="B272" s="3">
        <v>1</v>
      </c>
      <c r="C272" s="3">
        <v>10</v>
      </c>
      <c r="D272" s="3">
        <v>1</v>
      </c>
      <c r="E272" s="3" t="s">
        <v>8</v>
      </c>
      <c r="F272" s="4">
        <v>52.5</v>
      </c>
      <c r="G272" s="4"/>
      <c r="H272" s="4">
        <f t="shared" si="19"/>
        <v>52.5</v>
      </c>
    </row>
    <row r="273" ht="14.25" spans="1:8">
      <c r="A273" s="3" t="str">
        <f>"10301101002"</f>
        <v>10301101002</v>
      </c>
      <c r="B273" s="3">
        <v>1</v>
      </c>
      <c r="C273" s="3">
        <v>10</v>
      </c>
      <c r="D273" s="3">
        <v>2</v>
      </c>
      <c r="E273" s="3" t="s">
        <v>8</v>
      </c>
      <c r="F273" s="4">
        <v>65.5</v>
      </c>
      <c r="G273" s="4"/>
      <c r="H273" s="4">
        <f t="shared" si="19"/>
        <v>65.5</v>
      </c>
    </row>
    <row r="274" ht="14.25" spans="1:8">
      <c r="A274" s="3" t="str">
        <f>"10301101003"</f>
        <v>10301101003</v>
      </c>
      <c r="B274" s="3">
        <v>1</v>
      </c>
      <c r="C274" s="3">
        <v>10</v>
      </c>
      <c r="D274" s="3">
        <v>3</v>
      </c>
      <c r="E274" s="3" t="s">
        <v>8</v>
      </c>
      <c r="F274" s="4">
        <v>71</v>
      </c>
      <c r="G274" s="4"/>
      <c r="H274" s="4">
        <f t="shared" si="19"/>
        <v>71</v>
      </c>
    </row>
    <row r="275" ht="14.25" spans="1:8">
      <c r="A275" s="3" t="str">
        <f>"10301101004"</f>
        <v>10301101004</v>
      </c>
      <c r="B275" s="3">
        <v>1</v>
      </c>
      <c r="C275" s="3">
        <v>10</v>
      </c>
      <c r="D275" s="3">
        <v>4</v>
      </c>
      <c r="E275" s="3" t="s">
        <v>8</v>
      </c>
      <c r="F275" s="3">
        <v>0</v>
      </c>
      <c r="G275" s="4"/>
      <c r="H275" s="3">
        <v>0</v>
      </c>
    </row>
    <row r="276" ht="14.25" spans="1:8">
      <c r="A276" s="3" t="str">
        <f>"10301101005"</f>
        <v>10301101005</v>
      </c>
      <c r="B276" s="3">
        <v>1</v>
      </c>
      <c r="C276" s="3">
        <v>10</v>
      </c>
      <c r="D276" s="3">
        <v>5</v>
      </c>
      <c r="E276" s="3" t="s">
        <v>8</v>
      </c>
      <c r="F276" s="4">
        <v>78</v>
      </c>
      <c r="G276" s="4"/>
      <c r="H276" s="4">
        <f t="shared" ref="H276:H299" si="20">F276+G276</f>
        <v>78</v>
      </c>
    </row>
    <row r="277" ht="14.25" spans="1:8">
      <c r="A277" s="3" t="str">
        <f>"10301101006"</f>
        <v>10301101006</v>
      </c>
      <c r="B277" s="3">
        <v>1</v>
      </c>
      <c r="C277" s="3">
        <v>10</v>
      </c>
      <c r="D277" s="3">
        <v>6</v>
      </c>
      <c r="E277" s="3" t="s">
        <v>8</v>
      </c>
      <c r="F277" s="3">
        <v>0</v>
      </c>
      <c r="G277" s="4"/>
      <c r="H277" s="3">
        <v>0</v>
      </c>
    </row>
    <row r="278" ht="14.25" spans="1:8">
      <c r="A278" s="3" t="str">
        <f>"10301101007"</f>
        <v>10301101007</v>
      </c>
      <c r="B278" s="3">
        <v>1</v>
      </c>
      <c r="C278" s="3">
        <v>10</v>
      </c>
      <c r="D278" s="3">
        <v>7</v>
      </c>
      <c r="E278" s="3" t="s">
        <v>8</v>
      </c>
      <c r="F278" s="4">
        <v>79.5</v>
      </c>
      <c r="G278" s="4"/>
      <c r="H278" s="4">
        <f t="shared" si="20"/>
        <v>79.5</v>
      </c>
    </row>
    <row r="279" ht="14.25" spans="1:8">
      <c r="A279" s="3" t="str">
        <f>"10301101008"</f>
        <v>10301101008</v>
      </c>
      <c r="B279" s="3">
        <v>1</v>
      </c>
      <c r="C279" s="3">
        <v>10</v>
      </c>
      <c r="D279" s="3">
        <v>8</v>
      </c>
      <c r="E279" s="3" t="s">
        <v>8</v>
      </c>
      <c r="F279" s="4">
        <v>66</v>
      </c>
      <c r="G279" s="4"/>
      <c r="H279" s="4">
        <f t="shared" si="20"/>
        <v>66</v>
      </c>
    </row>
    <row r="280" ht="14.25" spans="1:8">
      <c r="A280" s="3" t="str">
        <f>"10301101009"</f>
        <v>10301101009</v>
      </c>
      <c r="B280" s="3">
        <v>1</v>
      </c>
      <c r="C280" s="3">
        <v>10</v>
      </c>
      <c r="D280" s="3">
        <v>9</v>
      </c>
      <c r="E280" s="3" t="s">
        <v>8</v>
      </c>
      <c r="F280" s="4">
        <v>53.5</v>
      </c>
      <c r="G280" s="4"/>
      <c r="H280" s="4">
        <f t="shared" si="20"/>
        <v>53.5</v>
      </c>
    </row>
    <row r="281" ht="14.25" spans="1:8">
      <c r="A281" s="3" t="str">
        <f>"10301101010"</f>
        <v>10301101010</v>
      </c>
      <c r="B281" s="3">
        <v>1</v>
      </c>
      <c r="C281" s="3">
        <v>10</v>
      </c>
      <c r="D281" s="3">
        <v>10</v>
      </c>
      <c r="E281" s="3" t="s">
        <v>8</v>
      </c>
      <c r="F281" s="4">
        <v>79</v>
      </c>
      <c r="G281" s="4"/>
      <c r="H281" s="4">
        <f t="shared" si="20"/>
        <v>79</v>
      </c>
    </row>
    <row r="282" ht="14.25" spans="1:8">
      <c r="A282" s="3" t="str">
        <f>"10301101011"</f>
        <v>10301101011</v>
      </c>
      <c r="B282" s="3">
        <v>1</v>
      </c>
      <c r="C282" s="3">
        <v>10</v>
      </c>
      <c r="D282" s="3">
        <v>11</v>
      </c>
      <c r="E282" s="3" t="s">
        <v>8</v>
      </c>
      <c r="F282" s="4">
        <v>75.5</v>
      </c>
      <c r="G282" s="4"/>
      <c r="H282" s="4">
        <f t="shared" si="20"/>
        <v>75.5</v>
      </c>
    </row>
    <row r="283" ht="14.25" spans="1:8">
      <c r="A283" s="3" t="str">
        <f>"10301101012"</f>
        <v>10301101012</v>
      </c>
      <c r="B283" s="3">
        <v>1</v>
      </c>
      <c r="C283" s="3">
        <v>10</v>
      </c>
      <c r="D283" s="3">
        <v>12</v>
      </c>
      <c r="E283" s="3" t="s">
        <v>8</v>
      </c>
      <c r="F283" s="4">
        <v>88.5</v>
      </c>
      <c r="G283" s="4"/>
      <c r="H283" s="4">
        <f t="shared" si="20"/>
        <v>88.5</v>
      </c>
    </row>
    <row r="284" ht="14.25" spans="1:8">
      <c r="A284" s="3" t="str">
        <f>"10301101013"</f>
        <v>10301101013</v>
      </c>
      <c r="B284" s="3">
        <v>1</v>
      </c>
      <c r="C284" s="3">
        <v>10</v>
      </c>
      <c r="D284" s="3">
        <v>13</v>
      </c>
      <c r="E284" s="3" t="s">
        <v>8</v>
      </c>
      <c r="F284" s="4">
        <v>54</v>
      </c>
      <c r="G284" s="4"/>
      <c r="H284" s="4">
        <f t="shared" si="20"/>
        <v>54</v>
      </c>
    </row>
    <row r="285" ht="14.25" spans="1:8">
      <c r="A285" s="3" t="str">
        <f>"10301101014"</f>
        <v>10301101014</v>
      </c>
      <c r="B285" s="3">
        <v>1</v>
      </c>
      <c r="C285" s="3">
        <v>10</v>
      </c>
      <c r="D285" s="3">
        <v>14</v>
      </c>
      <c r="E285" s="3" t="s">
        <v>8</v>
      </c>
      <c r="F285" s="4">
        <v>82.5</v>
      </c>
      <c r="G285" s="4"/>
      <c r="H285" s="4">
        <f t="shared" si="20"/>
        <v>82.5</v>
      </c>
    </row>
    <row r="286" ht="14.25" spans="1:8">
      <c r="A286" s="3" t="str">
        <f>"10301101015"</f>
        <v>10301101015</v>
      </c>
      <c r="B286" s="3">
        <v>1</v>
      </c>
      <c r="C286" s="3">
        <v>10</v>
      </c>
      <c r="D286" s="3">
        <v>15</v>
      </c>
      <c r="E286" s="3" t="s">
        <v>8</v>
      </c>
      <c r="F286" s="4">
        <v>64</v>
      </c>
      <c r="G286" s="4"/>
      <c r="H286" s="4">
        <f t="shared" si="20"/>
        <v>64</v>
      </c>
    </row>
    <row r="287" ht="14.25" spans="1:8">
      <c r="A287" s="3" t="str">
        <f>"10301101016"</f>
        <v>10301101016</v>
      </c>
      <c r="B287" s="3">
        <v>1</v>
      </c>
      <c r="C287" s="3">
        <v>10</v>
      </c>
      <c r="D287" s="3">
        <v>16</v>
      </c>
      <c r="E287" s="3" t="s">
        <v>8</v>
      </c>
      <c r="F287" s="4">
        <v>81</v>
      </c>
      <c r="G287" s="4"/>
      <c r="H287" s="4">
        <f t="shared" si="20"/>
        <v>81</v>
      </c>
    </row>
    <row r="288" ht="14.25" spans="1:8">
      <c r="A288" s="3" t="str">
        <f>"10301101017"</f>
        <v>10301101017</v>
      </c>
      <c r="B288" s="3">
        <v>1</v>
      </c>
      <c r="C288" s="3">
        <v>10</v>
      </c>
      <c r="D288" s="3">
        <v>17</v>
      </c>
      <c r="E288" s="3" t="s">
        <v>8</v>
      </c>
      <c r="F288" s="4">
        <v>79.5</v>
      </c>
      <c r="G288" s="4"/>
      <c r="H288" s="4">
        <f t="shared" si="20"/>
        <v>79.5</v>
      </c>
    </row>
    <row r="289" ht="14.25" spans="1:8">
      <c r="A289" s="3" t="str">
        <f>"10301101018"</f>
        <v>10301101018</v>
      </c>
      <c r="B289" s="3">
        <v>1</v>
      </c>
      <c r="C289" s="3">
        <v>10</v>
      </c>
      <c r="D289" s="3">
        <v>18</v>
      </c>
      <c r="E289" s="3" t="s">
        <v>8</v>
      </c>
      <c r="F289" s="4">
        <v>78</v>
      </c>
      <c r="G289" s="4"/>
      <c r="H289" s="4">
        <f t="shared" si="20"/>
        <v>78</v>
      </c>
    </row>
    <row r="290" ht="14.25" spans="1:8">
      <c r="A290" s="3" t="str">
        <f>"10301101019"</f>
        <v>10301101019</v>
      </c>
      <c r="B290" s="3">
        <v>1</v>
      </c>
      <c r="C290" s="3">
        <v>10</v>
      </c>
      <c r="D290" s="3">
        <v>19</v>
      </c>
      <c r="E290" s="3" t="s">
        <v>8</v>
      </c>
      <c r="F290" s="4">
        <v>72.5</v>
      </c>
      <c r="G290" s="4"/>
      <c r="H290" s="4">
        <f t="shared" si="20"/>
        <v>72.5</v>
      </c>
    </row>
    <row r="291" ht="14.25" spans="1:8">
      <c r="A291" s="3" t="str">
        <f>"10301101020"</f>
        <v>10301101020</v>
      </c>
      <c r="B291" s="3">
        <v>1</v>
      </c>
      <c r="C291" s="3">
        <v>10</v>
      </c>
      <c r="D291" s="3">
        <v>20</v>
      </c>
      <c r="E291" s="3" t="s">
        <v>8</v>
      </c>
      <c r="F291" s="4">
        <v>53</v>
      </c>
      <c r="G291" s="4"/>
      <c r="H291" s="4">
        <f t="shared" si="20"/>
        <v>53</v>
      </c>
    </row>
    <row r="292" ht="14.25" spans="1:8">
      <c r="A292" s="3" t="str">
        <f>"10301101021"</f>
        <v>10301101021</v>
      </c>
      <c r="B292" s="3">
        <v>1</v>
      </c>
      <c r="C292" s="3">
        <v>10</v>
      </c>
      <c r="D292" s="3">
        <v>21</v>
      </c>
      <c r="E292" s="3" t="s">
        <v>8</v>
      </c>
      <c r="F292" s="4">
        <v>82.5</v>
      </c>
      <c r="G292" s="4"/>
      <c r="H292" s="4">
        <f t="shared" si="20"/>
        <v>82.5</v>
      </c>
    </row>
    <row r="293" ht="14.25" spans="1:8">
      <c r="A293" s="3" t="str">
        <f>"10301101022"</f>
        <v>10301101022</v>
      </c>
      <c r="B293" s="3">
        <v>1</v>
      </c>
      <c r="C293" s="3">
        <v>10</v>
      </c>
      <c r="D293" s="3">
        <v>22</v>
      </c>
      <c r="E293" s="3" t="s">
        <v>8</v>
      </c>
      <c r="F293" s="4">
        <v>81.5</v>
      </c>
      <c r="G293" s="4"/>
      <c r="H293" s="4">
        <f t="shared" si="20"/>
        <v>81.5</v>
      </c>
    </row>
    <row r="294" ht="14.25" spans="1:8">
      <c r="A294" s="3" t="str">
        <f>"10301101023"</f>
        <v>10301101023</v>
      </c>
      <c r="B294" s="3">
        <v>1</v>
      </c>
      <c r="C294" s="3">
        <v>10</v>
      </c>
      <c r="D294" s="3">
        <v>23</v>
      </c>
      <c r="E294" s="3" t="s">
        <v>8</v>
      </c>
      <c r="F294" s="4">
        <v>64</v>
      </c>
      <c r="G294" s="4"/>
      <c r="H294" s="4">
        <f t="shared" si="20"/>
        <v>64</v>
      </c>
    </row>
    <row r="295" ht="14.25" spans="1:8">
      <c r="A295" s="3" t="str">
        <f>"10301101024"</f>
        <v>10301101024</v>
      </c>
      <c r="B295" s="3">
        <v>1</v>
      </c>
      <c r="C295" s="3">
        <v>10</v>
      </c>
      <c r="D295" s="3">
        <v>24</v>
      </c>
      <c r="E295" s="3" t="s">
        <v>8</v>
      </c>
      <c r="F295" s="4">
        <v>63</v>
      </c>
      <c r="G295" s="4"/>
      <c r="H295" s="4">
        <f t="shared" si="20"/>
        <v>63</v>
      </c>
    </row>
    <row r="296" ht="14.25" spans="1:8">
      <c r="A296" s="3" t="str">
        <f>"10301101025"</f>
        <v>10301101025</v>
      </c>
      <c r="B296" s="3">
        <v>1</v>
      </c>
      <c r="C296" s="3">
        <v>10</v>
      </c>
      <c r="D296" s="3">
        <v>25</v>
      </c>
      <c r="E296" s="3" t="s">
        <v>8</v>
      </c>
      <c r="F296" s="4">
        <v>54.5</v>
      </c>
      <c r="G296" s="4"/>
      <c r="H296" s="4">
        <f t="shared" si="20"/>
        <v>54.5</v>
      </c>
    </row>
    <row r="297" ht="14.25" spans="1:8">
      <c r="A297" s="3" t="str">
        <f>"10301101026"</f>
        <v>10301101026</v>
      </c>
      <c r="B297" s="3">
        <v>1</v>
      </c>
      <c r="C297" s="3">
        <v>10</v>
      </c>
      <c r="D297" s="3">
        <v>26</v>
      </c>
      <c r="E297" s="3" t="s">
        <v>8</v>
      </c>
      <c r="F297" s="4">
        <v>64</v>
      </c>
      <c r="G297" s="4"/>
      <c r="H297" s="4">
        <f t="shared" si="20"/>
        <v>64</v>
      </c>
    </row>
    <row r="298" ht="14.25" spans="1:8">
      <c r="A298" s="3" t="str">
        <f>"10301101027"</f>
        <v>10301101027</v>
      </c>
      <c r="B298" s="3">
        <v>1</v>
      </c>
      <c r="C298" s="3">
        <v>10</v>
      </c>
      <c r="D298" s="3">
        <v>27</v>
      </c>
      <c r="E298" s="3" t="s">
        <v>8</v>
      </c>
      <c r="F298" s="4">
        <v>67.5</v>
      </c>
      <c r="G298" s="4"/>
      <c r="H298" s="4">
        <f t="shared" si="20"/>
        <v>67.5</v>
      </c>
    </row>
    <row r="299" ht="14.25" spans="1:8">
      <c r="A299" s="3" t="str">
        <f>"10301101028"</f>
        <v>10301101028</v>
      </c>
      <c r="B299" s="3">
        <v>1</v>
      </c>
      <c r="C299" s="3">
        <v>10</v>
      </c>
      <c r="D299" s="3">
        <v>28</v>
      </c>
      <c r="E299" s="3" t="s">
        <v>8</v>
      </c>
      <c r="F299" s="4">
        <v>73</v>
      </c>
      <c r="G299" s="4"/>
      <c r="H299" s="4">
        <f t="shared" si="20"/>
        <v>73</v>
      </c>
    </row>
    <row r="300" ht="14.25" spans="1:8">
      <c r="A300" s="3" t="str">
        <f>"10301101029"</f>
        <v>10301101029</v>
      </c>
      <c r="B300" s="3">
        <v>1</v>
      </c>
      <c r="C300" s="3">
        <v>10</v>
      </c>
      <c r="D300" s="3">
        <v>29</v>
      </c>
      <c r="E300" s="3" t="s">
        <v>8</v>
      </c>
      <c r="F300" s="3">
        <v>0</v>
      </c>
      <c r="G300" s="4"/>
      <c r="H300" s="3">
        <v>0</v>
      </c>
    </row>
    <row r="301" ht="14.25" spans="1:8">
      <c r="A301" s="3" t="str">
        <f>"10301101030"</f>
        <v>10301101030</v>
      </c>
      <c r="B301" s="3">
        <v>1</v>
      </c>
      <c r="C301" s="3">
        <v>10</v>
      </c>
      <c r="D301" s="3">
        <v>30</v>
      </c>
      <c r="E301" s="3" t="s">
        <v>8</v>
      </c>
      <c r="F301" s="4">
        <v>62</v>
      </c>
      <c r="G301" s="4"/>
      <c r="H301" s="4">
        <f t="shared" ref="H301:H323" si="21">F301+G301</f>
        <v>62</v>
      </c>
    </row>
    <row r="302" ht="14.25" spans="1:8">
      <c r="A302" s="3" t="str">
        <f>"10301101101"</f>
        <v>10301101101</v>
      </c>
      <c r="B302" s="3">
        <v>1</v>
      </c>
      <c r="C302" s="3">
        <v>11</v>
      </c>
      <c r="D302" s="3">
        <v>1</v>
      </c>
      <c r="E302" s="3" t="s">
        <v>8</v>
      </c>
      <c r="F302" s="4">
        <v>78.5</v>
      </c>
      <c r="G302" s="4"/>
      <c r="H302" s="4">
        <f t="shared" si="21"/>
        <v>78.5</v>
      </c>
    </row>
    <row r="303" ht="14.25" spans="1:8">
      <c r="A303" s="3" t="str">
        <f>"10302101102"</f>
        <v>10302101102</v>
      </c>
      <c r="B303" s="3">
        <v>1</v>
      </c>
      <c r="C303" s="3">
        <v>11</v>
      </c>
      <c r="D303" s="3">
        <v>2</v>
      </c>
      <c r="E303" s="3" t="s">
        <v>8</v>
      </c>
      <c r="F303" s="4">
        <v>87</v>
      </c>
      <c r="G303" s="4"/>
      <c r="H303" s="4">
        <f t="shared" si="21"/>
        <v>87</v>
      </c>
    </row>
    <row r="304" ht="14.25" spans="1:8">
      <c r="A304" s="3" t="str">
        <f>"10302101103"</f>
        <v>10302101103</v>
      </c>
      <c r="B304" s="3">
        <v>1</v>
      </c>
      <c r="C304" s="3">
        <v>11</v>
      </c>
      <c r="D304" s="3">
        <v>3</v>
      </c>
      <c r="E304" s="3" t="s">
        <v>8</v>
      </c>
      <c r="F304" s="4">
        <v>76</v>
      </c>
      <c r="G304" s="4"/>
      <c r="H304" s="4">
        <f t="shared" si="21"/>
        <v>76</v>
      </c>
    </row>
    <row r="305" ht="14.25" spans="1:8">
      <c r="A305" s="3" t="str">
        <f>"10302101104"</f>
        <v>10302101104</v>
      </c>
      <c r="B305" s="3">
        <v>1</v>
      </c>
      <c r="C305" s="3">
        <v>11</v>
      </c>
      <c r="D305" s="3">
        <v>4</v>
      </c>
      <c r="E305" s="3" t="s">
        <v>8</v>
      </c>
      <c r="F305" s="4">
        <v>80.5</v>
      </c>
      <c r="G305" s="4"/>
      <c r="H305" s="4">
        <f t="shared" si="21"/>
        <v>80.5</v>
      </c>
    </row>
    <row r="306" ht="14.25" spans="1:8">
      <c r="A306" s="3" t="str">
        <f>"10302101105"</f>
        <v>10302101105</v>
      </c>
      <c r="B306" s="3">
        <v>1</v>
      </c>
      <c r="C306" s="3">
        <v>11</v>
      </c>
      <c r="D306" s="3">
        <v>5</v>
      </c>
      <c r="E306" s="3" t="s">
        <v>8</v>
      </c>
      <c r="F306" s="4">
        <v>84.5</v>
      </c>
      <c r="G306" s="4"/>
      <c r="H306" s="4">
        <f t="shared" si="21"/>
        <v>84.5</v>
      </c>
    </row>
    <row r="307" ht="14.25" spans="1:8">
      <c r="A307" s="3" t="str">
        <f>"10302101106"</f>
        <v>10302101106</v>
      </c>
      <c r="B307" s="3">
        <v>1</v>
      </c>
      <c r="C307" s="3">
        <v>11</v>
      </c>
      <c r="D307" s="3">
        <v>6</v>
      </c>
      <c r="E307" s="3" t="s">
        <v>8</v>
      </c>
      <c r="F307" s="4">
        <v>54</v>
      </c>
      <c r="G307" s="4"/>
      <c r="H307" s="4">
        <f t="shared" si="21"/>
        <v>54</v>
      </c>
    </row>
    <row r="308" ht="14.25" spans="1:8">
      <c r="A308" s="3" t="str">
        <f>"10302101107"</f>
        <v>10302101107</v>
      </c>
      <c r="B308" s="3">
        <v>1</v>
      </c>
      <c r="C308" s="3">
        <v>11</v>
      </c>
      <c r="D308" s="3">
        <v>7</v>
      </c>
      <c r="E308" s="3" t="s">
        <v>8</v>
      </c>
      <c r="F308" s="4">
        <v>54</v>
      </c>
      <c r="G308" s="4"/>
      <c r="H308" s="4">
        <f t="shared" si="21"/>
        <v>54</v>
      </c>
    </row>
    <row r="309" ht="14.25" spans="1:8">
      <c r="A309" s="3" t="str">
        <f>"10302101108"</f>
        <v>10302101108</v>
      </c>
      <c r="B309" s="3">
        <v>1</v>
      </c>
      <c r="C309" s="3">
        <v>11</v>
      </c>
      <c r="D309" s="3">
        <v>8</v>
      </c>
      <c r="E309" s="3" t="s">
        <v>8</v>
      </c>
      <c r="F309" s="4">
        <v>56</v>
      </c>
      <c r="G309" s="4"/>
      <c r="H309" s="4">
        <f t="shared" si="21"/>
        <v>56</v>
      </c>
    </row>
    <row r="310" ht="14.25" spans="1:8">
      <c r="A310" s="3" t="str">
        <f>"10302101109"</f>
        <v>10302101109</v>
      </c>
      <c r="B310" s="3">
        <v>1</v>
      </c>
      <c r="C310" s="3">
        <v>11</v>
      </c>
      <c r="D310" s="3">
        <v>9</v>
      </c>
      <c r="E310" s="3" t="s">
        <v>8</v>
      </c>
      <c r="F310" s="4">
        <v>79</v>
      </c>
      <c r="G310" s="4"/>
      <c r="H310" s="4">
        <f t="shared" si="21"/>
        <v>79</v>
      </c>
    </row>
    <row r="311" ht="14.25" spans="1:8">
      <c r="A311" s="3" t="str">
        <f>"10302101110"</f>
        <v>10302101110</v>
      </c>
      <c r="B311" s="3">
        <v>1</v>
      </c>
      <c r="C311" s="3">
        <v>11</v>
      </c>
      <c r="D311" s="3">
        <v>10</v>
      </c>
      <c r="E311" s="3" t="s">
        <v>8</v>
      </c>
      <c r="F311" s="4">
        <v>84</v>
      </c>
      <c r="G311" s="4"/>
      <c r="H311" s="4">
        <f t="shared" si="21"/>
        <v>84</v>
      </c>
    </row>
    <row r="312" ht="14.25" spans="1:8">
      <c r="A312" s="3" t="str">
        <f>"10302101111"</f>
        <v>10302101111</v>
      </c>
      <c r="B312" s="3">
        <v>1</v>
      </c>
      <c r="C312" s="3">
        <v>11</v>
      </c>
      <c r="D312" s="3">
        <v>11</v>
      </c>
      <c r="E312" s="3" t="s">
        <v>8</v>
      </c>
      <c r="F312" s="4">
        <v>87.5</v>
      </c>
      <c r="G312" s="4"/>
      <c r="H312" s="4">
        <f t="shared" si="21"/>
        <v>87.5</v>
      </c>
    </row>
    <row r="313" ht="14.25" spans="1:8">
      <c r="A313" s="3" t="str">
        <f>"10302101112"</f>
        <v>10302101112</v>
      </c>
      <c r="B313" s="3">
        <v>1</v>
      </c>
      <c r="C313" s="3">
        <v>11</v>
      </c>
      <c r="D313" s="3">
        <v>12</v>
      </c>
      <c r="E313" s="3" t="s">
        <v>8</v>
      </c>
      <c r="F313" s="4">
        <v>52</v>
      </c>
      <c r="G313" s="4"/>
      <c r="H313" s="4">
        <f t="shared" si="21"/>
        <v>52</v>
      </c>
    </row>
    <row r="314" ht="14.25" spans="1:8">
      <c r="A314" s="3" t="str">
        <f>"10302101113"</f>
        <v>10302101113</v>
      </c>
      <c r="B314" s="3">
        <v>1</v>
      </c>
      <c r="C314" s="3">
        <v>11</v>
      </c>
      <c r="D314" s="3">
        <v>13</v>
      </c>
      <c r="E314" s="3" t="s">
        <v>8</v>
      </c>
      <c r="F314" s="4">
        <v>68</v>
      </c>
      <c r="G314" s="4"/>
      <c r="H314" s="4">
        <f t="shared" si="21"/>
        <v>68</v>
      </c>
    </row>
    <row r="315" ht="14.25" spans="1:8">
      <c r="A315" s="3" t="str">
        <f>"10302101114"</f>
        <v>10302101114</v>
      </c>
      <c r="B315" s="3">
        <v>1</v>
      </c>
      <c r="C315" s="3">
        <v>11</v>
      </c>
      <c r="D315" s="3">
        <v>14</v>
      </c>
      <c r="E315" s="3" t="s">
        <v>8</v>
      </c>
      <c r="F315" s="4">
        <v>70.5</v>
      </c>
      <c r="G315" s="4"/>
      <c r="H315" s="4">
        <f t="shared" si="21"/>
        <v>70.5</v>
      </c>
    </row>
    <row r="316" ht="14.25" spans="1:8">
      <c r="A316" s="3" t="str">
        <f>"10302101115"</f>
        <v>10302101115</v>
      </c>
      <c r="B316" s="3">
        <v>1</v>
      </c>
      <c r="C316" s="3">
        <v>11</v>
      </c>
      <c r="D316" s="3">
        <v>15</v>
      </c>
      <c r="E316" s="3" t="s">
        <v>8</v>
      </c>
      <c r="F316" s="4">
        <v>85.5</v>
      </c>
      <c r="G316" s="4"/>
      <c r="H316" s="4">
        <f t="shared" si="21"/>
        <v>85.5</v>
      </c>
    </row>
    <row r="317" ht="14.25" spans="1:8">
      <c r="A317" s="3" t="str">
        <f>"10302101116"</f>
        <v>10302101116</v>
      </c>
      <c r="B317" s="3">
        <v>1</v>
      </c>
      <c r="C317" s="3">
        <v>11</v>
      </c>
      <c r="D317" s="3">
        <v>16</v>
      </c>
      <c r="E317" s="3" t="s">
        <v>8</v>
      </c>
      <c r="F317" s="4">
        <v>62.5</v>
      </c>
      <c r="G317" s="4"/>
      <c r="H317" s="4">
        <f t="shared" si="21"/>
        <v>62.5</v>
      </c>
    </row>
    <row r="318" ht="14.25" spans="1:8">
      <c r="A318" s="3" t="str">
        <f>"10302101117"</f>
        <v>10302101117</v>
      </c>
      <c r="B318" s="3">
        <v>1</v>
      </c>
      <c r="C318" s="3">
        <v>11</v>
      </c>
      <c r="D318" s="3">
        <v>17</v>
      </c>
      <c r="E318" s="3" t="s">
        <v>8</v>
      </c>
      <c r="F318" s="4">
        <v>76.5</v>
      </c>
      <c r="G318" s="4"/>
      <c r="H318" s="4">
        <f t="shared" si="21"/>
        <v>76.5</v>
      </c>
    </row>
    <row r="319" ht="14.25" spans="1:8">
      <c r="A319" s="3" t="str">
        <f>"10302101118"</f>
        <v>10302101118</v>
      </c>
      <c r="B319" s="3">
        <v>1</v>
      </c>
      <c r="C319" s="3">
        <v>11</v>
      </c>
      <c r="D319" s="3">
        <v>18</v>
      </c>
      <c r="E319" s="3" t="s">
        <v>8</v>
      </c>
      <c r="F319" s="4">
        <v>68.5</v>
      </c>
      <c r="G319" s="4"/>
      <c r="H319" s="4">
        <f t="shared" si="21"/>
        <v>68.5</v>
      </c>
    </row>
    <row r="320" ht="14.25" spans="1:8">
      <c r="A320" s="3" t="str">
        <f>"10302101119"</f>
        <v>10302101119</v>
      </c>
      <c r="B320" s="3">
        <v>1</v>
      </c>
      <c r="C320" s="3">
        <v>11</v>
      </c>
      <c r="D320" s="3">
        <v>19</v>
      </c>
      <c r="E320" s="3" t="s">
        <v>8</v>
      </c>
      <c r="F320" s="4">
        <v>63.5</v>
      </c>
      <c r="G320" s="4"/>
      <c r="H320" s="4">
        <f t="shared" si="21"/>
        <v>63.5</v>
      </c>
    </row>
    <row r="321" ht="14.25" spans="1:8">
      <c r="A321" s="3" t="str">
        <f>"10302101120"</f>
        <v>10302101120</v>
      </c>
      <c r="B321" s="3">
        <v>1</v>
      </c>
      <c r="C321" s="3">
        <v>11</v>
      </c>
      <c r="D321" s="3">
        <v>20</v>
      </c>
      <c r="E321" s="3" t="s">
        <v>8</v>
      </c>
      <c r="F321" s="4">
        <v>78.5</v>
      </c>
      <c r="G321" s="4"/>
      <c r="H321" s="4">
        <f t="shared" si="21"/>
        <v>78.5</v>
      </c>
    </row>
    <row r="322" ht="14.25" spans="1:8">
      <c r="A322" s="3" t="str">
        <f>"10302101121"</f>
        <v>10302101121</v>
      </c>
      <c r="B322" s="3">
        <v>1</v>
      </c>
      <c r="C322" s="3">
        <v>11</v>
      </c>
      <c r="D322" s="3">
        <v>21</v>
      </c>
      <c r="E322" s="3" t="s">
        <v>8</v>
      </c>
      <c r="F322" s="4">
        <v>82</v>
      </c>
      <c r="G322" s="4"/>
      <c r="H322" s="4">
        <f t="shared" si="21"/>
        <v>82</v>
      </c>
    </row>
    <row r="323" ht="14.25" spans="1:8">
      <c r="A323" s="3" t="str">
        <f>"10302101122"</f>
        <v>10302101122</v>
      </c>
      <c r="B323" s="3">
        <v>1</v>
      </c>
      <c r="C323" s="3">
        <v>11</v>
      </c>
      <c r="D323" s="3">
        <v>22</v>
      </c>
      <c r="E323" s="3" t="s">
        <v>8</v>
      </c>
      <c r="F323" s="4">
        <v>70</v>
      </c>
      <c r="G323" s="4"/>
      <c r="H323" s="4">
        <f t="shared" si="21"/>
        <v>70</v>
      </c>
    </row>
    <row r="324" ht="14.25" spans="1:8">
      <c r="A324" s="3" t="str">
        <f>"10302101123"</f>
        <v>10302101123</v>
      </c>
      <c r="B324" s="3">
        <v>1</v>
      </c>
      <c r="C324" s="3">
        <v>11</v>
      </c>
      <c r="D324" s="3">
        <v>23</v>
      </c>
      <c r="E324" s="3" t="s">
        <v>8</v>
      </c>
      <c r="F324" s="3">
        <v>0</v>
      </c>
      <c r="G324" s="4"/>
      <c r="H324" s="3">
        <v>0</v>
      </c>
    </row>
    <row r="325" ht="14.25" spans="1:8">
      <c r="A325" s="3" t="str">
        <f>"10302101124"</f>
        <v>10302101124</v>
      </c>
      <c r="B325" s="3">
        <v>1</v>
      </c>
      <c r="C325" s="3">
        <v>11</v>
      </c>
      <c r="D325" s="3">
        <v>24</v>
      </c>
      <c r="E325" s="3" t="s">
        <v>8</v>
      </c>
      <c r="F325" s="4">
        <v>87</v>
      </c>
      <c r="G325" s="4"/>
      <c r="H325" s="4">
        <f t="shared" ref="H325:H353" si="22">F325+G325</f>
        <v>87</v>
      </c>
    </row>
    <row r="326" ht="14.25" spans="1:8">
      <c r="A326" s="3" t="str">
        <f>"10302101125"</f>
        <v>10302101125</v>
      </c>
      <c r="B326" s="3">
        <v>1</v>
      </c>
      <c r="C326" s="3">
        <v>11</v>
      </c>
      <c r="D326" s="3">
        <v>25</v>
      </c>
      <c r="E326" s="3" t="s">
        <v>8</v>
      </c>
      <c r="F326" s="4">
        <v>80</v>
      </c>
      <c r="G326" s="4"/>
      <c r="H326" s="4">
        <f t="shared" si="22"/>
        <v>80</v>
      </c>
    </row>
    <row r="327" ht="14.25" spans="1:8">
      <c r="A327" s="3" t="str">
        <f>"10302101126"</f>
        <v>10302101126</v>
      </c>
      <c r="B327" s="3">
        <v>1</v>
      </c>
      <c r="C327" s="3">
        <v>11</v>
      </c>
      <c r="D327" s="3">
        <v>26</v>
      </c>
      <c r="E327" s="3" t="s">
        <v>8</v>
      </c>
      <c r="F327" s="4">
        <v>81.5</v>
      </c>
      <c r="G327" s="4"/>
      <c r="H327" s="4">
        <f t="shared" si="22"/>
        <v>81.5</v>
      </c>
    </row>
    <row r="328" ht="14.25" spans="1:8">
      <c r="A328" s="3" t="str">
        <f>"10302101127"</f>
        <v>10302101127</v>
      </c>
      <c r="B328" s="3">
        <v>1</v>
      </c>
      <c r="C328" s="3">
        <v>11</v>
      </c>
      <c r="D328" s="3">
        <v>27</v>
      </c>
      <c r="E328" s="3" t="s">
        <v>8</v>
      </c>
      <c r="F328" s="4">
        <v>76.5</v>
      </c>
      <c r="G328" s="4"/>
      <c r="H328" s="4">
        <f t="shared" si="22"/>
        <v>76.5</v>
      </c>
    </row>
    <row r="329" ht="14.25" spans="1:8">
      <c r="A329" s="3" t="str">
        <f>"10302101128"</f>
        <v>10302101128</v>
      </c>
      <c r="B329" s="3">
        <v>1</v>
      </c>
      <c r="C329" s="3">
        <v>11</v>
      </c>
      <c r="D329" s="3">
        <v>28</v>
      </c>
      <c r="E329" s="3" t="s">
        <v>8</v>
      </c>
      <c r="F329" s="4">
        <v>86</v>
      </c>
      <c r="G329" s="4"/>
      <c r="H329" s="4">
        <f t="shared" si="22"/>
        <v>86</v>
      </c>
    </row>
    <row r="330" ht="14.25" spans="1:8">
      <c r="A330" s="3" t="str">
        <f>"10302101129"</f>
        <v>10302101129</v>
      </c>
      <c r="B330" s="3">
        <v>1</v>
      </c>
      <c r="C330" s="3">
        <v>11</v>
      </c>
      <c r="D330" s="3">
        <v>29</v>
      </c>
      <c r="E330" s="3" t="s">
        <v>8</v>
      </c>
      <c r="F330" s="4">
        <v>77.5</v>
      </c>
      <c r="G330" s="4"/>
      <c r="H330" s="4">
        <f t="shared" si="22"/>
        <v>77.5</v>
      </c>
    </row>
    <row r="331" ht="14.25" spans="1:8">
      <c r="A331" s="3" t="str">
        <f>"10302101130"</f>
        <v>10302101130</v>
      </c>
      <c r="B331" s="3">
        <v>1</v>
      </c>
      <c r="C331" s="3">
        <v>11</v>
      </c>
      <c r="D331" s="3">
        <v>30</v>
      </c>
      <c r="E331" s="3" t="s">
        <v>8</v>
      </c>
      <c r="F331" s="4">
        <v>71.5</v>
      </c>
      <c r="G331" s="4"/>
      <c r="H331" s="4">
        <f t="shared" si="22"/>
        <v>71.5</v>
      </c>
    </row>
    <row r="332" ht="14.25" spans="1:8">
      <c r="A332" s="3" t="str">
        <f>"10302101201"</f>
        <v>10302101201</v>
      </c>
      <c r="B332" s="3">
        <v>1</v>
      </c>
      <c r="C332" s="3">
        <v>12</v>
      </c>
      <c r="D332" s="3">
        <v>1</v>
      </c>
      <c r="E332" s="3" t="s">
        <v>8</v>
      </c>
      <c r="F332" s="4">
        <v>84.5</v>
      </c>
      <c r="G332" s="4"/>
      <c r="H332" s="4">
        <f t="shared" si="22"/>
        <v>84.5</v>
      </c>
    </row>
    <row r="333" ht="14.25" spans="1:8">
      <c r="A333" s="3" t="str">
        <f>"10302101202"</f>
        <v>10302101202</v>
      </c>
      <c r="B333" s="3">
        <v>1</v>
      </c>
      <c r="C333" s="3">
        <v>12</v>
      </c>
      <c r="D333" s="3">
        <v>2</v>
      </c>
      <c r="E333" s="3" t="s">
        <v>8</v>
      </c>
      <c r="F333" s="4">
        <v>85</v>
      </c>
      <c r="G333" s="4"/>
      <c r="H333" s="4">
        <f t="shared" si="22"/>
        <v>85</v>
      </c>
    </row>
    <row r="334" ht="14.25" spans="1:8">
      <c r="A334" s="3" t="str">
        <f>"10302101203"</f>
        <v>10302101203</v>
      </c>
      <c r="B334" s="3">
        <v>1</v>
      </c>
      <c r="C334" s="3">
        <v>12</v>
      </c>
      <c r="D334" s="3">
        <v>3</v>
      </c>
      <c r="E334" s="3" t="s">
        <v>8</v>
      </c>
      <c r="F334" s="4">
        <v>76.5</v>
      </c>
      <c r="G334" s="4"/>
      <c r="H334" s="4">
        <f t="shared" si="22"/>
        <v>76.5</v>
      </c>
    </row>
    <row r="335" ht="14.25" spans="1:8">
      <c r="A335" s="3" t="str">
        <f>"10302101204"</f>
        <v>10302101204</v>
      </c>
      <c r="B335" s="3">
        <v>1</v>
      </c>
      <c r="C335" s="3">
        <v>12</v>
      </c>
      <c r="D335" s="3">
        <v>4</v>
      </c>
      <c r="E335" s="3" t="s">
        <v>8</v>
      </c>
      <c r="F335" s="4">
        <v>54</v>
      </c>
      <c r="G335" s="4"/>
      <c r="H335" s="4">
        <f t="shared" si="22"/>
        <v>54</v>
      </c>
    </row>
    <row r="336" ht="14.25" spans="1:8">
      <c r="A336" s="3" t="str">
        <f>"10302101205"</f>
        <v>10302101205</v>
      </c>
      <c r="B336" s="3">
        <v>1</v>
      </c>
      <c r="C336" s="3">
        <v>12</v>
      </c>
      <c r="D336" s="3">
        <v>5</v>
      </c>
      <c r="E336" s="3" t="s">
        <v>8</v>
      </c>
      <c r="F336" s="4">
        <v>54</v>
      </c>
      <c r="G336" s="4"/>
      <c r="H336" s="4">
        <f t="shared" si="22"/>
        <v>54</v>
      </c>
    </row>
    <row r="337" ht="14.25" spans="1:8">
      <c r="A337" s="3" t="str">
        <f>"10302101206"</f>
        <v>10302101206</v>
      </c>
      <c r="B337" s="3">
        <v>1</v>
      </c>
      <c r="C337" s="3">
        <v>12</v>
      </c>
      <c r="D337" s="3">
        <v>6</v>
      </c>
      <c r="E337" s="3" t="s">
        <v>8</v>
      </c>
      <c r="F337" s="4">
        <v>59.5</v>
      </c>
      <c r="G337" s="4"/>
      <c r="H337" s="4">
        <f t="shared" si="22"/>
        <v>59.5</v>
      </c>
    </row>
    <row r="338" ht="14.25" spans="1:8">
      <c r="A338" s="3" t="str">
        <f>"10302101207"</f>
        <v>10302101207</v>
      </c>
      <c r="B338" s="3">
        <v>1</v>
      </c>
      <c r="C338" s="3">
        <v>12</v>
      </c>
      <c r="D338" s="3">
        <v>7</v>
      </c>
      <c r="E338" s="3" t="s">
        <v>8</v>
      </c>
      <c r="F338" s="4">
        <v>49</v>
      </c>
      <c r="G338" s="4"/>
      <c r="H338" s="4">
        <f t="shared" si="22"/>
        <v>49</v>
      </c>
    </row>
    <row r="339" ht="14.25" spans="1:8">
      <c r="A339" s="3" t="str">
        <f>"10302101208"</f>
        <v>10302101208</v>
      </c>
      <c r="B339" s="3">
        <v>1</v>
      </c>
      <c r="C339" s="3">
        <v>12</v>
      </c>
      <c r="D339" s="3">
        <v>8</v>
      </c>
      <c r="E339" s="3" t="s">
        <v>8</v>
      </c>
      <c r="F339" s="4">
        <v>55.5</v>
      </c>
      <c r="G339" s="4"/>
      <c r="H339" s="4">
        <f t="shared" si="22"/>
        <v>55.5</v>
      </c>
    </row>
    <row r="340" ht="14.25" spans="1:8">
      <c r="A340" s="3" t="str">
        <f>"10302101209"</f>
        <v>10302101209</v>
      </c>
      <c r="B340" s="3">
        <v>1</v>
      </c>
      <c r="C340" s="3">
        <v>12</v>
      </c>
      <c r="D340" s="3">
        <v>9</v>
      </c>
      <c r="E340" s="3" t="s">
        <v>8</v>
      </c>
      <c r="F340" s="4">
        <v>82</v>
      </c>
      <c r="G340" s="4"/>
      <c r="H340" s="4">
        <f t="shared" si="22"/>
        <v>82</v>
      </c>
    </row>
    <row r="341" ht="14.25" spans="1:8">
      <c r="A341" s="3" t="str">
        <f>"10302101210"</f>
        <v>10302101210</v>
      </c>
      <c r="B341" s="3">
        <v>1</v>
      </c>
      <c r="C341" s="3">
        <v>12</v>
      </c>
      <c r="D341" s="3">
        <v>10</v>
      </c>
      <c r="E341" s="3" t="s">
        <v>8</v>
      </c>
      <c r="F341" s="4">
        <v>78</v>
      </c>
      <c r="G341" s="4"/>
      <c r="H341" s="4">
        <f t="shared" si="22"/>
        <v>78</v>
      </c>
    </row>
    <row r="342" ht="14.25" spans="1:8">
      <c r="A342" s="3" t="str">
        <f>"10302101211"</f>
        <v>10302101211</v>
      </c>
      <c r="B342" s="3">
        <v>1</v>
      </c>
      <c r="C342" s="3">
        <v>12</v>
      </c>
      <c r="D342" s="3">
        <v>11</v>
      </c>
      <c r="E342" s="3" t="s">
        <v>8</v>
      </c>
      <c r="F342" s="4">
        <v>65</v>
      </c>
      <c r="G342" s="4"/>
      <c r="H342" s="4">
        <f t="shared" si="22"/>
        <v>65</v>
      </c>
    </row>
    <row r="343" ht="14.25" spans="1:8">
      <c r="A343" s="3" t="str">
        <f>"10302101212"</f>
        <v>10302101212</v>
      </c>
      <c r="B343" s="3">
        <v>1</v>
      </c>
      <c r="C343" s="3">
        <v>12</v>
      </c>
      <c r="D343" s="3">
        <v>12</v>
      </c>
      <c r="E343" s="3" t="s">
        <v>8</v>
      </c>
      <c r="F343" s="4">
        <v>83.5</v>
      </c>
      <c r="G343" s="4"/>
      <c r="H343" s="4">
        <f t="shared" si="22"/>
        <v>83.5</v>
      </c>
    </row>
    <row r="344" ht="14.25" spans="1:8">
      <c r="A344" s="3" t="str">
        <f>"10302101213"</f>
        <v>10302101213</v>
      </c>
      <c r="B344" s="3">
        <v>1</v>
      </c>
      <c r="C344" s="3">
        <v>12</v>
      </c>
      <c r="D344" s="3">
        <v>13</v>
      </c>
      <c r="E344" s="3" t="s">
        <v>8</v>
      </c>
      <c r="F344" s="4">
        <v>92</v>
      </c>
      <c r="G344" s="4"/>
      <c r="H344" s="4">
        <f t="shared" si="22"/>
        <v>92</v>
      </c>
    </row>
    <row r="345" ht="14.25" spans="1:8">
      <c r="A345" s="3" t="str">
        <f>"10302101214"</f>
        <v>10302101214</v>
      </c>
      <c r="B345" s="3">
        <v>1</v>
      </c>
      <c r="C345" s="3">
        <v>12</v>
      </c>
      <c r="D345" s="3">
        <v>14</v>
      </c>
      <c r="E345" s="3" t="s">
        <v>8</v>
      </c>
      <c r="F345" s="4">
        <v>74.5</v>
      </c>
      <c r="G345" s="4"/>
      <c r="H345" s="4">
        <f t="shared" si="22"/>
        <v>74.5</v>
      </c>
    </row>
    <row r="346" ht="14.25" spans="1:8">
      <c r="A346" s="3" t="str">
        <f>"10302101215"</f>
        <v>10302101215</v>
      </c>
      <c r="B346" s="3">
        <v>1</v>
      </c>
      <c r="C346" s="3">
        <v>12</v>
      </c>
      <c r="D346" s="3">
        <v>15</v>
      </c>
      <c r="E346" s="3" t="s">
        <v>8</v>
      </c>
      <c r="F346" s="4">
        <v>81</v>
      </c>
      <c r="G346" s="4"/>
      <c r="H346" s="4">
        <f t="shared" si="22"/>
        <v>81</v>
      </c>
    </row>
    <row r="347" ht="14.25" spans="1:8">
      <c r="A347" s="3" t="str">
        <f>"10302101216"</f>
        <v>10302101216</v>
      </c>
      <c r="B347" s="3">
        <v>1</v>
      </c>
      <c r="C347" s="3">
        <v>12</v>
      </c>
      <c r="D347" s="3">
        <v>16</v>
      </c>
      <c r="E347" s="3" t="s">
        <v>8</v>
      </c>
      <c r="F347" s="4">
        <v>72.5</v>
      </c>
      <c r="G347" s="4"/>
      <c r="H347" s="4">
        <f t="shared" si="22"/>
        <v>72.5</v>
      </c>
    </row>
    <row r="348" ht="14.25" spans="1:8">
      <c r="A348" s="3" t="str">
        <f>"10302101217"</f>
        <v>10302101217</v>
      </c>
      <c r="B348" s="3">
        <v>1</v>
      </c>
      <c r="C348" s="3">
        <v>12</v>
      </c>
      <c r="D348" s="3">
        <v>17</v>
      </c>
      <c r="E348" s="3" t="s">
        <v>8</v>
      </c>
      <c r="F348" s="4">
        <v>87</v>
      </c>
      <c r="G348" s="4"/>
      <c r="H348" s="4">
        <f t="shared" si="22"/>
        <v>87</v>
      </c>
    </row>
    <row r="349" ht="14.25" spans="1:8">
      <c r="A349" s="3" t="str">
        <f>"10302101218"</f>
        <v>10302101218</v>
      </c>
      <c r="B349" s="3">
        <v>1</v>
      </c>
      <c r="C349" s="3">
        <v>12</v>
      </c>
      <c r="D349" s="3">
        <v>18</v>
      </c>
      <c r="E349" s="3" t="s">
        <v>8</v>
      </c>
      <c r="F349" s="4">
        <v>74</v>
      </c>
      <c r="G349" s="4"/>
      <c r="H349" s="4">
        <f t="shared" si="22"/>
        <v>74</v>
      </c>
    </row>
    <row r="350" ht="14.25" spans="1:8">
      <c r="A350" s="3" t="str">
        <f>"10302101219"</f>
        <v>10302101219</v>
      </c>
      <c r="B350" s="3">
        <v>1</v>
      </c>
      <c r="C350" s="3">
        <v>12</v>
      </c>
      <c r="D350" s="3">
        <v>19</v>
      </c>
      <c r="E350" s="3" t="s">
        <v>8</v>
      </c>
      <c r="F350" s="4">
        <v>85</v>
      </c>
      <c r="G350" s="4"/>
      <c r="H350" s="4">
        <f t="shared" si="22"/>
        <v>85</v>
      </c>
    </row>
    <row r="351" ht="14.25" spans="1:8">
      <c r="A351" s="3" t="str">
        <f>"10302101220"</f>
        <v>10302101220</v>
      </c>
      <c r="B351" s="3">
        <v>1</v>
      </c>
      <c r="C351" s="3">
        <v>12</v>
      </c>
      <c r="D351" s="3">
        <v>20</v>
      </c>
      <c r="E351" s="3" t="s">
        <v>8</v>
      </c>
      <c r="F351" s="4">
        <v>83.5</v>
      </c>
      <c r="G351" s="4"/>
      <c r="H351" s="4">
        <f t="shared" si="22"/>
        <v>83.5</v>
      </c>
    </row>
    <row r="352" ht="14.25" spans="1:8">
      <c r="A352" s="3" t="str">
        <f>"10302101221"</f>
        <v>10302101221</v>
      </c>
      <c r="B352" s="3">
        <v>1</v>
      </c>
      <c r="C352" s="3">
        <v>12</v>
      </c>
      <c r="D352" s="3">
        <v>21</v>
      </c>
      <c r="E352" s="3" t="s">
        <v>8</v>
      </c>
      <c r="F352" s="4">
        <v>60.5</v>
      </c>
      <c r="G352" s="4"/>
      <c r="H352" s="4">
        <f t="shared" si="22"/>
        <v>60.5</v>
      </c>
    </row>
    <row r="353" ht="14.25" spans="1:8">
      <c r="A353" s="3" t="str">
        <f>"10302101222"</f>
        <v>10302101222</v>
      </c>
      <c r="B353" s="3">
        <v>1</v>
      </c>
      <c r="C353" s="3">
        <v>12</v>
      </c>
      <c r="D353" s="3">
        <v>22</v>
      </c>
      <c r="E353" s="3" t="s">
        <v>8</v>
      </c>
      <c r="F353" s="4">
        <v>82</v>
      </c>
      <c r="G353" s="4"/>
      <c r="H353" s="4">
        <f t="shared" si="22"/>
        <v>82</v>
      </c>
    </row>
    <row r="354" ht="14.25" spans="1:8">
      <c r="A354" s="3" t="str">
        <f>"10302101223"</f>
        <v>10302101223</v>
      </c>
      <c r="B354" s="3">
        <v>1</v>
      </c>
      <c r="C354" s="3">
        <v>12</v>
      </c>
      <c r="D354" s="3">
        <v>23</v>
      </c>
      <c r="E354" s="3" t="s">
        <v>8</v>
      </c>
      <c r="F354" s="3">
        <v>0</v>
      </c>
      <c r="G354" s="4"/>
      <c r="H354" s="3">
        <v>0</v>
      </c>
    </row>
    <row r="355" ht="14.25" spans="1:8">
      <c r="A355" s="3" t="str">
        <f>"10302101224"</f>
        <v>10302101224</v>
      </c>
      <c r="B355" s="3">
        <v>1</v>
      </c>
      <c r="C355" s="3">
        <v>12</v>
      </c>
      <c r="D355" s="3">
        <v>24</v>
      </c>
      <c r="E355" s="3" t="s">
        <v>8</v>
      </c>
      <c r="F355" s="4">
        <v>83</v>
      </c>
      <c r="G355" s="4"/>
      <c r="H355" s="4">
        <f t="shared" ref="H355:H368" si="23">F355+G355</f>
        <v>83</v>
      </c>
    </row>
    <row r="356" ht="14.25" spans="1:8">
      <c r="A356" s="3" t="str">
        <f>"10302101225"</f>
        <v>10302101225</v>
      </c>
      <c r="B356" s="3">
        <v>1</v>
      </c>
      <c r="C356" s="3">
        <v>12</v>
      </c>
      <c r="D356" s="3">
        <v>25</v>
      </c>
      <c r="E356" s="3" t="s">
        <v>8</v>
      </c>
      <c r="F356" s="4">
        <v>49</v>
      </c>
      <c r="G356" s="4"/>
      <c r="H356" s="4">
        <f t="shared" si="23"/>
        <v>49</v>
      </c>
    </row>
    <row r="357" ht="14.25" spans="1:8">
      <c r="A357" s="3" t="str">
        <f>"10302101226"</f>
        <v>10302101226</v>
      </c>
      <c r="B357" s="3">
        <v>1</v>
      </c>
      <c r="C357" s="3">
        <v>12</v>
      </c>
      <c r="D357" s="3">
        <v>26</v>
      </c>
      <c r="E357" s="3" t="s">
        <v>8</v>
      </c>
      <c r="F357" s="4">
        <v>64.5</v>
      </c>
      <c r="G357" s="4"/>
      <c r="H357" s="4">
        <f t="shared" si="23"/>
        <v>64.5</v>
      </c>
    </row>
    <row r="358" ht="14.25" spans="1:8">
      <c r="A358" s="3" t="str">
        <f>"10302101227"</f>
        <v>10302101227</v>
      </c>
      <c r="B358" s="3">
        <v>1</v>
      </c>
      <c r="C358" s="3">
        <v>12</v>
      </c>
      <c r="D358" s="3">
        <v>27</v>
      </c>
      <c r="E358" s="3" t="s">
        <v>8</v>
      </c>
      <c r="F358" s="4">
        <v>81</v>
      </c>
      <c r="G358" s="4"/>
      <c r="H358" s="4">
        <f t="shared" si="23"/>
        <v>81</v>
      </c>
    </row>
    <row r="359" ht="14.25" spans="1:8">
      <c r="A359" s="3" t="str">
        <f>"10302101228"</f>
        <v>10302101228</v>
      </c>
      <c r="B359" s="3">
        <v>1</v>
      </c>
      <c r="C359" s="3">
        <v>12</v>
      </c>
      <c r="D359" s="3">
        <v>28</v>
      </c>
      <c r="E359" s="3" t="s">
        <v>8</v>
      </c>
      <c r="F359" s="4">
        <v>53.5</v>
      </c>
      <c r="G359" s="4"/>
      <c r="H359" s="4">
        <f t="shared" si="23"/>
        <v>53.5</v>
      </c>
    </row>
    <row r="360" ht="14.25" spans="1:8">
      <c r="A360" s="3" t="str">
        <f>"10302101229"</f>
        <v>10302101229</v>
      </c>
      <c r="B360" s="3">
        <v>1</v>
      </c>
      <c r="C360" s="3">
        <v>12</v>
      </c>
      <c r="D360" s="3">
        <v>29</v>
      </c>
      <c r="E360" s="3" t="s">
        <v>8</v>
      </c>
      <c r="F360" s="4">
        <v>81.5</v>
      </c>
      <c r="G360" s="4"/>
      <c r="H360" s="4">
        <f t="shared" si="23"/>
        <v>81.5</v>
      </c>
    </row>
    <row r="361" ht="14.25" spans="1:8">
      <c r="A361" s="3" t="str">
        <f>"10302101230"</f>
        <v>10302101230</v>
      </c>
      <c r="B361" s="3">
        <v>1</v>
      </c>
      <c r="C361" s="3">
        <v>12</v>
      </c>
      <c r="D361" s="3">
        <v>30</v>
      </c>
      <c r="E361" s="3" t="s">
        <v>8</v>
      </c>
      <c r="F361" s="4">
        <v>68</v>
      </c>
      <c r="G361" s="4"/>
      <c r="H361" s="4">
        <f t="shared" si="23"/>
        <v>68</v>
      </c>
    </row>
    <row r="362" ht="14.25" spans="1:8">
      <c r="A362" s="3" t="str">
        <f>"10302101301"</f>
        <v>10302101301</v>
      </c>
      <c r="B362" s="3">
        <v>1</v>
      </c>
      <c r="C362" s="3">
        <v>13</v>
      </c>
      <c r="D362" s="3">
        <v>1</v>
      </c>
      <c r="E362" s="3" t="s">
        <v>8</v>
      </c>
      <c r="F362" s="4">
        <v>80.5</v>
      </c>
      <c r="G362" s="4"/>
      <c r="H362" s="4">
        <f t="shared" si="23"/>
        <v>80.5</v>
      </c>
    </row>
    <row r="363" ht="14.25" spans="1:8">
      <c r="A363" s="3" t="str">
        <f>"10302101302"</f>
        <v>10302101302</v>
      </c>
      <c r="B363" s="3">
        <v>1</v>
      </c>
      <c r="C363" s="3">
        <v>13</v>
      </c>
      <c r="D363" s="3">
        <v>2</v>
      </c>
      <c r="E363" s="3" t="s">
        <v>8</v>
      </c>
      <c r="F363" s="4">
        <v>82.5</v>
      </c>
      <c r="G363" s="4"/>
      <c r="H363" s="4">
        <f t="shared" si="23"/>
        <v>82.5</v>
      </c>
    </row>
    <row r="364" ht="14.25" spans="1:8">
      <c r="A364" s="3" t="str">
        <f>"10302101303"</f>
        <v>10302101303</v>
      </c>
      <c r="B364" s="3">
        <v>1</v>
      </c>
      <c r="C364" s="3">
        <v>13</v>
      </c>
      <c r="D364" s="3">
        <v>3</v>
      </c>
      <c r="E364" s="3" t="s">
        <v>8</v>
      </c>
      <c r="F364" s="4">
        <v>53</v>
      </c>
      <c r="G364" s="4"/>
      <c r="H364" s="4">
        <f t="shared" si="23"/>
        <v>53</v>
      </c>
    </row>
    <row r="365" ht="14.25" spans="1:8">
      <c r="A365" s="3" t="str">
        <f>"10302101304"</f>
        <v>10302101304</v>
      </c>
      <c r="B365" s="3">
        <v>1</v>
      </c>
      <c r="C365" s="3">
        <v>13</v>
      </c>
      <c r="D365" s="3">
        <v>4</v>
      </c>
      <c r="E365" s="3" t="s">
        <v>8</v>
      </c>
      <c r="F365" s="4">
        <v>87</v>
      </c>
      <c r="G365" s="4"/>
      <c r="H365" s="4">
        <f t="shared" si="23"/>
        <v>87</v>
      </c>
    </row>
    <row r="366" ht="14.25" spans="1:8">
      <c r="A366" s="3" t="str">
        <f>"10302101305"</f>
        <v>10302101305</v>
      </c>
      <c r="B366" s="3">
        <v>1</v>
      </c>
      <c r="C366" s="3">
        <v>13</v>
      </c>
      <c r="D366" s="3">
        <v>5</v>
      </c>
      <c r="E366" s="3" t="s">
        <v>8</v>
      </c>
      <c r="F366" s="4">
        <v>78.5</v>
      </c>
      <c r="G366" s="4"/>
      <c r="H366" s="4">
        <f t="shared" si="23"/>
        <v>78.5</v>
      </c>
    </row>
    <row r="367" ht="14.25" spans="1:8">
      <c r="A367" s="3" t="str">
        <f>"10302101306"</f>
        <v>10302101306</v>
      </c>
      <c r="B367" s="3">
        <v>1</v>
      </c>
      <c r="C367" s="3">
        <v>13</v>
      </c>
      <c r="D367" s="3">
        <v>6</v>
      </c>
      <c r="E367" s="3" t="s">
        <v>8</v>
      </c>
      <c r="F367" s="4">
        <v>93</v>
      </c>
      <c r="G367" s="4"/>
      <c r="H367" s="4">
        <f t="shared" si="23"/>
        <v>93</v>
      </c>
    </row>
    <row r="368" ht="14.25" spans="1:8">
      <c r="A368" s="3" t="str">
        <f>"10302101307"</f>
        <v>10302101307</v>
      </c>
      <c r="B368" s="3">
        <v>1</v>
      </c>
      <c r="C368" s="3">
        <v>13</v>
      </c>
      <c r="D368" s="3">
        <v>7</v>
      </c>
      <c r="E368" s="3" t="s">
        <v>8</v>
      </c>
      <c r="F368" s="4">
        <v>64.5</v>
      </c>
      <c r="G368" s="4"/>
      <c r="H368" s="4">
        <f t="shared" si="23"/>
        <v>64.5</v>
      </c>
    </row>
    <row r="369" ht="14.25" spans="1:8">
      <c r="A369" s="3" t="str">
        <f>"10302101308"</f>
        <v>10302101308</v>
      </c>
      <c r="B369" s="3">
        <v>1</v>
      </c>
      <c r="C369" s="3">
        <v>13</v>
      </c>
      <c r="D369" s="3">
        <v>8</v>
      </c>
      <c r="E369" s="3" t="s">
        <v>8</v>
      </c>
      <c r="F369" s="3">
        <v>0</v>
      </c>
      <c r="G369" s="4"/>
      <c r="H369" s="3">
        <v>0</v>
      </c>
    </row>
    <row r="370" ht="14.25" spans="1:8">
      <c r="A370" s="3" t="str">
        <f>"10303101309"</f>
        <v>10303101309</v>
      </c>
      <c r="B370" s="3">
        <v>1</v>
      </c>
      <c r="C370" s="3">
        <v>13</v>
      </c>
      <c r="D370" s="3">
        <v>9</v>
      </c>
      <c r="E370" s="3" t="s">
        <v>8</v>
      </c>
      <c r="F370" s="4">
        <v>85</v>
      </c>
      <c r="G370" s="4"/>
      <c r="H370" s="4">
        <f t="shared" ref="H370:H375" si="24">F370+G370</f>
        <v>85</v>
      </c>
    </row>
    <row r="371" ht="14.25" spans="1:8">
      <c r="A371" s="3" t="str">
        <f>"10303101310"</f>
        <v>10303101310</v>
      </c>
      <c r="B371" s="3">
        <v>1</v>
      </c>
      <c r="C371" s="3">
        <v>13</v>
      </c>
      <c r="D371" s="3">
        <v>10</v>
      </c>
      <c r="E371" s="3" t="s">
        <v>8</v>
      </c>
      <c r="F371" s="4">
        <v>74</v>
      </c>
      <c r="G371" s="4"/>
      <c r="H371" s="4">
        <f t="shared" si="24"/>
        <v>74</v>
      </c>
    </row>
    <row r="372" ht="14.25" spans="1:8">
      <c r="A372" s="3" t="str">
        <f>"10303101311"</f>
        <v>10303101311</v>
      </c>
      <c r="B372" s="3">
        <v>1</v>
      </c>
      <c r="C372" s="3">
        <v>13</v>
      </c>
      <c r="D372" s="3">
        <v>11</v>
      </c>
      <c r="E372" s="3" t="s">
        <v>8</v>
      </c>
      <c r="F372" s="4">
        <v>74.5</v>
      </c>
      <c r="G372" s="4"/>
      <c r="H372" s="4">
        <f t="shared" si="24"/>
        <v>74.5</v>
      </c>
    </row>
    <row r="373" ht="14.25" spans="1:8">
      <c r="A373" s="3" t="str">
        <f>"10303101312"</f>
        <v>10303101312</v>
      </c>
      <c r="B373" s="3">
        <v>1</v>
      </c>
      <c r="C373" s="3">
        <v>13</v>
      </c>
      <c r="D373" s="3">
        <v>12</v>
      </c>
      <c r="E373" s="3" t="s">
        <v>8</v>
      </c>
      <c r="F373" s="4">
        <v>69</v>
      </c>
      <c r="G373" s="4"/>
      <c r="H373" s="4">
        <f t="shared" si="24"/>
        <v>69</v>
      </c>
    </row>
    <row r="374" ht="14.25" spans="1:8">
      <c r="A374" s="3" t="str">
        <f>"10303101313"</f>
        <v>10303101313</v>
      </c>
      <c r="B374" s="3">
        <v>1</v>
      </c>
      <c r="C374" s="3">
        <v>13</v>
      </c>
      <c r="D374" s="3">
        <v>13</v>
      </c>
      <c r="E374" s="3" t="s">
        <v>8</v>
      </c>
      <c r="F374" s="4">
        <v>76</v>
      </c>
      <c r="G374" s="4"/>
      <c r="H374" s="4">
        <f t="shared" si="24"/>
        <v>76</v>
      </c>
    </row>
    <row r="375" ht="14.25" spans="1:8">
      <c r="A375" s="3" t="str">
        <f>"10303101314"</f>
        <v>10303101314</v>
      </c>
      <c r="B375" s="3">
        <v>1</v>
      </c>
      <c r="C375" s="3">
        <v>13</v>
      </c>
      <c r="D375" s="3">
        <v>14</v>
      </c>
      <c r="E375" s="3" t="s">
        <v>8</v>
      </c>
      <c r="F375" s="4">
        <v>76</v>
      </c>
      <c r="G375" s="4"/>
      <c r="H375" s="4">
        <f t="shared" si="24"/>
        <v>76</v>
      </c>
    </row>
    <row r="376" ht="14.25" spans="1:8">
      <c r="A376" s="3" t="str">
        <f>"10303101315"</f>
        <v>10303101315</v>
      </c>
      <c r="B376" s="3">
        <v>1</v>
      </c>
      <c r="C376" s="3">
        <v>13</v>
      </c>
      <c r="D376" s="3">
        <v>15</v>
      </c>
      <c r="E376" s="3" t="s">
        <v>8</v>
      </c>
      <c r="F376" s="3">
        <v>0</v>
      </c>
      <c r="G376" s="4"/>
      <c r="H376" s="3">
        <v>0</v>
      </c>
    </row>
    <row r="377" ht="14.25" spans="1:8">
      <c r="A377" s="3" t="str">
        <f>"10303101316"</f>
        <v>10303101316</v>
      </c>
      <c r="B377" s="3">
        <v>1</v>
      </c>
      <c r="C377" s="3">
        <v>13</v>
      </c>
      <c r="D377" s="3">
        <v>16</v>
      </c>
      <c r="E377" s="3" t="s">
        <v>8</v>
      </c>
      <c r="F377" s="4">
        <v>81.5</v>
      </c>
      <c r="G377" s="4"/>
      <c r="H377" s="4">
        <f t="shared" ref="H377:H407" si="25">F377+G377</f>
        <v>81.5</v>
      </c>
    </row>
    <row r="378" ht="14.25" spans="1:8">
      <c r="A378" s="3" t="str">
        <f>"10303101317"</f>
        <v>10303101317</v>
      </c>
      <c r="B378" s="3">
        <v>1</v>
      </c>
      <c r="C378" s="3">
        <v>13</v>
      </c>
      <c r="D378" s="3">
        <v>17</v>
      </c>
      <c r="E378" s="3" t="s">
        <v>8</v>
      </c>
      <c r="F378" s="4">
        <v>76.5</v>
      </c>
      <c r="G378" s="4"/>
      <c r="H378" s="4">
        <f t="shared" si="25"/>
        <v>76.5</v>
      </c>
    </row>
    <row r="379" ht="14.25" spans="1:8">
      <c r="A379" s="3" t="str">
        <f>"10303101318"</f>
        <v>10303101318</v>
      </c>
      <c r="B379" s="3">
        <v>1</v>
      </c>
      <c r="C379" s="3">
        <v>13</v>
      </c>
      <c r="D379" s="3">
        <v>18</v>
      </c>
      <c r="E379" s="3" t="s">
        <v>8</v>
      </c>
      <c r="F379" s="4">
        <v>62.5</v>
      </c>
      <c r="G379" s="4"/>
      <c r="H379" s="4">
        <f t="shared" si="25"/>
        <v>62.5</v>
      </c>
    </row>
    <row r="380" ht="14.25" spans="1:8">
      <c r="A380" s="3" t="str">
        <f>"10303101319"</f>
        <v>10303101319</v>
      </c>
      <c r="B380" s="3">
        <v>1</v>
      </c>
      <c r="C380" s="3">
        <v>13</v>
      </c>
      <c r="D380" s="3">
        <v>19</v>
      </c>
      <c r="E380" s="3" t="s">
        <v>8</v>
      </c>
      <c r="F380" s="4">
        <v>57.5</v>
      </c>
      <c r="G380" s="4"/>
      <c r="H380" s="4">
        <f t="shared" si="25"/>
        <v>57.5</v>
      </c>
    </row>
    <row r="381" ht="14.25" spans="1:8">
      <c r="A381" s="3" t="str">
        <f>"10303101320"</f>
        <v>10303101320</v>
      </c>
      <c r="B381" s="3">
        <v>1</v>
      </c>
      <c r="C381" s="3">
        <v>13</v>
      </c>
      <c r="D381" s="3">
        <v>20</v>
      </c>
      <c r="E381" s="3" t="s">
        <v>8</v>
      </c>
      <c r="F381" s="4">
        <v>72.5</v>
      </c>
      <c r="G381" s="4"/>
      <c r="H381" s="4">
        <f t="shared" si="25"/>
        <v>72.5</v>
      </c>
    </row>
    <row r="382" ht="14.25" spans="1:8">
      <c r="A382" s="3" t="str">
        <f>"10303101321"</f>
        <v>10303101321</v>
      </c>
      <c r="B382" s="3">
        <v>1</v>
      </c>
      <c r="C382" s="3">
        <v>13</v>
      </c>
      <c r="D382" s="3">
        <v>21</v>
      </c>
      <c r="E382" s="3" t="s">
        <v>8</v>
      </c>
      <c r="F382" s="4">
        <v>86.5</v>
      </c>
      <c r="G382" s="4"/>
      <c r="H382" s="4">
        <f t="shared" si="25"/>
        <v>86.5</v>
      </c>
    </row>
    <row r="383" ht="14.25" spans="1:8">
      <c r="A383" s="3" t="str">
        <f>"10303101322"</f>
        <v>10303101322</v>
      </c>
      <c r="B383" s="3">
        <v>1</v>
      </c>
      <c r="C383" s="3">
        <v>13</v>
      </c>
      <c r="D383" s="3">
        <v>22</v>
      </c>
      <c r="E383" s="3" t="s">
        <v>8</v>
      </c>
      <c r="F383" s="4">
        <v>87</v>
      </c>
      <c r="G383" s="4"/>
      <c r="H383" s="4">
        <f t="shared" si="25"/>
        <v>87</v>
      </c>
    </row>
    <row r="384" ht="14.25" spans="1:8">
      <c r="A384" s="3" t="str">
        <f>"10303101323"</f>
        <v>10303101323</v>
      </c>
      <c r="B384" s="3">
        <v>1</v>
      </c>
      <c r="C384" s="3">
        <v>13</v>
      </c>
      <c r="D384" s="3">
        <v>23</v>
      </c>
      <c r="E384" s="3" t="s">
        <v>8</v>
      </c>
      <c r="F384" s="4">
        <v>87.5</v>
      </c>
      <c r="G384" s="4"/>
      <c r="H384" s="4">
        <f t="shared" si="25"/>
        <v>87.5</v>
      </c>
    </row>
    <row r="385" ht="14.25" spans="1:8">
      <c r="A385" s="3" t="str">
        <f>"10303101324"</f>
        <v>10303101324</v>
      </c>
      <c r="B385" s="3">
        <v>1</v>
      </c>
      <c r="C385" s="3">
        <v>13</v>
      </c>
      <c r="D385" s="3">
        <v>24</v>
      </c>
      <c r="E385" s="3" t="s">
        <v>8</v>
      </c>
      <c r="F385" s="4">
        <v>87.5</v>
      </c>
      <c r="G385" s="4"/>
      <c r="H385" s="4">
        <f t="shared" si="25"/>
        <v>87.5</v>
      </c>
    </row>
    <row r="386" ht="14.25" spans="1:8">
      <c r="A386" s="3" t="str">
        <f>"10303101325"</f>
        <v>10303101325</v>
      </c>
      <c r="B386" s="3">
        <v>1</v>
      </c>
      <c r="C386" s="3">
        <v>13</v>
      </c>
      <c r="D386" s="3">
        <v>25</v>
      </c>
      <c r="E386" s="3" t="s">
        <v>8</v>
      </c>
      <c r="F386" s="4">
        <v>68</v>
      </c>
      <c r="G386" s="4"/>
      <c r="H386" s="4">
        <f t="shared" si="25"/>
        <v>68</v>
      </c>
    </row>
    <row r="387" ht="14.25" spans="1:8">
      <c r="A387" s="3" t="str">
        <f>"10303101326"</f>
        <v>10303101326</v>
      </c>
      <c r="B387" s="3">
        <v>1</v>
      </c>
      <c r="C387" s="3">
        <v>13</v>
      </c>
      <c r="D387" s="3">
        <v>26</v>
      </c>
      <c r="E387" s="3" t="s">
        <v>8</v>
      </c>
      <c r="F387" s="4">
        <v>80.5</v>
      </c>
      <c r="G387" s="4"/>
      <c r="H387" s="4">
        <f t="shared" si="25"/>
        <v>80.5</v>
      </c>
    </row>
    <row r="388" ht="14.25" spans="1:8">
      <c r="A388" s="3" t="str">
        <f>"10303101327"</f>
        <v>10303101327</v>
      </c>
      <c r="B388" s="3">
        <v>1</v>
      </c>
      <c r="C388" s="3">
        <v>13</v>
      </c>
      <c r="D388" s="3">
        <v>27</v>
      </c>
      <c r="E388" s="3" t="s">
        <v>8</v>
      </c>
      <c r="F388" s="4">
        <v>60</v>
      </c>
      <c r="G388" s="4"/>
      <c r="H388" s="4">
        <f t="shared" si="25"/>
        <v>60</v>
      </c>
    </row>
    <row r="389" ht="14.25" spans="1:8">
      <c r="A389" s="3" t="str">
        <f>"10304101328"</f>
        <v>10304101328</v>
      </c>
      <c r="B389" s="3">
        <v>1</v>
      </c>
      <c r="C389" s="3">
        <v>13</v>
      </c>
      <c r="D389" s="3">
        <v>28</v>
      </c>
      <c r="E389" s="3" t="s">
        <v>8</v>
      </c>
      <c r="F389" s="4">
        <v>60</v>
      </c>
      <c r="G389" s="4"/>
      <c r="H389" s="4">
        <f t="shared" si="25"/>
        <v>60</v>
      </c>
    </row>
    <row r="390" ht="14.25" spans="1:8">
      <c r="A390" s="3" t="str">
        <f>"10304101329"</f>
        <v>10304101329</v>
      </c>
      <c r="B390" s="3">
        <v>1</v>
      </c>
      <c r="C390" s="3">
        <v>13</v>
      </c>
      <c r="D390" s="3">
        <v>29</v>
      </c>
      <c r="E390" s="3" t="s">
        <v>8</v>
      </c>
      <c r="F390" s="4">
        <v>59</v>
      </c>
      <c r="G390" s="4"/>
      <c r="H390" s="4">
        <f t="shared" si="25"/>
        <v>59</v>
      </c>
    </row>
    <row r="391" ht="14.25" spans="1:8">
      <c r="A391" s="3" t="str">
        <f>"10304101330"</f>
        <v>10304101330</v>
      </c>
      <c r="B391" s="3">
        <v>1</v>
      </c>
      <c r="C391" s="3">
        <v>13</v>
      </c>
      <c r="D391" s="3">
        <v>30</v>
      </c>
      <c r="E391" s="3" t="s">
        <v>8</v>
      </c>
      <c r="F391" s="4">
        <v>64</v>
      </c>
      <c r="G391" s="4"/>
      <c r="H391" s="4">
        <f t="shared" si="25"/>
        <v>64</v>
      </c>
    </row>
    <row r="392" ht="14.25" spans="1:8">
      <c r="A392" s="3" t="str">
        <f>"10304101401"</f>
        <v>10304101401</v>
      </c>
      <c r="B392" s="3">
        <v>1</v>
      </c>
      <c r="C392" s="3">
        <v>14</v>
      </c>
      <c r="D392" s="3">
        <v>1</v>
      </c>
      <c r="E392" s="3" t="s">
        <v>8</v>
      </c>
      <c r="F392" s="4">
        <v>72</v>
      </c>
      <c r="G392" s="4"/>
      <c r="H392" s="4">
        <f t="shared" si="25"/>
        <v>72</v>
      </c>
    </row>
    <row r="393" ht="14.25" spans="1:8">
      <c r="A393" s="3" t="str">
        <f>"10304101402"</f>
        <v>10304101402</v>
      </c>
      <c r="B393" s="3">
        <v>1</v>
      </c>
      <c r="C393" s="3">
        <v>14</v>
      </c>
      <c r="D393" s="3">
        <v>2</v>
      </c>
      <c r="E393" s="3" t="s">
        <v>8</v>
      </c>
      <c r="F393" s="4">
        <v>60.5</v>
      </c>
      <c r="G393" s="4"/>
      <c r="H393" s="4">
        <f t="shared" si="25"/>
        <v>60.5</v>
      </c>
    </row>
    <row r="394" ht="14.25" spans="1:8">
      <c r="A394" s="3" t="str">
        <f>"10304101403"</f>
        <v>10304101403</v>
      </c>
      <c r="B394" s="3">
        <v>1</v>
      </c>
      <c r="C394" s="3">
        <v>14</v>
      </c>
      <c r="D394" s="3">
        <v>3</v>
      </c>
      <c r="E394" s="3" t="s">
        <v>8</v>
      </c>
      <c r="F394" s="4">
        <v>46.5</v>
      </c>
      <c r="G394" s="4"/>
      <c r="H394" s="4">
        <f t="shared" si="25"/>
        <v>46.5</v>
      </c>
    </row>
    <row r="395" ht="14.25" spans="1:8">
      <c r="A395" s="3" t="str">
        <f>"10304101404"</f>
        <v>10304101404</v>
      </c>
      <c r="B395" s="3">
        <v>1</v>
      </c>
      <c r="C395" s="3">
        <v>14</v>
      </c>
      <c r="D395" s="3">
        <v>4</v>
      </c>
      <c r="E395" s="3" t="s">
        <v>8</v>
      </c>
      <c r="F395" s="4">
        <v>67</v>
      </c>
      <c r="G395" s="4"/>
      <c r="H395" s="4">
        <f t="shared" si="25"/>
        <v>67</v>
      </c>
    </row>
    <row r="396" ht="14.25" spans="1:8">
      <c r="A396" s="3" t="str">
        <f>"10305101405"</f>
        <v>10305101405</v>
      </c>
      <c r="B396" s="3">
        <v>1</v>
      </c>
      <c r="C396" s="3">
        <v>14</v>
      </c>
      <c r="D396" s="3">
        <v>5</v>
      </c>
      <c r="E396" s="3" t="s">
        <v>8</v>
      </c>
      <c r="F396" s="4">
        <v>60.5</v>
      </c>
      <c r="G396" s="4"/>
      <c r="H396" s="4">
        <f t="shared" si="25"/>
        <v>60.5</v>
      </c>
    </row>
    <row r="397" ht="14.25" spans="1:8">
      <c r="A397" s="3" t="str">
        <f>"10305101406"</f>
        <v>10305101406</v>
      </c>
      <c r="B397" s="3">
        <v>1</v>
      </c>
      <c r="C397" s="3">
        <v>14</v>
      </c>
      <c r="D397" s="3">
        <v>6</v>
      </c>
      <c r="E397" s="3" t="s">
        <v>8</v>
      </c>
      <c r="F397" s="4">
        <v>80</v>
      </c>
      <c r="G397" s="4"/>
      <c r="H397" s="4">
        <f t="shared" si="25"/>
        <v>80</v>
      </c>
    </row>
    <row r="398" ht="14.25" spans="1:8">
      <c r="A398" s="3" t="str">
        <f>"10305101407"</f>
        <v>10305101407</v>
      </c>
      <c r="B398" s="3">
        <v>1</v>
      </c>
      <c r="C398" s="3">
        <v>14</v>
      </c>
      <c r="D398" s="3">
        <v>7</v>
      </c>
      <c r="E398" s="3" t="s">
        <v>8</v>
      </c>
      <c r="F398" s="4">
        <v>81.5</v>
      </c>
      <c r="G398" s="4"/>
      <c r="H398" s="4">
        <f t="shared" si="25"/>
        <v>81.5</v>
      </c>
    </row>
    <row r="399" ht="14.25" spans="1:8">
      <c r="A399" s="3" t="str">
        <f>"10305101408"</f>
        <v>10305101408</v>
      </c>
      <c r="B399" s="3">
        <v>1</v>
      </c>
      <c r="C399" s="3">
        <v>14</v>
      </c>
      <c r="D399" s="3">
        <v>8</v>
      </c>
      <c r="E399" s="3" t="s">
        <v>8</v>
      </c>
      <c r="F399" s="4">
        <v>78.5</v>
      </c>
      <c r="G399" s="4"/>
      <c r="H399" s="4">
        <f t="shared" si="25"/>
        <v>78.5</v>
      </c>
    </row>
    <row r="400" ht="14.25" spans="1:8">
      <c r="A400" s="3" t="str">
        <f>"10305101409"</f>
        <v>10305101409</v>
      </c>
      <c r="B400" s="3">
        <v>1</v>
      </c>
      <c r="C400" s="3">
        <v>14</v>
      </c>
      <c r="D400" s="3">
        <v>9</v>
      </c>
      <c r="E400" s="3" t="s">
        <v>8</v>
      </c>
      <c r="F400" s="4">
        <v>83.5</v>
      </c>
      <c r="G400" s="4"/>
      <c r="H400" s="4">
        <f t="shared" si="25"/>
        <v>83.5</v>
      </c>
    </row>
    <row r="401" ht="14.25" spans="1:8">
      <c r="A401" s="3" t="str">
        <f>"10305101410"</f>
        <v>10305101410</v>
      </c>
      <c r="B401" s="3">
        <v>1</v>
      </c>
      <c r="C401" s="3">
        <v>14</v>
      </c>
      <c r="D401" s="3">
        <v>10</v>
      </c>
      <c r="E401" s="3" t="s">
        <v>8</v>
      </c>
      <c r="F401" s="4">
        <v>59.5</v>
      </c>
      <c r="G401" s="4"/>
      <c r="H401" s="4">
        <f t="shared" si="25"/>
        <v>59.5</v>
      </c>
    </row>
    <row r="402" ht="14.25" spans="1:8">
      <c r="A402" s="3" t="str">
        <f>"10305101411"</f>
        <v>10305101411</v>
      </c>
      <c r="B402" s="3">
        <v>1</v>
      </c>
      <c r="C402" s="3">
        <v>14</v>
      </c>
      <c r="D402" s="3">
        <v>11</v>
      </c>
      <c r="E402" s="3" t="s">
        <v>8</v>
      </c>
      <c r="F402" s="4">
        <v>78</v>
      </c>
      <c r="G402" s="4"/>
      <c r="H402" s="4">
        <f t="shared" si="25"/>
        <v>78</v>
      </c>
    </row>
    <row r="403" ht="14.25" spans="1:8">
      <c r="A403" s="3" t="str">
        <f>"10305101412"</f>
        <v>10305101412</v>
      </c>
      <c r="B403" s="3">
        <v>1</v>
      </c>
      <c r="C403" s="3">
        <v>14</v>
      </c>
      <c r="D403" s="3">
        <v>12</v>
      </c>
      <c r="E403" s="3" t="s">
        <v>8</v>
      </c>
      <c r="F403" s="4">
        <v>57</v>
      </c>
      <c r="G403" s="4"/>
      <c r="H403" s="4">
        <f t="shared" si="25"/>
        <v>57</v>
      </c>
    </row>
    <row r="404" ht="14.25" spans="1:8">
      <c r="A404" s="3" t="str">
        <f>"10306101413"</f>
        <v>10306101413</v>
      </c>
      <c r="B404" s="3">
        <v>1</v>
      </c>
      <c r="C404" s="3">
        <v>14</v>
      </c>
      <c r="D404" s="3">
        <v>13</v>
      </c>
      <c r="E404" s="3" t="s">
        <v>8</v>
      </c>
      <c r="F404" s="4">
        <v>75.5</v>
      </c>
      <c r="G404" s="4"/>
      <c r="H404" s="4">
        <f t="shared" si="25"/>
        <v>75.5</v>
      </c>
    </row>
    <row r="405" ht="14.25" spans="1:8">
      <c r="A405" s="3" t="str">
        <f>"10306101414"</f>
        <v>10306101414</v>
      </c>
      <c r="B405" s="3">
        <v>1</v>
      </c>
      <c r="C405" s="3">
        <v>14</v>
      </c>
      <c r="D405" s="3">
        <v>14</v>
      </c>
      <c r="E405" s="3" t="s">
        <v>8</v>
      </c>
      <c r="F405" s="4">
        <v>81.5</v>
      </c>
      <c r="G405" s="4"/>
      <c r="H405" s="4">
        <f t="shared" si="25"/>
        <v>81.5</v>
      </c>
    </row>
    <row r="406" ht="14.25" spans="1:8">
      <c r="A406" s="3" t="str">
        <f>"10306101415"</f>
        <v>10306101415</v>
      </c>
      <c r="B406" s="3">
        <v>1</v>
      </c>
      <c r="C406" s="3">
        <v>14</v>
      </c>
      <c r="D406" s="3">
        <v>15</v>
      </c>
      <c r="E406" s="3" t="s">
        <v>8</v>
      </c>
      <c r="F406" s="4">
        <v>56</v>
      </c>
      <c r="G406" s="4"/>
      <c r="H406" s="4">
        <f t="shared" si="25"/>
        <v>56</v>
      </c>
    </row>
    <row r="407" ht="14.25" spans="1:8">
      <c r="A407" s="3" t="str">
        <f>"10306101416"</f>
        <v>10306101416</v>
      </c>
      <c r="B407" s="3">
        <v>1</v>
      </c>
      <c r="C407" s="3">
        <v>14</v>
      </c>
      <c r="D407" s="3">
        <v>16</v>
      </c>
      <c r="E407" s="3" t="s">
        <v>8</v>
      </c>
      <c r="F407" s="4">
        <v>84.5</v>
      </c>
      <c r="G407" s="4"/>
      <c r="H407" s="4">
        <f t="shared" si="25"/>
        <v>84.5</v>
      </c>
    </row>
    <row r="408" ht="14.25" spans="1:8">
      <c r="A408" s="3" t="str">
        <f>"10306101417"</f>
        <v>10306101417</v>
      </c>
      <c r="B408" s="3">
        <v>1</v>
      </c>
      <c r="C408" s="3">
        <v>14</v>
      </c>
      <c r="D408" s="3">
        <v>17</v>
      </c>
      <c r="E408" s="3" t="s">
        <v>8</v>
      </c>
      <c r="F408" s="3">
        <v>0</v>
      </c>
      <c r="G408" s="4"/>
      <c r="H408" s="3">
        <v>0</v>
      </c>
    </row>
    <row r="409" ht="14.25" spans="1:8">
      <c r="A409" s="3" t="str">
        <f>"10306101418"</f>
        <v>10306101418</v>
      </c>
      <c r="B409" s="3">
        <v>1</v>
      </c>
      <c r="C409" s="3">
        <v>14</v>
      </c>
      <c r="D409" s="3">
        <v>18</v>
      </c>
      <c r="E409" s="3" t="s">
        <v>8</v>
      </c>
      <c r="F409" s="4">
        <v>52</v>
      </c>
      <c r="G409" s="4"/>
      <c r="H409" s="4">
        <f t="shared" ref="H409:H455" si="26">F409+G409</f>
        <v>52</v>
      </c>
    </row>
    <row r="410" ht="14.25" spans="1:8">
      <c r="A410" s="3" t="str">
        <f>"10306101419"</f>
        <v>10306101419</v>
      </c>
      <c r="B410" s="3">
        <v>1</v>
      </c>
      <c r="C410" s="3">
        <v>14</v>
      </c>
      <c r="D410" s="3">
        <v>19</v>
      </c>
      <c r="E410" s="3" t="s">
        <v>8</v>
      </c>
      <c r="F410" s="4">
        <v>76.5</v>
      </c>
      <c r="G410" s="4"/>
      <c r="H410" s="4">
        <f t="shared" si="26"/>
        <v>76.5</v>
      </c>
    </row>
    <row r="411" ht="14.25" spans="1:8">
      <c r="A411" s="3" t="str">
        <f>"10306101420"</f>
        <v>10306101420</v>
      </c>
      <c r="B411" s="3">
        <v>1</v>
      </c>
      <c r="C411" s="3">
        <v>14</v>
      </c>
      <c r="D411" s="3">
        <v>20</v>
      </c>
      <c r="E411" s="3" t="s">
        <v>8</v>
      </c>
      <c r="F411" s="4">
        <v>64</v>
      </c>
      <c r="G411" s="4"/>
      <c r="H411" s="4">
        <f t="shared" si="26"/>
        <v>64</v>
      </c>
    </row>
    <row r="412" ht="14.25" spans="1:8">
      <c r="A412" s="3" t="str">
        <f>"10306101421"</f>
        <v>10306101421</v>
      </c>
      <c r="B412" s="3">
        <v>1</v>
      </c>
      <c r="C412" s="3">
        <v>14</v>
      </c>
      <c r="D412" s="3">
        <v>21</v>
      </c>
      <c r="E412" s="3" t="s">
        <v>8</v>
      </c>
      <c r="F412" s="4">
        <v>53</v>
      </c>
      <c r="G412" s="4"/>
      <c r="H412" s="4">
        <f t="shared" si="26"/>
        <v>53</v>
      </c>
    </row>
    <row r="413" ht="14.25" spans="1:8">
      <c r="A413" s="3" t="str">
        <f>"10306101422"</f>
        <v>10306101422</v>
      </c>
      <c r="B413" s="3">
        <v>1</v>
      </c>
      <c r="C413" s="3">
        <v>14</v>
      </c>
      <c r="D413" s="3">
        <v>22</v>
      </c>
      <c r="E413" s="3" t="s">
        <v>8</v>
      </c>
      <c r="F413" s="4">
        <v>62</v>
      </c>
      <c r="G413" s="4"/>
      <c r="H413" s="4">
        <f t="shared" si="26"/>
        <v>62</v>
      </c>
    </row>
    <row r="414" ht="14.25" spans="1:8">
      <c r="A414" s="3" t="str">
        <f>"10306101423"</f>
        <v>10306101423</v>
      </c>
      <c r="B414" s="3">
        <v>1</v>
      </c>
      <c r="C414" s="3">
        <v>14</v>
      </c>
      <c r="D414" s="3">
        <v>23</v>
      </c>
      <c r="E414" s="3" t="s">
        <v>8</v>
      </c>
      <c r="F414" s="4">
        <v>77.5</v>
      </c>
      <c r="G414" s="4"/>
      <c r="H414" s="4">
        <f t="shared" si="26"/>
        <v>77.5</v>
      </c>
    </row>
    <row r="415" ht="14.25" spans="1:8">
      <c r="A415" s="3" t="str">
        <f>"10306101424"</f>
        <v>10306101424</v>
      </c>
      <c r="B415" s="3">
        <v>1</v>
      </c>
      <c r="C415" s="3">
        <v>14</v>
      </c>
      <c r="D415" s="3">
        <v>24</v>
      </c>
      <c r="E415" s="3" t="s">
        <v>8</v>
      </c>
      <c r="F415" s="4">
        <v>76</v>
      </c>
      <c r="G415" s="4"/>
      <c r="H415" s="4">
        <f t="shared" si="26"/>
        <v>76</v>
      </c>
    </row>
    <row r="416" ht="14.25" spans="1:8">
      <c r="A416" s="3" t="str">
        <f>"10306101425"</f>
        <v>10306101425</v>
      </c>
      <c r="B416" s="3">
        <v>1</v>
      </c>
      <c r="C416" s="3">
        <v>14</v>
      </c>
      <c r="D416" s="3">
        <v>25</v>
      </c>
      <c r="E416" s="3" t="s">
        <v>8</v>
      </c>
      <c r="F416" s="4">
        <v>87</v>
      </c>
      <c r="G416" s="4"/>
      <c r="H416" s="4">
        <f t="shared" si="26"/>
        <v>87</v>
      </c>
    </row>
    <row r="417" ht="14.25" spans="1:8">
      <c r="A417" s="3" t="str">
        <f>"10306101426"</f>
        <v>10306101426</v>
      </c>
      <c r="B417" s="3">
        <v>1</v>
      </c>
      <c r="C417" s="3">
        <v>14</v>
      </c>
      <c r="D417" s="3">
        <v>26</v>
      </c>
      <c r="E417" s="3" t="s">
        <v>8</v>
      </c>
      <c r="F417" s="4">
        <v>62.5</v>
      </c>
      <c r="G417" s="4"/>
      <c r="H417" s="4">
        <f t="shared" si="26"/>
        <v>62.5</v>
      </c>
    </row>
    <row r="418" ht="14.25" spans="1:8">
      <c r="A418" s="3" t="str">
        <f>"10306101427"</f>
        <v>10306101427</v>
      </c>
      <c r="B418" s="3">
        <v>1</v>
      </c>
      <c r="C418" s="3">
        <v>14</v>
      </c>
      <c r="D418" s="3">
        <v>27</v>
      </c>
      <c r="E418" s="3" t="s">
        <v>8</v>
      </c>
      <c r="F418" s="4">
        <v>58</v>
      </c>
      <c r="G418" s="4"/>
      <c r="H418" s="4">
        <f t="shared" si="26"/>
        <v>58</v>
      </c>
    </row>
    <row r="419" ht="14.25" spans="1:8">
      <c r="A419" s="3" t="str">
        <f>"10306101428"</f>
        <v>10306101428</v>
      </c>
      <c r="B419" s="3">
        <v>1</v>
      </c>
      <c r="C419" s="3">
        <v>14</v>
      </c>
      <c r="D419" s="3">
        <v>28</v>
      </c>
      <c r="E419" s="3" t="s">
        <v>8</v>
      </c>
      <c r="F419" s="4">
        <v>49.5</v>
      </c>
      <c r="G419" s="4"/>
      <c r="H419" s="4">
        <f t="shared" si="26"/>
        <v>49.5</v>
      </c>
    </row>
    <row r="420" ht="14.25" spans="1:8">
      <c r="A420" s="3" t="str">
        <f>"10306101429"</f>
        <v>10306101429</v>
      </c>
      <c r="B420" s="3">
        <v>1</v>
      </c>
      <c r="C420" s="3">
        <v>14</v>
      </c>
      <c r="D420" s="3">
        <v>29</v>
      </c>
      <c r="E420" s="3" t="s">
        <v>8</v>
      </c>
      <c r="F420" s="4">
        <v>76</v>
      </c>
      <c r="G420" s="4"/>
      <c r="H420" s="4">
        <f t="shared" si="26"/>
        <v>76</v>
      </c>
    </row>
    <row r="421" ht="14.25" spans="1:8">
      <c r="A421" s="3" t="str">
        <f>"10401101430"</f>
        <v>10401101430</v>
      </c>
      <c r="B421" s="3">
        <v>1</v>
      </c>
      <c r="C421" s="3">
        <v>14</v>
      </c>
      <c r="D421" s="3">
        <v>30</v>
      </c>
      <c r="E421" s="3" t="s">
        <v>8</v>
      </c>
      <c r="F421" s="4">
        <v>76</v>
      </c>
      <c r="G421" s="4"/>
      <c r="H421" s="4">
        <f t="shared" si="26"/>
        <v>76</v>
      </c>
    </row>
    <row r="422" ht="14.25" spans="1:8">
      <c r="A422" s="3" t="str">
        <f>"10401101501"</f>
        <v>10401101501</v>
      </c>
      <c r="B422" s="3">
        <v>1</v>
      </c>
      <c r="C422" s="3">
        <v>15</v>
      </c>
      <c r="D422" s="3">
        <v>1</v>
      </c>
      <c r="E422" s="3" t="s">
        <v>8</v>
      </c>
      <c r="F422" s="4">
        <v>83</v>
      </c>
      <c r="G422" s="4"/>
      <c r="H422" s="4">
        <f t="shared" si="26"/>
        <v>83</v>
      </c>
    </row>
    <row r="423" ht="14.25" spans="1:8">
      <c r="A423" s="3" t="str">
        <f>"10401101502"</f>
        <v>10401101502</v>
      </c>
      <c r="B423" s="3">
        <v>1</v>
      </c>
      <c r="C423" s="3">
        <v>15</v>
      </c>
      <c r="D423" s="3">
        <v>2</v>
      </c>
      <c r="E423" s="3" t="s">
        <v>8</v>
      </c>
      <c r="F423" s="4">
        <v>86</v>
      </c>
      <c r="G423" s="4"/>
      <c r="H423" s="4">
        <f t="shared" si="26"/>
        <v>86</v>
      </c>
    </row>
    <row r="424" ht="14.25" spans="1:8">
      <c r="A424" s="3" t="str">
        <f>"10401101503"</f>
        <v>10401101503</v>
      </c>
      <c r="B424" s="3">
        <v>1</v>
      </c>
      <c r="C424" s="3">
        <v>15</v>
      </c>
      <c r="D424" s="3">
        <v>3</v>
      </c>
      <c r="E424" s="3" t="s">
        <v>8</v>
      </c>
      <c r="F424" s="4">
        <v>79.5</v>
      </c>
      <c r="G424" s="4"/>
      <c r="H424" s="4">
        <f t="shared" si="26"/>
        <v>79.5</v>
      </c>
    </row>
    <row r="425" ht="14.25" spans="1:8">
      <c r="A425" s="3" t="str">
        <f>"10401101504"</f>
        <v>10401101504</v>
      </c>
      <c r="B425" s="3">
        <v>1</v>
      </c>
      <c r="C425" s="3">
        <v>15</v>
      </c>
      <c r="D425" s="3">
        <v>4</v>
      </c>
      <c r="E425" s="3" t="s">
        <v>8</v>
      </c>
      <c r="F425" s="4">
        <v>65</v>
      </c>
      <c r="G425" s="4"/>
      <c r="H425" s="4">
        <f t="shared" si="26"/>
        <v>65</v>
      </c>
    </row>
    <row r="426" ht="14.25" spans="1:8">
      <c r="A426" s="3" t="str">
        <f>"10401101505"</f>
        <v>10401101505</v>
      </c>
      <c r="B426" s="3">
        <v>1</v>
      </c>
      <c r="C426" s="3">
        <v>15</v>
      </c>
      <c r="D426" s="3">
        <v>5</v>
      </c>
      <c r="E426" s="3" t="s">
        <v>8</v>
      </c>
      <c r="F426" s="4">
        <v>88</v>
      </c>
      <c r="G426" s="4"/>
      <c r="H426" s="4">
        <f t="shared" si="26"/>
        <v>88</v>
      </c>
    </row>
    <row r="427" ht="14.25" spans="1:8">
      <c r="A427" s="3" t="str">
        <f>"10401101506"</f>
        <v>10401101506</v>
      </c>
      <c r="B427" s="3">
        <v>1</v>
      </c>
      <c r="C427" s="3">
        <v>15</v>
      </c>
      <c r="D427" s="3">
        <v>6</v>
      </c>
      <c r="E427" s="3" t="s">
        <v>8</v>
      </c>
      <c r="F427" s="4">
        <v>84.5</v>
      </c>
      <c r="G427" s="4"/>
      <c r="H427" s="4">
        <f t="shared" si="26"/>
        <v>84.5</v>
      </c>
    </row>
    <row r="428" ht="14.25" spans="1:8">
      <c r="A428" s="3" t="str">
        <f>"10401101507"</f>
        <v>10401101507</v>
      </c>
      <c r="B428" s="3">
        <v>1</v>
      </c>
      <c r="C428" s="3">
        <v>15</v>
      </c>
      <c r="D428" s="3">
        <v>7</v>
      </c>
      <c r="E428" s="3" t="s">
        <v>8</v>
      </c>
      <c r="F428" s="4">
        <v>79.5</v>
      </c>
      <c r="G428" s="4"/>
      <c r="H428" s="4">
        <f t="shared" si="26"/>
        <v>79.5</v>
      </c>
    </row>
    <row r="429" ht="14.25" spans="1:8">
      <c r="A429" s="3" t="str">
        <f>"10401101508"</f>
        <v>10401101508</v>
      </c>
      <c r="B429" s="3">
        <v>1</v>
      </c>
      <c r="C429" s="3">
        <v>15</v>
      </c>
      <c r="D429" s="3">
        <v>8</v>
      </c>
      <c r="E429" s="3" t="s">
        <v>8</v>
      </c>
      <c r="F429" s="4">
        <v>66</v>
      </c>
      <c r="G429" s="4"/>
      <c r="H429" s="4">
        <f t="shared" si="26"/>
        <v>66</v>
      </c>
    </row>
    <row r="430" ht="14.25" spans="1:8">
      <c r="A430" s="3" t="str">
        <f>"10401101509"</f>
        <v>10401101509</v>
      </c>
      <c r="B430" s="3">
        <v>1</v>
      </c>
      <c r="C430" s="3">
        <v>15</v>
      </c>
      <c r="D430" s="3">
        <v>9</v>
      </c>
      <c r="E430" s="3" t="s">
        <v>8</v>
      </c>
      <c r="F430" s="4">
        <v>83.5</v>
      </c>
      <c r="G430" s="4"/>
      <c r="H430" s="4">
        <f t="shared" si="26"/>
        <v>83.5</v>
      </c>
    </row>
    <row r="431" ht="14.25" spans="1:8">
      <c r="A431" s="3" t="str">
        <f>"10401101510"</f>
        <v>10401101510</v>
      </c>
      <c r="B431" s="3">
        <v>1</v>
      </c>
      <c r="C431" s="3">
        <v>15</v>
      </c>
      <c r="D431" s="3">
        <v>10</v>
      </c>
      <c r="E431" s="3" t="s">
        <v>8</v>
      </c>
      <c r="F431" s="4">
        <v>67.5</v>
      </c>
      <c r="G431" s="4"/>
      <c r="H431" s="4">
        <f t="shared" si="26"/>
        <v>67.5</v>
      </c>
    </row>
    <row r="432" ht="14.25" spans="1:8">
      <c r="A432" s="3" t="str">
        <f>"10401101511"</f>
        <v>10401101511</v>
      </c>
      <c r="B432" s="3">
        <v>1</v>
      </c>
      <c r="C432" s="3">
        <v>15</v>
      </c>
      <c r="D432" s="3">
        <v>11</v>
      </c>
      <c r="E432" s="3" t="s">
        <v>8</v>
      </c>
      <c r="F432" s="4">
        <v>69</v>
      </c>
      <c r="G432" s="4"/>
      <c r="H432" s="4">
        <f t="shared" si="26"/>
        <v>69</v>
      </c>
    </row>
    <row r="433" ht="14.25" spans="1:8">
      <c r="A433" s="3" t="str">
        <f>"10401101512"</f>
        <v>10401101512</v>
      </c>
      <c r="B433" s="3">
        <v>1</v>
      </c>
      <c r="C433" s="3">
        <v>15</v>
      </c>
      <c r="D433" s="3">
        <v>12</v>
      </c>
      <c r="E433" s="3" t="s">
        <v>8</v>
      </c>
      <c r="F433" s="4">
        <v>42.5</v>
      </c>
      <c r="G433" s="4"/>
      <c r="H433" s="4">
        <f t="shared" si="26"/>
        <v>42.5</v>
      </c>
    </row>
    <row r="434" ht="14.25" spans="1:8">
      <c r="A434" s="3" t="str">
        <f>"10401101513"</f>
        <v>10401101513</v>
      </c>
      <c r="B434" s="3">
        <v>1</v>
      </c>
      <c r="C434" s="3">
        <v>15</v>
      </c>
      <c r="D434" s="3">
        <v>13</v>
      </c>
      <c r="E434" s="3" t="s">
        <v>8</v>
      </c>
      <c r="F434" s="4">
        <v>60</v>
      </c>
      <c r="G434" s="4"/>
      <c r="H434" s="4">
        <f t="shared" si="26"/>
        <v>60</v>
      </c>
    </row>
    <row r="435" ht="14.25" spans="1:8">
      <c r="A435" s="3" t="str">
        <f>"10401101514"</f>
        <v>10401101514</v>
      </c>
      <c r="B435" s="3">
        <v>1</v>
      </c>
      <c r="C435" s="3">
        <v>15</v>
      </c>
      <c r="D435" s="3">
        <v>14</v>
      </c>
      <c r="E435" s="3" t="s">
        <v>8</v>
      </c>
      <c r="F435" s="4">
        <v>66</v>
      </c>
      <c r="G435" s="4"/>
      <c r="H435" s="4">
        <f t="shared" si="26"/>
        <v>66</v>
      </c>
    </row>
    <row r="436" ht="14.25" spans="1:8">
      <c r="A436" s="3" t="str">
        <f>"10401101515"</f>
        <v>10401101515</v>
      </c>
      <c r="B436" s="3">
        <v>1</v>
      </c>
      <c r="C436" s="3">
        <v>15</v>
      </c>
      <c r="D436" s="3">
        <v>15</v>
      </c>
      <c r="E436" s="3" t="s">
        <v>8</v>
      </c>
      <c r="F436" s="4">
        <v>70.5</v>
      </c>
      <c r="G436" s="4"/>
      <c r="H436" s="4">
        <f t="shared" si="26"/>
        <v>70.5</v>
      </c>
    </row>
    <row r="437" ht="14.25" spans="1:8">
      <c r="A437" s="3" t="str">
        <f>"10401101516"</f>
        <v>10401101516</v>
      </c>
      <c r="B437" s="3">
        <v>1</v>
      </c>
      <c r="C437" s="3">
        <v>15</v>
      </c>
      <c r="D437" s="3">
        <v>16</v>
      </c>
      <c r="E437" s="3" t="s">
        <v>8</v>
      </c>
      <c r="F437" s="4">
        <v>71.5</v>
      </c>
      <c r="G437" s="4"/>
      <c r="H437" s="4">
        <f t="shared" si="26"/>
        <v>71.5</v>
      </c>
    </row>
    <row r="438" ht="14.25" spans="1:8">
      <c r="A438" s="3" t="str">
        <f>"10401101517"</f>
        <v>10401101517</v>
      </c>
      <c r="B438" s="3">
        <v>1</v>
      </c>
      <c r="C438" s="3">
        <v>15</v>
      </c>
      <c r="D438" s="3">
        <v>17</v>
      </c>
      <c r="E438" s="3" t="s">
        <v>8</v>
      </c>
      <c r="F438" s="4">
        <v>64</v>
      </c>
      <c r="G438" s="4"/>
      <c r="H438" s="4">
        <f t="shared" si="26"/>
        <v>64</v>
      </c>
    </row>
    <row r="439" ht="14.25" spans="1:8">
      <c r="A439" s="3" t="str">
        <f>"10401101518"</f>
        <v>10401101518</v>
      </c>
      <c r="B439" s="3">
        <v>1</v>
      </c>
      <c r="C439" s="3">
        <v>15</v>
      </c>
      <c r="D439" s="3">
        <v>18</v>
      </c>
      <c r="E439" s="3" t="s">
        <v>8</v>
      </c>
      <c r="F439" s="4">
        <v>82</v>
      </c>
      <c r="G439" s="4"/>
      <c r="H439" s="4">
        <f t="shared" si="26"/>
        <v>82</v>
      </c>
    </row>
    <row r="440" ht="14.25" spans="1:8">
      <c r="A440" s="3" t="str">
        <f>"10401101519"</f>
        <v>10401101519</v>
      </c>
      <c r="B440" s="3">
        <v>1</v>
      </c>
      <c r="C440" s="3">
        <v>15</v>
      </c>
      <c r="D440" s="3">
        <v>19</v>
      </c>
      <c r="E440" s="3" t="s">
        <v>8</v>
      </c>
      <c r="F440" s="4">
        <v>72</v>
      </c>
      <c r="G440" s="4"/>
      <c r="H440" s="4">
        <f t="shared" si="26"/>
        <v>72</v>
      </c>
    </row>
    <row r="441" ht="14.25" spans="1:8">
      <c r="A441" s="3" t="str">
        <f>"10401101520"</f>
        <v>10401101520</v>
      </c>
      <c r="B441" s="3">
        <v>1</v>
      </c>
      <c r="C441" s="3">
        <v>15</v>
      </c>
      <c r="D441" s="3">
        <v>20</v>
      </c>
      <c r="E441" s="3" t="s">
        <v>8</v>
      </c>
      <c r="F441" s="4">
        <v>77.5</v>
      </c>
      <c r="G441" s="4"/>
      <c r="H441" s="4">
        <f t="shared" si="26"/>
        <v>77.5</v>
      </c>
    </row>
    <row r="442" ht="14.25" spans="1:8">
      <c r="A442" s="3" t="str">
        <f>"10401101521"</f>
        <v>10401101521</v>
      </c>
      <c r="B442" s="3">
        <v>1</v>
      </c>
      <c r="C442" s="3">
        <v>15</v>
      </c>
      <c r="D442" s="3">
        <v>21</v>
      </c>
      <c r="E442" s="3" t="s">
        <v>8</v>
      </c>
      <c r="F442" s="4">
        <v>79</v>
      </c>
      <c r="G442" s="4"/>
      <c r="H442" s="4">
        <f t="shared" si="26"/>
        <v>79</v>
      </c>
    </row>
    <row r="443" ht="14.25" spans="1:8">
      <c r="A443" s="3" t="str">
        <f>"10401101522"</f>
        <v>10401101522</v>
      </c>
      <c r="B443" s="3">
        <v>1</v>
      </c>
      <c r="C443" s="3">
        <v>15</v>
      </c>
      <c r="D443" s="3">
        <v>22</v>
      </c>
      <c r="E443" s="3" t="s">
        <v>8</v>
      </c>
      <c r="F443" s="4">
        <v>62.5</v>
      </c>
      <c r="G443" s="4"/>
      <c r="H443" s="4">
        <f t="shared" si="26"/>
        <v>62.5</v>
      </c>
    </row>
    <row r="444" ht="14.25" spans="1:8">
      <c r="A444" s="3" t="str">
        <f>"10401101523"</f>
        <v>10401101523</v>
      </c>
      <c r="B444" s="3">
        <v>1</v>
      </c>
      <c r="C444" s="3">
        <v>15</v>
      </c>
      <c r="D444" s="3">
        <v>23</v>
      </c>
      <c r="E444" s="3" t="s">
        <v>8</v>
      </c>
      <c r="F444" s="4">
        <v>69</v>
      </c>
      <c r="G444" s="4"/>
      <c r="H444" s="4">
        <f t="shared" si="26"/>
        <v>69</v>
      </c>
    </row>
    <row r="445" ht="14.25" spans="1:8">
      <c r="A445" s="3" t="str">
        <f>"10401101524"</f>
        <v>10401101524</v>
      </c>
      <c r="B445" s="3">
        <v>1</v>
      </c>
      <c r="C445" s="3">
        <v>15</v>
      </c>
      <c r="D445" s="3">
        <v>24</v>
      </c>
      <c r="E445" s="3" t="s">
        <v>8</v>
      </c>
      <c r="F445" s="4">
        <v>60</v>
      </c>
      <c r="G445" s="4"/>
      <c r="H445" s="4">
        <f t="shared" si="26"/>
        <v>60</v>
      </c>
    </row>
    <row r="446" ht="14.25" spans="1:8">
      <c r="A446" s="3" t="str">
        <f>"10401101525"</f>
        <v>10401101525</v>
      </c>
      <c r="B446" s="3">
        <v>1</v>
      </c>
      <c r="C446" s="3">
        <v>15</v>
      </c>
      <c r="D446" s="3">
        <v>25</v>
      </c>
      <c r="E446" s="3" t="s">
        <v>8</v>
      </c>
      <c r="F446" s="4">
        <v>72.5</v>
      </c>
      <c r="G446" s="4"/>
      <c r="H446" s="4">
        <f t="shared" si="26"/>
        <v>72.5</v>
      </c>
    </row>
    <row r="447" ht="14.25" spans="1:8">
      <c r="A447" s="3" t="str">
        <f>"10402101526"</f>
        <v>10402101526</v>
      </c>
      <c r="B447" s="3">
        <v>1</v>
      </c>
      <c r="C447" s="3">
        <v>15</v>
      </c>
      <c r="D447" s="3">
        <v>26</v>
      </c>
      <c r="E447" s="3" t="s">
        <v>8</v>
      </c>
      <c r="F447" s="4">
        <v>80.5</v>
      </c>
      <c r="G447" s="4"/>
      <c r="H447" s="4">
        <f t="shared" si="26"/>
        <v>80.5</v>
      </c>
    </row>
    <row r="448" ht="14.25" spans="1:8">
      <c r="A448" s="3" t="str">
        <f>"10402101527"</f>
        <v>10402101527</v>
      </c>
      <c r="B448" s="3">
        <v>1</v>
      </c>
      <c r="C448" s="3">
        <v>15</v>
      </c>
      <c r="D448" s="3">
        <v>27</v>
      </c>
      <c r="E448" s="3" t="s">
        <v>8</v>
      </c>
      <c r="F448" s="4">
        <v>79.5</v>
      </c>
      <c r="G448" s="4"/>
      <c r="H448" s="4">
        <f t="shared" si="26"/>
        <v>79.5</v>
      </c>
    </row>
    <row r="449" ht="14.25" spans="1:8">
      <c r="A449" s="3" t="str">
        <f>"10402101528"</f>
        <v>10402101528</v>
      </c>
      <c r="B449" s="3">
        <v>1</v>
      </c>
      <c r="C449" s="3">
        <v>15</v>
      </c>
      <c r="D449" s="3">
        <v>28</v>
      </c>
      <c r="E449" s="3" t="s">
        <v>8</v>
      </c>
      <c r="F449" s="4">
        <v>61.5</v>
      </c>
      <c r="G449" s="4"/>
      <c r="H449" s="4">
        <f t="shared" si="26"/>
        <v>61.5</v>
      </c>
    </row>
    <row r="450" ht="14.25" spans="1:8">
      <c r="A450" s="3" t="str">
        <f>"10402101529"</f>
        <v>10402101529</v>
      </c>
      <c r="B450" s="3">
        <v>1</v>
      </c>
      <c r="C450" s="3">
        <v>15</v>
      </c>
      <c r="D450" s="3">
        <v>29</v>
      </c>
      <c r="E450" s="3" t="s">
        <v>8</v>
      </c>
      <c r="F450" s="4">
        <v>79.5</v>
      </c>
      <c r="G450" s="4"/>
      <c r="H450" s="4">
        <f t="shared" si="26"/>
        <v>79.5</v>
      </c>
    </row>
    <row r="451" ht="14.25" spans="1:8">
      <c r="A451" s="3" t="str">
        <f>"10402101530"</f>
        <v>10402101530</v>
      </c>
      <c r="B451" s="3">
        <v>1</v>
      </c>
      <c r="C451" s="3">
        <v>15</v>
      </c>
      <c r="D451" s="3">
        <v>30</v>
      </c>
      <c r="E451" s="3" t="s">
        <v>8</v>
      </c>
      <c r="F451" s="4">
        <v>75.5</v>
      </c>
      <c r="G451" s="4"/>
      <c r="H451" s="4">
        <f t="shared" si="26"/>
        <v>75.5</v>
      </c>
    </row>
    <row r="452" ht="14.25" spans="1:8">
      <c r="A452" s="3" t="str">
        <f>"10402101601"</f>
        <v>10402101601</v>
      </c>
      <c r="B452" s="3">
        <v>1</v>
      </c>
      <c r="C452" s="3">
        <v>16</v>
      </c>
      <c r="D452" s="3">
        <v>1</v>
      </c>
      <c r="E452" s="3" t="s">
        <v>8</v>
      </c>
      <c r="F452" s="4">
        <v>85.5</v>
      </c>
      <c r="G452" s="4"/>
      <c r="H452" s="4">
        <f t="shared" si="26"/>
        <v>85.5</v>
      </c>
    </row>
    <row r="453" ht="14.25" spans="1:8">
      <c r="A453" s="3" t="str">
        <f>"10402101602"</f>
        <v>10402101602</v>
      </c>
      <c r="B453" s="3">
        <v>1</v>
      </c>
      <c r="C453" s="3">
        <v>16</v>
      </c>
      <c r="D453" s="3">
        <v>2</v>
      </c>
      <c r="E453" s="3" t="s">
        <v>8</v>
      </c>
      <c r="F453" s="4">
        <v>69</v>
      </c>
      <c r="G453" s="4"/>
      <c r="H453" s="4">
        <f t="shared" si="26"/>
        <v>69</v>
      </c>
    </row>
    <row r="454" ht="14.25" spans="1:8">
      <c r="A454" s="3" t="str">
        <f>"10402101603"</f>
        <v>10402101603</v>
      </c>
      <c r="B454" s="3">
        <v>1</v>
      </c>
      <c r="C454" s="3">
        <v>16</v>
      </c>
      <c r="D454" s="3">
        <v>3</v>
      </c>
      <c r="E454" s="3" t="s">
        <v>8</v>
      </c>
      <c r="F454" s="4">
        <v>81</v>
      </c>
      <c r="G454" s="4"/>
      <c r="H454" s="4">
        <f t="shared" si="26"/>
        <v>81</v>
      </c>
    </row>
    <row r="455" ht="14.25" spans="1:8">
      <c r="A455" s="3" t="str">
        <f>"10402101604"</f>
        <v>10402101604</v>
      </c>
      <c r="B455" s="3">
        <v>1</v>
      </c>
      <c r="C455" s="3">
        <v>16</v>
      </c>
      <c r="D455" s="3">
        <v>4</v>
      </c>
      <c r="E455" s="3" t="s">
        <v>8</v>
      </c>
      <c r="F455" s="4">
        <v>75.5</v>
      </c>
      <c r="G455" s="4"/>
      <c r="H455" s="4">
        <f t="shared" si="26"/>
        <v>75.5</v>
      </c>
    </row>
    <row r="456" ht="14.25" spans="1:8">
      <c r="A456" s="3" t="str">
        <f>"10402101605"</f>
        <v>10402101605</v>
      </c>
      <c r="B456" s="3">
        <v>1</v>
      </c>
      <c r="C456" s="3">
        <v>16</v>
      </c>
      <c r="D456" s="3">
        <v>5</v>
      </c>
      <c r="E456" s="3" t="s">
        <v>8</v>
      </c>
      <c r="F456" s="3">
        <v>0</v>
      </c>
      <c r="G456" s="4"/>
      <c r="H456" s="3">
        <v>0</v>
      </c>
    </row>
    <row r="457" ht="14.25" spans="1:8">
      <c r="A457" s="3" t="str">
        <f>"10402101606"</f>
        <v>10402101606</v>
      </c>
      <c r="B457" s="3">
        <v>1</v>
      </c>
      <c r="C457" s="3">
        <v>16</v>
      </c>
      <c r="D457" s="3">
        <v>6</v>
      </c>
      <c r="E457" s="3" t="s">
        <v>8</v>
      </c>
      <c r="F457" s="4">
        <v>78</v>
      </c>
      <c r="G457" s="4"/>
      <c r="H457" s="4">
        <f t="shared" ref="H457:H474" si="27">F457+G457</f>
        <v>78</v>
      </c>
    </row>
    <row r="458" ht="14.25" spans="1:8">
      <c r="A458" s="3" t="str">
        <f>"10402101607"</f>
        <v>10402101607</v>
      </c>
      <c r="B458" s="3">
        <v>1</v>
      </c>
      <c r="C458" s="3">
        <v>16</v>
      </c>
      <c r="D458" s="3">
        <v>7</v>
      </c>
      <c r="E458" s="3" t="s">
        <v>8</v>
      </c>
      <c r="F458" s="4">
        <v>79</v>
      </c>
      <c r="G458" s="4"/>
      <c r="H458" s="4">
        <f t="shared" si="27"/>
        <v>79</v>
      </c>
    </row>
    <row r="459" ht="14.25" spans="1:8">
      <c r="A459" s="3" t="str">
        <f>"10402101608"</f>
        <v>10402101608</v>
      </c>
      <c r="B459" s="3">
        <v>1</v>
      </c>
      <c r="C459" s="3">
        <v>16</v>
      </c>
      <c r="D459" s="3">
        <v>8</v>
      </c>
      <c r="E459" s="3" t="s">
        <v>8</v>
      </c>
      <c r="F459" s="4">
        <v>83</v>
      </c>
      <c r="G459" s="4"/>
      <c r="H459" s="4">
        <f t="shared" si="27"/>
        <v>83</v>
      </c>
    </row>
    <row r="460" ht="14.25" spans="1:8">
      <c r="A460" s="3" t="str">
        <f>"10402101609"</f>
        <v>10402101609</v>
      </c>
      <c r="B460" s="3">
        <v>1</v>
      </c>
      <c r="C460" s="3">
        <v>16</v>
      </c>
      <c r="D460" s="3">
        <v>9</v>
      </c>
      <c r="E460" s="3" t="s">
        <v>8</v>
      </c>
      <c r="F460" s="4">
        <v>72.5</v>
      </c>
      <c r="G460" s="4"/>
      <c r="H460" s="4">
        <f t="shared" si="27"/>
        <v>72.5</v>
      </c>
    </row>
    <row r="461" ht="14.25" spans="1:8">
      <c r="A461" s="3" t="str">
        <f>"10402101610"</f>
        <v>10402101610</v>
      </c>
      <c r="B461" s="3">
        <v>1</v>
      </c>
      <c r="C461" s="3">
        <v>16</v>
      </c>
      <c r="D461" s="3">
        <v>10</v>
      </c>
      <c r="E461" s="3" t="s">
        <v>8</v>
      </c>
      <c r="F461" s="4">
        <v>78</v>
      </c>
      <c r="G461" s="4"/>
      <c r="H461" s="4">
        <f t="shared" si="27"/>
        <v>78</v>
      </c>
    </row>
    <row r="462" ht="14.25" spans="1:8">
      <c r="A462" s="3" t="str">
        <f>"10402101611"</f>
        <v>10402101611</v>
      </c>
      <c r="B462" s="3">
        <v>1</v>
      </c>
      <c r="C462" s="3">
        <v>16</v>
      </c>
      <c r="D462" s="3">
        <v>11</v>
      </c>
      <c r="E462" s="3" t="s">
        <v>8</v>
      </c>
      <c r="F462" s="4">
        <v>77.5</v>
      </c>
      <c r="G462" s="4"/>
      <c r="H462" s="4">
        <f t="shared" si="27"/>
        <v>77.5</v>
      </c>
    </row>
    <row r="463" ht="14.25" spans="1:8">
      <c r="A463" s="3" t="str">
        <f>"10402101612"</f>
        <v>10402101612</v>
      </c>
      <c r="B463" s="3">
        <v>1</v>
      </c>
      <c r="C463" s="3">
        <v>16</v>
      </c>
      <c r="D463" s="3">
        <v>12</v>
      </c>
      <c r="E463" s="3" t="s">
        <v>8</v>
      </c>
      <c r="F463" s="4">
        <v>83</v>
      </c>
      <c r="G463" s="4"/>
      <c r="H463" s="4">
        <f t="shared" si="27"/>
        <v>83</v>
      </c>
    </row>
    <row r="464" ht="14.25" spans="1:8">
      <c r="A464" s="3" t="str">
        <f>"10402101613"</f>
        <v>10402101613</v>
      </c>
      <c r="B464" s="3">
        <v>1</v>
      </c>
      <c r="C464" s="3">
        <v>16</v>
      </c>
      <c r="D464" s="3">
        <v>13</v>
      </c>
      <c r="E464" s="3" t="s">
        <v>8</v>
      </c>
      <c r="F464" s="4">
        <v>89</v>
      </c>
      <c r="G464" s="4"/>
      <c r="H464" s="4">
        <f t="shared" si="27"/>
        <v>89</v>
      </c>
    </row>
    <row r="465" ht="14.25" spans="1:8">
      <c r="A465" s="3" t="str">
        <f>"10402101614"</f>
        <v>10402101614</v>
      </c>
      <c r="B465" s="3">
        <v>1</v>
      </c>
      <c r="C465" s="3">
        <v>16</v>
      </c>
      <c r="D465" s="3">
        <v>14</v>
      </c>
      <c r="E465" s="3" t="s">
        <v>8</v>
      </c>
      <c r="F465" s="4">
        <v>80.5</v>
      </c>
      <c r="G465" s="4"/>
      <c r="H465" s="4">
        <f t="shared" si="27"/>
        <v>80.5</v>
      </c>
    </row>
    <row r="466" ht="14.25" spans="1:8">
      <c r="A466" s="3" t="str">
        <f>"10402101615"</f>
        <v>10402101615</v>
      </c>
      <c r="B466" s="3">
        <v>1</v>
      </c>
      <c r="C466" s="3">
        <v>16</v>
      </c>
      <c r="D466" s="3">
        <v>15</v>
      </c>
      <c r="E466" s="3" t="s">
        <v>8</v>
      </c>
      <c r="F466" s="4">
        <v>66</v>
      </c>
      <c r="G466" s="4"/>
      <c r="H466" s="4">
        <f t="shared" si="27"/>
        <v>66</v>
      </c>
    </row>
    <row r="467" ht="14.25" spans="1:8">
      <c r="A467" s="3" t="str">
        <f>"10402101616"</f>
        <v>10402101616</v>
      </c>
      <c r="B467" s="3">
        <v>1</v>
      </c>
      <c r="C467" s="3">
        <v>16</v>
      </c>
      <c r="D467" s="3">
        <v>16</v>
      </c>
      <c r="E467" s="3" t="s">
        <v>8</v>
      </c>
      <c r="F467" s="4">
        <v>79</v>
      </c>
      <c r="G467" s="4"/>
      <c r="H467" s="4">
        <f t="shared" si="27"/>
        <v>79</v>
      </c>
    </row>
    <row r="468" ht="14.25" spans="1:8">
      <c r="A468" s="3" t="str">
        <f>"10402101617"</f>
        <v>10402101617</v>
      </c>
      <c r="B468" s="3">
        <v>1</v>
      </c>
      <c r="C468" s="3">
        <v>16</v>
      </c>
      <c r="D468" s="3">
        <v>17</v>
      </c>
      <c r="E468" s="3" t="s">
        <v>8</v>
      </c>
      <c r="F468" s="4">
        <v>65</v>
      </c>
      <c r="G468" s="4"/>
      <c r="H468" s="4">
        <f t="shared" si="27"/>
        <v>65</v>
      </c>
    </row>
    <row r="469" ht="14.25" spans="1:8">
      <c r="A469" s="3" t="str">
        <f>"10402101618"</f>
        <v>10402101618</v>
      </c>
      <c r="B469" s="3">
        <v>1</v>
      </c>
      <c r="C469" s="3">
        <v>16</v>
      </c>
      <c r="D469" s="3">
        <v>18</v>
      </c>
      <c r="E469" s="3" t="s">
        <v>8</v>
      </c>
      <c r="F469" s="4">
        <v>89</v>
      </c>
      <c r="G469" s="4"/>
      <c r="H469" s="4">
        <f t="shared" si="27"/>
        <v>89</v>
      </c>
    </row>
    <row r="470" ht="14.25" spans="1:8">
      <c r="A470" s="3" t="str">
        <f>"10403101619"</f>
        <v>10403101619</v>
      </c>
      <c r="B470" s="3">
        <v>1</v>
      </c>
      <c r="C470" s="3">
        <v>16</v>
      </c>
      <c r="D470" s="3">
        <v>19</v>
      </c>
      <c r="E470" s="3" t="s">
        <v>8</v>
      </c>
      <c r="F470" s="4">
        <v>79.5</v>
      </c>
      <c r="G470" s="4"/>
      <c r="H470" s="4">
        <f t="shared" si="27"/>
        <v>79.5</v>
      </c>
    </row>
    <row r="471" ht="14.25" spans="1:8">
      <c r="A471" s="3" t="str">
        <f>"10403101620"</f>
        <v>10403101620</v>
      </c>
      <c r="B471" s="3">
        <v>1</v>
      </c>
      <c r="C471" s="3">
        <v>16</v>
      </c>
      <c r="D471" s="3">
        <v>20</v>
      </c>
      <c r="E471" s="3" t="s">
        <v>8</v>
      </c>
      <c r="F471" s="4">
        <v>91</v>
      </c>
      <c r="G471" s="4"/>
      <c r="H471" s="4">
        <f t="shared" si="27"/>
        <v>91</v>
      </c>
    </row>
    <row r="472" ht="14.25" spans="1:8">
      <c r="A472" s="3" t="str">
        <f>"10403101621"</f>
        <v>10403101621</v>
      </c>
      <c r="B472" s="3">
        <v>1</v>
      </c>
      <c r="C472" s="3">
        <v>16</v>
      </c>
      <c r="D472" s="3">
        <v>21</v>
      </c>
      <c r="E472" s="3" t="s">
        <v>8</v>
      </c>
      <c r="F472" s="4">
        <v>84</v>
      </c>
      <c r="G472" s="4"/>
      <c r="H472" s="4">
        <f t="shared" si="27"/>
        <v>84</v>
      </c>
    </row>
    <row r="473" ht="14.25" spans="1:8">
      <c r="A473" s="3" t="str">
        <f>"10403101622"</f>
        <v>10403101622</v>
      </c>
      <c r="B473" s="3">
        <v>1</v>
      </c>
      <c r="C473" s="3">
        <v>16</v>
      </c>
      <c r="D473" s="3">
        <v>22</v>
      </c>
      <c r="E473" s="3" t="s">
        <v>8</v>
      </c>
      <c r="F473" s="4">
        <v>71.5</v>
      </c>
      <c r="G473" s="4"/>
      <c r="H473" s="4">
        <f t="shared" si="27"/>
        <v>71.5</v>
      </c>
    </row>
    <row r="474" ht="14.25" spans="1:8">
      <c r="A474" s="3" t="str">
        <f>"10403101623"</f>
        <v>10403101623</v>
      </c>
      <c r="B474" s="3">
        <v>1</v>
      </c>
      <c r="C474" s="3">
        <v>16</v>
      </c>
      <c r="D474" s="3">
        <v>23</v>
      </c>
      <c r="E474" s="3" t="s">
        <v>8</v>
      </c>
      <c r="F474" s="4">
        <v>62</v>
      </c>
      <c r="G474" s="4"/>
      <c r="H474" s="4">
        <f t="shared" si="27"/>
        <v>62</v>
      </c>
    </row>
    <row r="475" ht="14.25" spans="1:8">
      <c r="A475" s="3" t="str">
        <f>"10403101624"</f>
        <v>10403101624</v>
      </c>
      <c r="B475" s="3">
        <v>1</v>
      </c>
      <c r="C475" s="3">
        <v>16</v>
      </c>
      <c r="D475" s="3">
        <v>24</v>
      </c>
      <c r="E475" s="3" t="s">
        <v>8</v>
      </c>
      <c r="F475" s="3">
        <v>0</v>
      </c>
      <c r="G475" s="4"/>
      <c r="H475" s="3">
        <v>0</v>
      </c>
    </row>
    <row r="476" ht="14.25" spans="1:8">
      <c r="A476" s="3" t="str">
        <f>"10403101625"</f>
        <v>10403101625</v>
      </c>
      <c r="B476" s="3">
        <v>1</v>
      </c>
      <c r="C476" s="3">
        <v>16</v>
      </c>
      <c r="D476" s="3">
        <v>25</v>
      </c>
      <c r="E476" s="3" t="s">
        <v>8</v>
      </c>
      <c r="F476" s="4">
        <v>83.5</v>
      </c>
      <c r="G476" s="4"/>
      <c r="H476" s="4">
        <f t="shared" ref="H476:H482" si="28">F476+G476</f>
        <v>83.5</v>
      </c>
    </row>
    <row r="477" ht="14.25" spans="1:8">
      <c r="A477" s="3" t="str">
        <f>"10403101626"</f>
        <v>10403101626</v>
      </c>
      <c r="B477" s="3">
        <v>1</v>
      </c>
      <c r="C477" s="3">
        <v>16</v>
      </c>
      <c r="D477" s="3">
        <v>26</v>
      </c>
      <c r="E477" s="3" t="s">
        <v>8</v>
      </c>
      <c r="F477" s="4">
        <v>75</v>
      </c>
      <c r="G477" s="4"/>
      <c r="H477" s="4">
        <f t="shared" si="28"/>
        <v>75</v>
      </c>
    </row>
    <row r="478" ht="14.25" spans="1:8">
      <c r="A478" s="3" t="str">
        <f>"10403101627"</f>
        <v>10403101627</v>
      </c>
      <c r="B478" s="3">
        <v>1</v>
      </c>
      <c r="C478" s="3">
        <v>16</v>
      </c>
      <c r="D478" s="3">
        <v>27</v>
      </c>
      <c r="E478" s="3" t="s">
        <v>8</v>
      </c>
      <c r="F478" s="3">
        <v>0</v>
      </c>
      <c r="G478" s="4"/>
      <c r="H478" s="3">
        <v>0</v>
      </c>
    </row>
    <row r="479" ht="14.25" spans="1:8">
      <c r="A479" s="3" t="str">
        <f>"10403101628"</f>
        <v>10403101628</v>
      </c>
      <c r="B479" s="3">
        <v>1</v>
      </c>
      <c r="C479" s="3">
        <v>16</v>
      </c>
      <c r="D479" s="3">
        <v>28</v>
      </c>
      <c r="E479" s="3" t="s">
        <v>8</v>
      </c>
      <c r="F479" s="4">
        <v>81</v>
      </c>
      <c r="G479" s="4"/>
      <c r="H479" s="4">
        <f t="shared" si="28"/>
        <v>81</v>
      </c>
    </row>
    <row r="480" ht="14.25" spans="1:8">
      <c r="A480" s="3" t="str">
        <f>"10403101629"</f>
        <v>10403101629</v>
      </c>
      <c r="B480" s="3">
        <v>1</v>
      </c>
      <c r="C480" s="3">
        <v>16</v>
      </c>
      <c r="D480" s="3">
        <v>29</v>
      </c>
      <c r="E480" s="3" t="s">
        <v>8</v>
      </c>
      <c r="F480" s="4">
        <v>51.5</v>
      </c>
      <c r="G480" s="4"/>
      <c r="H480" s="4">
        <f t="shared" si="28"/>
        <v>51.5</v>
      </c>
    </row>
    <row r="481" ht="14.25" spans="1:8">
      <c r="A481" s="3" t="str">
        <f>"10403101630"</f>
        <v>10403101630</v>
      </c>
      <c r="B481" s="3">
        <v>1</v>
      </c>
      <c r="C481" s="3">
        <v>16</v>
      </c>
      <c r="D481" s="3">
        <v>30</v>
      </c>
      <c r="E481" s="3" t="s">
        <v>8</v>
      </c>
      <c r="F481" s="4">
        <v>80</v>
      </c>
      <c r="G481" s="4"/>
      <c r="H481" s="4">
        <f t="shared" si="28"/>
        <v>80</v>
      </c>
    </row>
    <row r="482" ht="14.25" spans="1:8">
      <c r="A482" s="3" t="str">
        <f>"10403101701"</f>
        <v>10403101701</v>
      </c>
      <c r="B482" s="3">
        <v>1</v>
      </c>
      <c r="C482" s="3">
        <v>17</v>
      </c>
      <c r="D482" s="3">
        <v>1</v>
      </c>
      <c r="E482" s="3" t="s">
        <v>8</v>
      </c>
      <c r="F482" s="4">
        <v>78</v>
      </c>
      <c r="G482" s="4"/>
      <c r="H482" s="4">
        <f t="shared" si="28"/>
        <v>78</v>
      </c>
    </row>
    <row r="483" ht="14.25" spans="1:8">
      <c r="A483" s="3" t="str">
        <f>"10403101702"</f>
        <v>10403101702</v>
      </c>
      <c r="B483" s="3">
        <v>1</v>
      </c>
      <c r="C483" s="3">
        <v>17</v>
      </c>
      <c r="D483" s="3">
        <v>2</v>
      </c>
      <c r="E483" s="3" t="s">
        <v>8</v>
      </c>
      <c r="F483" s="3">
        <v>0</v>
      </c>
      <c r="G483" s="4"/>
      <c r="H483" s="3">
        <v>0</v>
      </c>
    </row>
    <row r="484" ht="14.25" spans="1:8">
      <c r="A484" s="3" t="str">
        <f>"10403101703"</f>
        <v>10403101703</v>
      </c>
      <c r="B484" s="3">
        <v>1</v>
      </c>
      <c r="C484" s="3">
        <v>17</v>
      </c>
      <c r="D484" s="3">
        <v>3</v>
      </c>
      <c r="E484" s="3" t="s">
        <v>8</v>
      </c>
      <c r="F484" s="4">
        <v>78.5</v>
      </c>
      <c r="G484" s="4"/>
      <c r="H484" s="4">
        <f t="shared" ref="H484:H488" si="29">F484+G484</f>
        <v>78.5</v>
      </c>
    </row>
    <row r="485" ht="14.25" spans="1:8">
      <c r="A485" s="3" t="str">
        <f>"10403101704"</f>
        <v>10403101704</v>
      </c>
      <c r="B485" s="3">
        <v>1</v>
      </c>
      <c r="C485" s="3">
        <v>17</v>
      </c>
      <c r="D485" s="3">
        <v>4</v>
      </c>
      <c r="E485" s="3" t="s">
        <v>8</v>
      </c>
      <c r="F485" s="3">
        <v>0</v>
      </c>
      <c r="G485" s="4"/>
      <c r="H485" s="3">
        <v>0</v>
      </c>
    </row>
    <row r="486" ht="14.25" spans="1:8">
      <c r="A486" s="3" t="str">
        <f>"10403101705"</f>
        <v>10403101705</v>
      </c>
      <c r="B486" s="3">
        <v>1</v>
      </c>
      <c r="C486" s="3">
        <v>17</v>
      </c>
      <c r="D486" s="3">
        <v>5</v>
      </c>
      <c r="E486" s="3" t="s">
        <v>8</v>
      </c>
      <c r="F486" s="4">
        <v>79</v>
      </c>
      <c r="G486" s="4"/>
      <c r="H486" s="4">
        <f t="shared" si="29"/>
        <v>79</v>
      </c>
    </row>
    <row r="487" ht="14.25" spans="1:8">
      <c r="A487" s="3" t="str">
        <f>"10403101706"</f>
        <v>10403101706</v>
      </c>
      <c r="B487" s="3">
        <v>1</v>
      </c>
      <c r="C487" s="3">
        <v>17</v>
      </c>
      <c r="D487" s="3">
        <v>6</v>
      </c>
      <c r="E487" s="3" t="s">
        <v>8</v>
      </c>
      <c r="F487" s="4">
        <v>68.5</v>
      </c>
      <c r="G487" s="4"/>
      <c r="H487" s="4">
        <f t="shared" si="29"/>
        <v>68.5</v>
      </c>
    </row>
    <row r="488" ht="14.25" spans="1:8">
      <c r="A488" s="3" t="str">
        <f>"10403101707"</f>
        <v>10403101707</v>
      </c>
      <c r="B488" s="3">
        <v>1</v>
      </c>
      <c r="C488" s="3">
        <v>17</v>
      </c>
      <c r="D488" s="3">
        <v>7</v>
      </c>
      <c r="E488" s="3" t="s">
        <v>8</v>
      </c>
      <c r="F488" s="4">
        <v>72.5</v>
      </c>
      <c r="G488" s="4"/>
      <c r="H488" s="4">
        <f t="shared" si="29"/>
        <v>72.5</v>
      </c>
    </row>
    <row r="489" ht="14.25" spans="1:8">
      <c r="A489" s="3" t="str">
        <f>"10403101708"</f>
        <v>10403101708</v>
      </c>
      <c r="B489" s="3">
        <v>1</v>
      </c>
      <c r="C489" s="3">
        <v>17</v>
      </c>
      <c r="D489" s="3">
        <v>8</v>
      </c>
      <c r="E489" s="3" t="s">
        <v>8</v>
      </c>
      <c r="F489" s="3">
        <v>0</v>
      </c>
      <c r="G489" s="4"/>
      <c r="H489" s="3">
        <v>0</v>
      </c>
    </row>
    <row r="490" ht="14.25" spans="1:8">
      <c r="A490" s="3" t="str">
        <f>"10403101709"</f>
        <v>10403101709</v>
      </c>
      <c r="B490" s="3">
        <v>1</v>
      </c>
      <c r="C490" s="3">
        <v>17</v>
      </c>
      <c r="D490" s="3">
        <v>9</v>
      </c>
      <c r="E490" s="3" t="s">
        <v>8</v>
      </c>
      <c r="F490" s="4">
        <v>79.5</v>
      </c>
      <c r="G490" s="4"/>
      <c r="H490" s="4">
        <f t="shared" ref="H490:H492" si="30">F490+G490</f>
        <v>79.5</v>
      </c>
    </row>
    <row r="491" ht="14.25" spans="1:8">
      <c r="A491" s="3" t="str">
        <f>"10403101710"</f>
        <v>10403101710</v>
      </c>
      <c r="B491" s="3">
        <v>1</v>
      </c>
      <c r="C491" s="3">
        <v>17</v>
      </c>
      <c r="D491" s="3">
        <v>10</v>
      </c>
      <c r="E491" s="3" t="s">
        <v>8</v>
      </c>
      <c r="F491" s="4">
        <v>61.5</v>
      </c>
      <c r="G491" s="4"/>
      <c r="H491" s="4">
        <f t="shared" si="30"/>
        <v>61.5</v>
      </c>
    </row>
    <row r="492" ht="14.25" spans="1:8">
      <c r="A492" s="3" t="str">
        <f>"10403101711"</f>
        <v>10403101711</v>
      </c>
      <c r="B492" s="3">
        <v>1</v>
      </c>
      <c r="C492" s="3">
        <v>17</v>
      </c>
      <c r="D492" s="3">
        <v>11</v>
      </c>
      <c r="E492" s="3" t="s">
        <v>8</v>
      </c>
      <c r="F492" s="4">
        <v>86</v>
      </c>
      <c r="G492" s="4"/>
      <c r="H492" s="4">
        <f t="shared" si="30"/>
        <v>86</v>
      </c>
    </row>
    <row r="493" ht="14.25" spans="1:8">
      <c r="A493" s="3" t="str">
        <f>"10404101712"</f>
        <v>10404101712</v>
      </c>
      <c r="B493" s="3">
        <v>1</v>
      </c>
      <c r="C493" s="3">
        <v>17</v>
      </c>
      <c r="D493" s="3">
        <v>12</v>
      </c>
      <c r="E493" s="3" t="s">
        <v>8</v>
      </c>
      <c r="F493" s="3">
        <v>0</v>
      </c>
      <c r="G493" s="4"/>
      <c r="H493" s="3">
        <v>0</v>
      </c>
    </row>
    <row r="494" ht="14.25" spans="1:8">
      <c r="A494" s="3" t="str">
        <f>"10404101713"</f>
        <v>10404101713</v>
      </c>
      <c r="B494" s="3">
        <v>1</v>
      </c>
      <c r="C494" s="3">
        <v>17</v>
      </c>
      <c r="D494" s="3">
        <v>13</v>
      </c>
      <c r="E494" s="3" t="s">
        <v>8</v>
      </c>
      <c r="F494" s="4">
        <v>57</v>
      </c>
      <c r="G494" s="4"/>
      <c r="H494" s="4">
        <f t="shared" ref="H494:H497" si="31">F494+G494</f>
        <v>57</v>
      </c>
    </row>
    <row r="495" ht="14.25" spans="1:8">
      <c r="A495" s="3" t="str">
        <f>"10404101714"</f>
        <v>10404101714</v>
      </c>
      <c r="B495" s="3">
        <v>1</v>
      </c>
      <c r="C495" s="3">
        <v>17</v>
      </c>
      <c r="D495" s="3">
        <v>14</v>
      </c>
      <c r="E495" s="3" t="s">
        <v>8</v>
      </c>
      <c r="F495" s="4">
        <v>82.5</v>
      </c>
      <c r="G495" s="4"/>
      <c r="H495" s="4">
        <f t="shared" si="31"/>
        <v>82.5</v>
      </c>
    </row>
    <row r="496" ht="14.25" spans="1:8">
      <c r="A496" s="3" t="str">
        <f>"10404101715"</f>
        <v>10404101715</v>
      </c>
      <c r="B496" s="3">
        <v>1</v>
      </c>
      <c r="C496" s="3">
        <v>17</v>
      </c>
      <c r="D496" s="3">
        <v>15</v>
      </c>
      <c r="E496" s="3" t="s">
        <v>8</v>
      </c>
      <c r="F496" s="4">
        <v>84</v>
      </c>
      <c r="G496" s="4"/>
      <c r="H496" s="4">
        <f t="shared" si="31"/>
        <v>84</v>
      </c>
    </row>
    <row r="497" ht="14.25" spans="1:8">
      <c r="A497" s="3" t="str">
        <f>"10404101716"</f>
        <v>10404101716</v>
      </c>
      <c r="B497" s="3">
        <v>1</v>
      </c>
      <c r="C497" s="3">
        <v>17</v>
      </c>
      <c r="D497" s="3">
        <v>16</v>
      </c>
      <c r="E497" s="3" t="s">
        <v>8</v>
      </c>
      <c r="F497" s="4">
        <v>72.5</v>
      </c>
      <c r="G497" s="4"/>
      <c r="H497" s="4">
        <f t="shared" si="31"/>
        <v>72.5</v>
      </c>
    </row>
    <row r="498" ht="14.25" spans="1:8">
      <c r="A498" s="3" t="str">
        <f>"10405101717"</f>
        <v>10405101717</v>
      </c>
      <c r="B498" s="3">
        <v>1</v>
      </c>
      <c r="C498" s="3">
        <v>17</v>
      </c>
      <c r="D498" s="3">
        <v>17</v>
      </c>
      <c r="E498" s="3" t="s">
        <v>8</v>
      </c>
      <c r="F498" s="3">
        <v>0</v>
      </c>
      <c r="G498" s="4"/>
      <c r="H498" s="3">
        <v>0</v>
      </c>
    </row>
    <row r="499" ht="14.25" spans="1:8">
      <c r="A499" s="3" t="str">
        <f>"10405101718"</f>
        <v>10405101718</v>
      </c>
      <c r="B499" s="3">
        <v>1</v>
      </c>
      <c r="C499" s="3">
        <v>17</v>
      </c>
      <c r="D499" s="3">
        <v>18</v>
      </c>
      <c r="E499" s="3" t="s">
        <v>8</v>
      </c>
      <c r="F499" s="4">
        <v>62.5</v>
      </c>
      <c r="G499" s="4"/>
      <c r="H499" s="4">
        <f t="shared" ref="H499:H503" si="32">F499+G499</f>
        <v>62.5</v>
      </c>
    </row>
    <row r="500" ht="14.25" spans="1:8">
      <c r="A500" s="3" t="str">
        <f>"10405101719"</f>
        <v>10405101719</v>
      </c>
      <c r="B500" s="3">
        <v>1</v>
      </c>
      <c r="C500" s="3">
        <v>17</v>
      </c>
      <c r="D500" s="3">
        <v>19</v>
      </c>
      <c r="E500" s="3" t="s">
        <v>8</v>
      </c>
      <c r="F500" s="3">
        <v>0</v>
      </c>
      <c r="G500" s="4"/>
      <c r="H500" s="3">
        <v>0</v>
      </c>
    </row>
    <row r="501" ht="14.25" spans="1:8">
      <c r="A501" s="3" t="str">
        <f>"10405101720"</f>
        <v>10405101720</v>
      </c>
      <c r="B501" s="3">
        <v>1</v>
      </c>
      <c r="C501" s="3">
        <v>17</v>
      </c>
      <c r="D501" s="3">
        <v>20</v>
      </c>
      <c r="E501" s="3" t="s">
        <v>8</v>
      </c>
      <c r="F501" s="3">
        <v>0</v>
      </c>
      <c r="G501" s="4"/>
      <c r="H501" s="3">
        <v>0</v>
      </c>
    </row>
    <row r="502" ht="14.25" spans="1:8">
      <c r="A502" s="3" t="str">
        <f>"10406101721"</f>
        <v>10406101721</v>
      </c>
      <c r="B502" s="3">
        <v>1</v>
      </c>
      <c r="C502" s="3">
        <v>17</v>
      </c>
      <c r="D502" s="3">
        <v>21</v>
      </c>
      <c r="E502" s="3" t="s">
        <v>8</v>
      </c>
      <c r="F502" s="4">
        <v>75</v>
      </c>
      <c r="G502" s="4"/>
      <c r="H502" s="4">
        <f t="shared" si="32"/>
        <v>75</v>
      </c>
    </row>
    <row r="503" ht="14.25" spans="1:8">
      <c r="A503" s="3" t="str">
        <f>"10406101722"</f>
        <v>10406101722</v>
      </c>
      <c r="B503" s="3">
        <v>1</v>
      </c>
      <c r="C503" s="3">
        <v>17</v>
      </c>
      <c r="D503" s="3">
        <v>22</v>
      </c>
      <c r="E503" s="3" t="s">
        <v>8</v>
      </c>
      <c r="F503" s="4">
        <v>82</v>
      </c>
      <c r="G503" s="4"/>
      <c r="H503" s="4">
        <f t="shared" si="32"/>
        <v>82</v>
      </c>
    </row>
    <row r="504" ht="14.25" spans="1:8">
      <c r="A504" s="3" t="str">
        <f>"10406101723"</f>
        <v>10406101723</v>
      </c>
      <c r="B504" s="3">
        <v>1</v>
      </c>
      <c r="C504" s="3">
        <v>17</v>
      </c>
      <c r="D504" s="3">
        <v>23</v>
      </c>
      <c r="E504" s="3" t="s">
        <v>8</v>
      </c>
      <c r="F504" s="3">
        <v>0</v>
      </c>
      <c r="G504" s="4"/>
      <c r="H504" s="3">
        <v>0</v>
      </c>
    </row>
    <row r="505" ht="14.25" spans="1:8">
      <c r="A505" s="3" t="str">
        <f>"10406101724"</f>
        <v>10406101724</v>
      </c>
      <c r="B505" s="3">
        <v>1</v>
      </c>
      <c r="C505" s="3">
        <v>17</v>
      </c>
      <c r="D505" s="3">
        <v>24</v>
      </c>
      <c r="E505" s="3" t="s">
        <v>8</v>
      </c>
      <c r="F505" s="4">
        <v>53.5</v>
      </c>
      <c r="G505" s="4"/>
      <c r="H505" s="4">
        <f t="shared" ref="H505:H507" si="33">F505+G505</f>
        <v>53.5</v>
      </c>
    </row>
    <row r="506" ht="14.25" spans="1:8">
      <c r="A506" s="3" t="str">
        <f>"10406101725"</f>
        <v>10406101725</v>
      </c>
      <c r="B506" s="3">
        <v>1</v>
      </c>
      <c r="C506" s="3">
        <v>17</v>
      </c>
      <c r="D506" s="3">
        <v>25</v>
      </c>
      <c r="E506" s="3" t="s">
        <v>8</v>
      </c>
      <c r="F506" s="4">
        <v>73</v>
      </c>
      <c r="G506" s="4"/>
      <c r="H506" s="4">
        <f t="shared" si="33"/>
        <v>73</v>
      </c>
    </row>
    <row r="507" ht="14.25" spans="1:8">
      <c r="A507" s="3" t="str">
        <f>"10406101726"</f>
        <v>10406101726</v>
      </c>
      <c r="B507" s="3">
        <v>1</v>
      </c>
      <c r="C507" s="3">
        <v>17</v>
      </c>
      <c r="D507" s="3">
        <v>26</v>
      </c>
      <c r="E507" s="3" t="s">
        <v>8</v>
      </c>
      <c r="F507" s="4">
        <v>73.5</v>
      </c>
      <c r="G507" s="4"/>
      <c r="H507" s="4">
        <f t="shared" si="33"/>
        <v>73.5</v>
      </c>
    </row>
    <row r="508" ht="14.25" spans="1:8">
      <c r="A508" s="3" t="str">
        <f>"10407101727"</f>
        <v>10407101727</v>
      </c>
      <c r="B508" s="3">
        <v>1</v>
      </c>
      <c r="C508" s="3">
        <v>17</v>
      </c>
      <c r="D508" s="3">
        <v>27</v>
      </c>
      <c r="E508" s="3" t="s">
        <v>8</v>
      </c>
      <c r="F508" s="3">
        <v>0</v>
      </c>
      <c r="G508" s="4"/>
      <c r="H508" s="3">
        <v>0</v>
      </c>
    </row>
    <row r="509" ht="14.25" spans="1:8">
      <c r="A509" s="3" t="str">
        <f>"10407101728"</f>
        <v>10407101728</v>
      </c>
      <c r="B509" s="3">
        <v>1</v>
      </c>
      <c r="C509" s="3">
        <v>17</v>
      </c>
      <c r="D509" s="3">
        <v>28</v>
      </c>
      <c r="E509" s="3" t="s">
        <v>8</v>
      </c>
      <c r="F509" s="4">
        <v>54.5</v>
      </c>
      <c r="G509" s="4"/>
      <c r="H509" s="4">
        <f t="shared" ref="H509:H519" si="34">F509+G509</f>
        <v>54.5</v>
      </c>
    </row>
    <row r="510" ht="14.25" spans="1:8">
      <c r="A510" s="3" t="str">
        <f>"10407101729"</f>
        <v>10407101729</v>
      </c>
      <c r="B510" s="3">
        <v>1</v>
      </c>
      <c r="C510" s="3">
        <v>17</v>
      </c>
      <c r="D510" s="3">
        <v>29</v>
      </c>
      <c r="E510" s="3" t="s">
        <v>8</v>
      </c>
      <c r="F510" s="4">
        <v>60.5</v>
      </c>
      <c r="G510" s="4"/>
      <c r="H510" s="4">
        <f t="shared" si="34"/>
        <v>60.5</v>
      </c>
    </row>
    <row r="511" ht="14.25" spans="1:8">
      <c r="A511" s="3" t="str">
        <f>"10407101730"</f>
        <v>10407101730</v>
      </c>
      <c r="B511" s="3">
        <v>1</v>
      </c>
      <c r="C511" s="3">
        <v>17</v>
      </c>
      <c r="D511" s="3">
        <v>30</v>
      </c>
      <c r="E511" s="3" t="s">
        <v>8</v>
      </c>
      <c r="F511" s="4">
        <v>47.5</v>
      </c>
      <c r="G511" s="4"/>
      <c r="H511" s="4">
        <f t="shared" si="34"/>
        <v>47.5</v>
      </c>
    </row>
    <row r="512" ht="14.25" spans="1:8">
      <c r="A512" s="3" t="str">
        <f>"10407101801"</f>
        <v>10407101801</v>
      </c>
      <c r="B512" s="3">
        <v>1</v>
      </c>
      <c r="C512" s="3">
        <v>18</v>
      </c>
      <c r="D512" s="3">
        <v>1</v>
      </c>
      <c r="E512" s="3" t="s">
        <v>8</v>
      </c>
      <c r="F512" s="4">
        <v>58.5</v>
      </c>
      <c r="G512" s="4"/>
      <c r="H512" s="4">
        <f t="shared" si="34"/>
        <v>58.5</v>
      </c>
    </row>
    <row r="513" ht="14.25" spans="1:8">
      <c r="A513" s="3" t="str">
        <f>"10407101802"</f>
        <v>10407101802</v>
      </c>
      <c r="B513" s="3">
        <v>1</v>
      </c>
      <c r="C513" s="3">
        <v>18</v>
      </c>
      <c r="D513" s="3">
        <v>2</v>
      </c>
      <c r="E513" s="3" t="s">
        <v>8</v>
      </c>
      <c r="F513" s="4">
        <v>58</v>
      </c>
      <c r="G513" s="4"/>
      <c r="H513" s="4">
        <f t="shared" si="34"/>
        <v>58</v>
      </c>
    </row>
    <row r="514" ht="14.25" spans="1:8">
      <c r="A514" s="3" t="str">
        <f>"10501101803"</f>
        <v>10501101803</v>
      </c>
      <c r="B514" s="3">
        <v>1</v>
      </c>
      <c r="C514" s="3">
        <v>18</v>
      </c>
      <c r="D514" s="3">
        <v>3</v>
      </c>
      <c r="E514" s="3" t="s">
        <v>8</v>
      </c>
      <c r="F514" s="4">
        <v>77.5</v>
      </c>
      <c r="G514" s="4"/>
      <c r="H514" s="4">
        <f t="shared" si="34"/>
        <v>77.5</v>
      </c>
    </row>
    <row r="515" ht="14.25" spans="1:8">
      <c r="A515" s="3" t="str">
        <f>"10501101804"</f>
        <v>10501101804</v>
      </c>
      <c r="B515" s="3">
        <v>1</v>
      </c>
      <c r="C515" s="3">
        <v>18</v>
      </c>
      <c r="D515" s="3">
        <v>4</v>
      </c>
      <c r="E515" s="3" t="s">
        <v>8</v>
      </c>
      <c r="F515" s="4">
        <v>80.5</v>
      </c>
      <c r="G515" s="4"/>
      <c r="H515" s="4">
        <f t="shared" si="34"/>
        <v>80.5</v>
      </c>
    </row>
    <row r="516" ht="14.25" spans="1:8">
      <c r="A516" s="3" t="str">
        <f>"10501101805"</f>
        <v>10501101805</v>
      </c>
      <c r="B516" s="3">
        <v>1</v>
      </c>
      <c r="C516" s="3">
        <v>18</v>
      </c>
      <c r="D516" s="3">
        <v>5</v>
      </c>
      <c r="E516" s="3" t="s">
        <v>8</v>
      </c>
      <c r="F516" s="4">
        <v>75</v>
      </c>
      <c r="G516" s="4"/>
      <c r="H516" s="4">
        <f t="shared" si="34"/>
        <v>75</v>
      </c>
    </row>
    <row r="517" ht="14.25" spans="1:8">
      <c r="A517" s="3" t="str">
        <f>"10501101806"</f>
        <v>10501101806</v>
      </c>
      <c r="B517" s="3">
        <v>1</v>
      </c>
      <c r="C517" s="3">
        <v>18</v>
      </c>
      <c r="D517" s="3">
        <v>6</v>
      </c>
      <c r="E517" s="3" t="s">
        <v>8</v>
      </c>
      <c r="F517" s="4">
        <v>77.5</v>
      </c>
      <c r="G517" s="4"/>
      <c r="H517" s="4">
        <f t="shared" si="34"/>
        <v>77.5</v>
      </c>
    </row>
    <row r="518" ht="14.25" spans="1:8">
      <c r="A518" s="3" t="str">
        <f>"10501101807"</f>
        <v>10501101807</v>
      </c>
      <c r="B518" s="3">
        <v>1</v>
      </c>
      <c r="C518" s="3">
        <v>18</v>
      </c>
      <c r="D518" s="3">
        <v>7</v>
      </c>
      <c r="E518" s="3" t="s">
        <v>8</v>
      </c>
      <c r="F518" s="4">
        <v>52</v>
      </c>
      <c r="G518" s="4"/>
      <c r="H518" s="4">
        <f t="shared" si="34"/>
        <v>52</v>
      </c>
    </row>
    <row r="519" ht="14.25" spans="1:8">
      <c r="A519" s="3" t="str">
        <f>"10501101808"</f>
        <v>10501101808</v>
      </c>
      <c r="B519" s="3">
        <v>1</v>
      </c>
      <c r="C519" s="3">
        <v>18</v>
      </c>
      <c r="D519" s="3">
        <v>8</v>
      </c>
      <c r="E519" s="3" t="s">
        <v>8</v>
      </c>
      <c r="F519" s="4">
        <v>81.5</v>
      </c>
      <c r="G519" s="4"/>
      <c r="H519" s="4">
        <f t="shared" si="34"/>
        <v>81.5</v>
      </c>
    </row>
    <row r="520" ht="14.25" spans="1:8">
      <c r="A520" s="3" t="str">
        <f>"10501101809"</f>
        <v>10501101809</v>
      </c>
      <c r="B520" s="3">
        <v>1</v>
      </c>
      <c r="C520" s="3">
        <v>18</v>
      </c>
      <c r="D520" s="3">
        <v>9</v>
      </c>
      <c r="E520" s="3" t="s">
        <v>8</v>
      </c>
      <c r="F520" s="3">
        <v>0</v>
      </c>
      <c r="G520" s="4"/>
      <c r="H520" s="3">
        <v>0</v>
      </c>
    </row>
    <row r="521" ht="14.25" spans="1:8">
      <c r="A521" s="3" t="str">
        <f>"10501101810"</f>
        <v>10501101810</v>
      </c>
      <c r="B521" s="3">
        <v>1</v>
      </c>
      <c r="C521" s="3">
        <v>18</v>
      </c>
      <c r="D521" s="3">
        <v>10</v>
      </c>
      <c r="E521" s="3" t="s">
        <v>8</v>
      </c>
      <c r="F521" s="4">
        <v>60.5</v>
      </c>
      <c r="G521" s="4"/>
      <c r="H521" s="4">
        <f t="shared" ref="H521:H531" si="35">F521+G521</f>
        <v>60.5</v>
      </c>
    </row>
    <row r="522" ht="14.25" spans="1:8">
      <c r="A522" s="3" t="str">
        <f>"10501101811"</f>
        <v>10501101811</v>
      </c>
      <c r="B522" s="3">
        <v>1</v>
      </c>
      <c r="C522" s="3">
        <v>18</v>
      </c>
      <c r="D522" s="3">
        <v>11</v>
      </c>
      <c r="E522" s="3" t="s">
        <v>8</v>
      </c>
      <c r="F522" s="4">
        <v>63.5</v>
      </c>
      <c r="G522" s="4"/>
      <c r="H522" s="4">
        <f t="shared" si="35"/>
        <v>63.5</v>
      </c>
    </row>
    <row r="523" ht="14.25" spans="1:8">
      <c r="A523" s="3" t="str">
        <f>"10501101812"</f>
        <v>10501101812</v>
      </c>
      <c r="B523" s="3">
        <v>1</v>
      </c>
      <c r="C523" s="3">
        <v>18</v>
      </c>
      <c r="D523" s="3">
        <v>12</v>
      </c>
      <c r="E523" s="3" t="s">
        <v>8</v>
      </c>
      <c r="F523" s="4">
        <v>67.5</v>
      </c>
      <c r="G523" s="4"/>
      <c r="H523" s="4">
        <f t="shared" si="35"/>
        <v>67.5</v>
      </c>
    </row>
    <row r="524" ht="14.25" spans="1:8">
      <c r="A524" s="3" t="str">
        <f>"10501101813"</f>
        <v>10501101813</v>
      </c>
      <c r="B524" s="3">
        <v>1</v>
      </c>
      <c r="C524" s="3">
        <v>18</v>
      </c>
      <c r="D524" s="3">
        <v>13</v>
      </c>
      <c r="E524" s="3" t="s">
        <v>8</v>
      </c>
      <c r="F524" s="4">
        <v>75</v>
      </c>
      <c r="G524" s="4"/>
      <c r="H524" s="4">
        <f t="shared" si="35"/>
        <v>75</v>
      </c>
    </row>
    <row r="525" ht="14.25" spans="1:8">
      <c r="A525" s="3" t="str">
        <f>"10501101814"</f>
        <v>10501101814</v>
      </c>
      <c r="B525" s="3">
        <v>1</v>
      </c>
      <c r="C525" s="3">
        <v>18</v>
      </c>
      <c r="D525" s="3">
        <v>14</v>
      </c>
      <c r="E525" s="3" t="s">
        <v>8</v>
      </c>
      <c r="F525" s="4">
        <v>75.5</v>
      </c>
      <c r="G525" s="4"/>
      <c r="H525" s="4">
        <f t="shared" si="35"/>
        <v>75.5</v>
      </c>
    </row>
    <row r="526" ht="14.25" spans="1:8">
      <c r="A526" s="3" t="str">
        <f>"10501101815"</f>
        <v>10501101815</v>
      </c>
      <c r="B526" s="3">
        <v>1</v>
      </c>
      <c r="C526" s="3">
        <v>18</v>
      </c>
      <c r="D526" s="3">
        <v>15</v>
      </c>
      <c r="E526" s="3" t="s">
        <v>8</v>
      </c>
      <c r="F526" s="4">
        <v>62</v>
      </c>
      <c r="G526" s="4"/>
      <c r="H526" s="4">
        <f t="shared" si="35"/>
        <v>62</v>
      </c>
    </row>
    <row r="527" ht="14.25" spans="1:8">
      <c r="A527" s="3" t="str">
        <f>"10501101816"</f>
        <v>10501101816</v>
      </c>
      <c r="B527" s="3">
        <v>1</v>
      </c>
      <c r="C527" s="3">
        <v>18</v>
      </c>
      <c r="D527" s="3">
        <v>16</v>
      </c>
      <c r="E527" s="3" t="s">
        <v>8</v>
      </c>
      <c r="F527" s="4">
        <v>73</v>
      </c>
      <c r="G527" s="4"/>
      <c r="H527" s="4">
        <f t="shared" si="35"/>
        <v>73</v>
      </c>
    </row>
    <row r="528" ht="14.25" spans="1:8">
      <c r="A528" s="3" t="str">
        <f>"10501101817"</f>
        <v>10501101817</v>
      </c>
      <c r="B528" s="3">
        <v>1</v>
      </c>
      <c r="C528" s="3">
        <v>18</v>
      </c>
      <c r="D528" s="3">
        <v>17</v>
      </c>
      <c r="E528" s="3" t="s">
        <v>8</v>
      </c>
      <c r="F528" s="4">
        <v>66.5</v>
      </c>
      <c r="G528" s="4"/>
      <c r="H528" s="4">
        <f t="shared" si="35"/>
        <v>66.5</v>
      </c>
    </row>
    <row r="529" ht="14.25" spans="1:8">
      <c r="A529" s="3" t="str">
        <f>"10501101818"</f>
        <v>10501101818</v>
      </c>
      <c r="B529" s="3">
        <v>1</v>
      </c>
      <c r="C529" s="3">
        <v>18</v>
      </c>
      <c r="D529" s="3">
        <v>18</v>
      </c>
      <c r="E529" s="3" t="s">
        <v>8</v>
      </c>
      <c r="F529" s="4">
        <v>79</v>
      </c>
      <c r="G529" s="4"/>
      <c r="H529" s="4">
        <f t="shared" si="35"/>
        <v>79</v>
      </c>
    </row>
    <row r="530" ht="14.25" spans="1:8">
      <c r="A530" s="3" t="str">
        <f>"10501101819"</f>
        <v>10501101819</v>
      </c>
      <c r="B530" s="3">
        <v>1</v>
      </c>
      <c r="C530" s="3">
        <v>18</v>
      </c>
      <c r="D530" s="3">
        <v>19</v>
      </c>
      <c r="E530" s="3" t="s">
        <v>8</v>
      </c>
      <c r="F530" s="4">
        <v>77.5</v>
      </c>
      <c r="G530" s="4"/>
      <c r="H530" s="4">
        <f t="shared" si="35"/>
        <v>77.5</v>
      </c>
    </row>
    <row r="531" ht="14.25" spans="1:8">
      <c r="A531" s="3" t="str">
        <f>"10501101820"</f>
        <v>10501101820</v>
      </c>
      <c r="B531" s="3">
        <v>1</v>
      </c>
      <c r="C531" s="3">
        <v>18</v>
      </c>
      <c r="D531" s="3">
        <v>20</v>
      </c>
      <c r="E531" s="3" t="s">
        <v>8</v>
      </c>
      <c r="F531" s="4">
        <v>75.5</v>
      </c>
      <c r="G531" s="4"/>
      <c r="H531" s="4">
        <f t="shared" si="35"/>
        <v>75.5</v>
      </c>
    </row>
    <row r="532" ht="14.25" spans="1:8">
      <c r="A532" s="3" t="str">
        <f>"10501101821"</f>
        <v>10501101821</v>
      </c>
      <c r="B532" s="3">
        <v>1</v>
      </c>
      <c r="C532" s="3">
        <v>18</v>
      </c>
      <c r="D532" s="3">
        <v>21</v>
      </c>
      <c r="E532" s="3" t="s">
        <v>8</v>
      </c>
      <c r="F532" s="3">
        <v>0</v>
      </c>
      <c r="G532" s="4"/>
      <c r="H532" s="3">
        <v>0</v>
      </c>
    </row>
    <row r="533" ht="14.25" spans="1:8">
      <c r="A533" s="3" t="str">
        <f>"10501101822"</f>
        <v>10501101822</v>
      </c>
      <c r="B533" s="3">
        <v>1</v>
      </c>
      <c r="C533" s="3">
        <v>18</v>
      </c>
      <c r="D533" s="3">
        <v>22</v>
      </c>
      <c r="E533" s="3" t="s">
        <v>8</v>
      </c>
      <c r="F533" s="4">
        <v>82</v>
      </c>
      <c r="G533" s="4"/>
      <c r="H533" s="4">
        <f t="shared" ref="H533:H543" si="36">F533+G533</f>
        <v>82</v>
      </c>
    </row>
    <row r="534" ht="14.25" spans="1:8">
      <c r="A534" s="3" t="str">
        <f>"10502101823"</f>
        <v>10502101823</v>
      </c>
      <c r="B534" s="3">
        <v>1</v>
      </c>
      <c r="C534" s="3">
        <v>18</v>
      </c>
      <c r="D534" s="3">
        <v>23</v>
      </c>
      <c r="E534" s="3" t="s">
        <v>8</v>
      </c>
      <c r="F534" s="4">
        <v>82</v>
      </c>
      <c r="G534" s="4"/>
      <c r="H534" s="4">
        <f t="shared" si="36"/>
        <v>82</v>
      </c>
    </row>
    <row r="535" ht="14.25" spans="1:8">
      <c r="A535" s="3" t="str">
        <f>"10502101824"</f>
        <v>10502101824</v>
      </c>
      <c r="B535" s="3">
        <v>1</v>
      </c>
      <c r="C535" s="3">
        <v>18</v>
      </c>
      <c r="D535" s="3">
        <v>24</v>
      </c>
      <c r="E535" s="3" t="s">
        <v>8</v>
      </c>
      <c r="F535" s="3">
        <v>0</v>
      </c>
      <c r="G535" s="4"/>
      <c r="H535" s="3">
        <v>0</v>
      </c>
    </row>
    <row r="536" ht="14.25" spans="1:8">
      <c r="A536" s="3" t="str">
        <f>"10502101825"</f>
        <v>10502101825</v>
      </c>
      <c r="B536" s="3">
        <v>1</v>
      </c>
      <c r="C536" s="3">
        <v>18</v>
      </c>
      <c r="D536" s="3">
        <v>25</v>
      </c>
      <c r="E536" s="3" t="s">
        <v>8</v>
      </c>
      <c r="F536" s="4">
        <v>63.5</v>
      </c>
      <c r="G536" s="4"/>
      <c r="H536" s="4">
        <f t="shared" si="36"/>
        <v>63.5</v>
      </c>
    </row>
    <row r="537" ht="14.25" spans="1:8">
      <c r="A537" s="3" t="str">
        <f>"10502101826"</f>
        <v>10502101826</v>
      </c>
      <c r="B537" s="3">
        <v>1</v>
      </c>
      <c r="C537" s="3">
        <v>18</v>
      </c>
      <c r="D537" s="3">
        <v>26</v>
      </c>
      <c r="E537" s="3" t="s">
        <v>8</v>
      </c>
      <c r="F537" s="4">
        <v>68.5</v>
      </c>
      <c r="G537" s="4"/>
      <c r="H537" s="4">
        <f t="shared" si="36"/>
        <v>68.5</v>
      </c>
    </row>
    <row r="538" ht="14.25" spans="1:8">
      <c r="A538" s="3" t="str">
        <f>"10502101827"</f>
        <v>10502101827</v>
      </c>
      <c r="B538" s="3">
        <v>1</v>
      </c>
      <c r="C538" s="3">
        <v>18</v>
      </c>
      <c r="D538" s="3">
        <v>27</v>
      </c>
      <c r="E538" s="3" t="s">
        <v>8</v>
      </c>
      <c r="F538" s="4">
        <v>82</v>
      </c>
      <c r="G538" s="4"/>
      <c r="H538" s="4">
        <f t="shared" si="36"/>
        <v>82</v>
      </c>
    </row>
    <row r="539" ht="14.25" spans="1:8">
      <c r="A539" s="3" t="str">
        <f>"10502101828"</f>
        <v>10502101828</v>
      </c>
      <c r="B539" s="3">
        <v>1</v>
      </c>
      <c r="C539" s="3">
        <v>18</v>
      </c>
      <c r="D539" s="3">
        <v>28</v>
      </c>
      <c r="E539" s="3" t="s">
        <v>8</v>
      </c>
      <c r="F539" s="4">
        <v>66</v>
      </c>
      <c r="G539" s="4"/>
      <c r="H539" s="4">
        <f t="shared" si="36"/>
        <v>66</v>
      </c>
    </row>
    <row r="540" ht="14.25" spans="1:8">
      <c r="A540" s="3" t="str">
        <f>"10502101829"</f>
        <v>10502101829</v>
      </c>
      <c r="B540" s="3">
        <v>1</v>
      </c>
      <c r="C540" s="3">
        <v>18</v>
      </c>
      <c r="D540" s="3">
        <v>29</v>
      </c>
      <c r="E540" s="3" t="s">
        <v>8</v>
      </c>
      <c r="F540" s="4">
        <v>66.5</v>
      </c>
      <c r="G540" s="4"/>
      <c r="H540" s="4">
        <f t="shared" si="36"/>
        <v>66.5</v>
      </c>
    </row>
    <row r="541" ht="14.25" spans="1:8">
      <c r="A541" s="3" t="str">
        <f>"10502101830"</f>
        <v>10502101830</v>
      </c>
      <c r="B541" s="3">
        <v>1</v>
      </c>
      <c r="C541" s="3">
        <v>18</v>
      </c>
      <c r="D541" s="3">
        <v>30</v>
      </c>
      <c r="E541" s="3" t="s">
        <v>8</v>
      </c>
      <c r="F541" s="4">
        <v>71</v>
      </c>
      <c r="G541" s="4"/>
      <c r="H541" s="4">
        <f t="shared" si="36"/>
        <v>71</v>
      </c>
    </row>
    <row r="542" ht="14.25" spans="1:8">
      <c r="A542" s="3" t="str">
        <f>"10502101901"</f>
        <v>10502101901</v>
      </c>
      <c r="B542" s="3">
        <v>1</v>
      </c>
      <c r="C542" s="3">
        <v>19</v>
      </c>
      <c r="D542" s="3">
        <v>1</v>
      </c>
      <c r="E542" s="3" t="s">
        <v>8</v>
      </c>
      <c r="F542" s="4">
        <v>71</v>
      </c>
      <c r="G542" s="4"/>
      <c r="H542" s="4">
        <f t="shared" si="36"/>
        <v>71</v>
      </c>
    </row>
    <row r="543" ht="14.25" spans="1:8">
      <c r="A543" s="3" t="str">
        <f>"10502101902"</f>
        <v>10502101902</v>
      </c>
      <c r="B543" s="3">
        <v>1</v>
      </c>
      <c r="C543" s="3">
        <v>19</v>
      </c>
      <c r="D543" s="3">
        <v>2</v>
      </c>
      <c r="E543" s="3" t="s">
        <v>8</v>
      </c>
      <c r="F543" s="4">
        <v>58.5</v>
      </c>
      <c r="G543" s="4"/>
      <c r="H543" s="4">
        <f t="shared" si="36"/>
        <v>58.5</v>
      </c>
    </row>
    <row r="544" ht="14.25" spans="1:8">
      <c r="A544" s="3" t="str">
        <f>"10502101903"</f>
        <v>10502101903</v>
      </c>
      <c r="B544" s="3">
        <v>1</v>
      </c>
      <c r="C544" s="3">
        <v>19</v>
      </c>
      <c r="D544" s="3">
        <v>3</v>
      </c>
      <c r="E544" s="3" t="s">
        <v>8</v>
      </c>
      <c r="F544" s="3">
        <v>0</v>
      </c>
      <c r="G544" s="4"/>
      <c r="H544" s="3">
        <v>0</v>
      </c>
    </row>
    <row r="545" ht="14.25" spans="1:8">
      <c r="A545" s="3" t="str">
        <f>"10502101904"</f>
        <v>10502101904</v>
      </c>
      <c r="B545" s="3">
        <v>1</v>
      </c>
      <c r="C545" s="3">
        <v>19</v>
      </c>
      <c r="D545" s="3">
        <v>4</v>
      </c>
      <c r="E545" s="3" t="s">
        <v>8</v>
      </c>
      <c r="F545" s="4">
        <v>67.5</v>
      </c>
      <c r="G545" s="4"/>
      <c r="H545" s="4">
        <f t="shared" ref="H545:H547" si="37">F545+G545</f>
        <v>67.5</v>
      </c>
    </row>
    <row r="546" ht="14.25" spans="1:8">
      <c r="A546" s="3" t="str">
        <f>"10502101905"</f>
        <v>10502101905</v>
      </c>
      <c r="B546" s="3">
        <v>1</v>
      </c>
      <c r="C546" s="3">
        <v>19</v>
      </c>
      <c r="D546" s="3">
        <v>5</v>
      </c>
      <c r="E546" s="3" t="s">
        <v>8</v>
      </c>
      <c r="F546" s="4">
        <v>79</v>
      </c>
      <c r="G546" s="4"/>
      <c r="H546" s="4">
        <f t="shared" si="37"/>
        <v>79</v>
      </c>
    </row>
    <row r="547" ht="14.25" spans="1:8">
      <c r="A547" s="3" t="str">
        <f>"10502101906"</f>
        <v>10502101906</v>
      </c>
      <c r="B547" s="3">
        <v>1</v>
      </c>
      <c r="C547" s="3">
        <v>19</v>
      </c>
      <c r="D547" s="3">
        <v>6</v>
      </c>
      <c r="E547" s="3" t="s">
        <v>8</v>
      </c>
      <c r="F547" s="4">
        <v>65</v>
      </c>
      <c r="G547" s="4"/>
      <c r="H547" s="4">
        <f t="shared" si="37"/>
        <v>65</v>
      </c>
    </row>
    <row r="548" ht="14.25" spans="1:8">
      <c r="A548" s="3" t="str">
        <f>"10502101907"</f>
        <v>10502101907</v>
      </c>
      <c r="B548" s="3">
        <v>1</v>
      </c>
      <c r="C548" s="3">
        <v>19</v>
      </c>
      <c r="D548" s="3">
        <v>7</v>
      </c>
      <c r="E548" s="3" t="s">
        <v>8</v>
      </c>
      <c r="F548" s="3">
        <v>0</v>
      </c>
      <c r="G548" s="4"/>
      <c r="H548" s="3">
        <v>0</v>
      </c>
    </row>
    <row r="549" ht="14.25" spans="1:8">
      <c r="A549" s="3" t="str">
        <f>"10502101908"</f>
        <v>10502101908</v>
      </c>
      <c r="B549" s="3">
        <v>1</v>
      </c>
      <c r="C549" s="3">
        <v>19</v>
      </c>
      <c r="D549" s="3">
        <v>8</v>
      </c>
      <c r="E549" s="3" t="s">
        <v>8</v>
      </c>
      <c r="F549" s="4">
        <v>89</v>
      </c>
      <c r="G549" s="4"/>
      <c r="H549" s="4">
        <f t="shared" ref="H549:H590" si="38">F549+G549</f>
        <v>89</v>
      </c>
    </row>
    <row r="550" ht="14.25" spans="1:8">
      <c r="A550" s="3" t="str">
        <f>"10502101909"</f>
        <v>10502101909</v>
      </c>
      <c r="B550" s="3">
        <v>1</v>
      </c>
      <c r="C550" s="3">
        <v>19</v>
      </c>
      <c r="D550" s="3">
        <v>9</v>
      </c>
      <c r="E550" s="3" t="s">
        <v>8</v>
      </c>
      <c r="F550" s="4">
        <v>65</v>
      </c>
      <c r="G550" s="4"/>
      <c r="H550" s="4">
        <f t="shared" si="38"/>
        <v>65</v>
      </c>
    </row>
    <row r="551" ht="14.25" spans="1:8">
      <c r="A551" s="3" t="str">
        <f>"10502101910"</f>
        <v>10502101910</v>
      </c>
      <c r="B551" s="3">
        <v>1</v>
      </c>
      <c r="C551" s="3">
        <v>19</v>
      </c>
      <c r="D551" s="3">
        <v>10</v>
      </c>
      <c r="E551" s="3" t="s">
        <v>8</v>
      </c>
      <c r="F551" s="4">
        <v>68.5</v>
      </c>
      <c r="G551" s="4"/>
      <c r="H551" s="4">
        <f t="shared" si="38"/>
        <v>68.5</v>
      </c>
    </row>
    <row r="552" ht="14.25" spans="1:8">
      <c r="A552" s="3" t="str">
        <f>"10502101911"</f>
        <v>10502101911</v>
      </c>
      <c r="B552" s="3">
        <v>1</v>
      </c>
      <c r="C552" s="3">
        <v>19</v>
      </c>
      <c r="D552" s="3">
        <v>11</v>
      </c>
      <c r="E552" s="3" t="s">
        <v>8</v>
      </c>
      <c r="F552" s="4">
        <v>85</v>
      </c>
      <c r="G552" s="4"/>
      <c r="H552" s="4">
        <f t="shared" si="38"/>
        <v>85</v>
      </c>
    </row>
    <row r="553" ht="14.25" spans="1:8">
      <c r="A553" s="3" t="str">
        <f>"10502101912"</f>
        <v>10502101912</v>
      </c>
      <c r="B553" s="3">
        <v>1</v>
      </c>
      <c r="C553" s="3">
        <v>19</v>
      </c>
      <c r="D553" s="3">
        <v>12</v>
      </c>
      <c r="E553" s="3" t="s">
        <v>8</v>
      </c>
      <c r="F553" s="4">
        <v>74</v>
      </c>
      <c r="G553" s="4"/>
      <c r="H553" s="4">
        <f t="shared" si="38"/>
        <v>74</v>
      </c>
    </row>
    <row r="554" ht="14.25" spans="1:8">
      <c r="A554" s="3" t="str">
        <f>"10502101913"</f>
        <v>10502101913</v>
      </c>
      <c r="B554" s="3">
        <v>1</v>
      </c>
      <c r="C554" s="3">
        <v>19</v>
      </c>
      <c r="D554" s="3">
        <v>13</v>
      </c>
      <c r="E554" s="3" t="s">
        <v>8</v>
      </c>
      <c r="F554" s="4">
        <v>56.5</v>
      </c>
      <c r="G554" s="4"/>
      <c r="H554" s="4">
        <f t="shared" si="38"/>
        <v>56.5</v>
      </c>
    </row>
    <row r="555" ht="14.25" spans="1:8">
      <c r="A555" s="3" t="str">
        <f>"10502101914"</f>
        <v>10502101914</v>
      </c>
      <c r="B555" s="3">
        <v>1</v>
      </c>
      <c r="C555" s="3">
        <v>19</v>
      </c>
      <c r="D555" s="3">
        <v>14</v>
      </c>
      <c r="E555" s="3" t="s">
        <v>8</v>
      </c>
      <c r="F555" s="4">
        <v>59</v>
      </c>
      <c r="G555" s="4"/>
      <c r="H555" s="4">
        <f t="shared" si="38"/>
        <v>59</v>
      </c>
    </row>
    <row r="556" ht="14.25" spans="1:8">
      <c r="A556" s="3" t="str">
        <f>"10502101915"</f>
        <v>10502101915</v>
      </c>
      <c r="B556" s="3">
        <v>1</v>
      </c>
      <c r="C556" s="3">
        <v>19</v>
      </c>
      <c r="D556" s="3">
        <v>15</v>
      </c>
      <c r="E556" s="3" t="s">
        <v>8</v>
      </c>
      <c r="F556" s="4">
        <v>71</v>
      </c>
      <c r="G556" s="4"/>
      <c r="H556" s="4">
        <f t="shared" si="38"/>
        <v>71</v>
      </c>
    </row>
    <row r="557" ht="14.25" spans="1:8">
      <c r="A557" s="3" t="str">
        <f>"10502101916"</f>
        <v>10502101916</v>
      </c>
      <c r="B557" s="3">
        <v>1</v>
      </c>
      <c r="C557" s="3">
        <v>19</v>
      </c>
      <c r="D557" s="3">
        <v>16</v>
      </c>
      <c r="E557" s="3" t="s">
        <v>8</v>
      </c>
      <c r="F557" s="4">
        <v>59</v>
      </c>
      <c r="G557" s="4"/>
      <c r="H557" s="4">
        <f t="shared" si="38"/>
        <v>59</v>
      </c>
    </row>
    <row r="558" ht="14.25" spans="1:8">
      <c r="A558" s="3" t="str">
        <f>"10502101917"</f>
        <v>10502101917</v>
      </c>
      <c r="B558" s="3">
        <v>1</v>
      </c>
      <c r="C558" s="3">
        <v>19</v>
      </c>
      <c r="D558" s="3">
        <v>17</v>
      </c>
      <c r="E558" s="3" t="s">
        <v>8</v>
      </c>
      <c r="F558" s="4">
        <v>61.5</v>
      </c>
      <c r="G558" s="4"/>
      <c r="H558" s="4">
        <f t="shared" si="38"/>
        <v>61.5</v>
      </c>
    </row>
    <row r="559" ht="14.25" spans="1:8">
      <c r="A559" s="3" t="str">
        <f>"10502101918"</f>
        <v>10502101918</v>
      </c>
      <c r="B559" s="3">
        <v>1</v>
      </c>
      <c r="C559" s="3">
        <v>19</v>
      </c>
      <c r="D559" s="3">
        <v>18</v>
      </c>
      <c r="E559" s="3" t="s">
        <v>8</v>
      </c>
      <c r="F559" s="4">
        <v>48</v>
      </c>
      <c r="G559" s="4"/>
      <c r="H559" s="4">
        <f t="shared" si="38"/>
        <v>48</v>
      </c>
    </row>
    <row r="560" ht="14.25" spans="1:8">
      <c r="A560" s="3" t="str">
        <f>"10502101919"</f>
        <v>10502101919</v>
      </c>
      <c r="B560" s="3">
        <v>1</v>
      </c>
      <c r="C560" s="3">
        <v>19</v>
      </c>
      <c r="D560" s="3">
        <v>19</v>
      </c>
      <c r="E560" s="3" t="s">
        <v>8</v>
      </c>
      <c r="F560" s="4">
        <v>69</v>
      </c>
      <c r="G560" s="4"/>
      <c r="H560" s="4">
        <f t="shared" si="38"/>
        <v>69</v>
      </c>
    </row>
    <row r="561" ht="14.25" spans="1:8">
      <c r="A561" s="3" t="str">
        <f>"10502101920"</f>
        <v>10502101920</v>
      </c>
      <c r="B561" s="3">
        <v>1</v>
      </c>
      <c r="C561" s="3">
        <v>19</v>
      </c>
      <c r="D561" s="3">
        <v>20</v>
      </c>
      <c r="E561" s="3" t="s">
        <v>8</v>
      </c>
      <c r="F561" s="4">
        <v>59.5</v>
      </c>
      <c r="G561" s="4"/>
      <c r="H561" s="4">
        <f t="shared" si="38"/>
        <v>59.5</v>
      </c>
    </row>
    <row r="562" ht="14.25" spans="1:8">
      <c r="A562" s="3" t="str">
        <f>"10502101921"</f>
        <v>10502101921</v>
      </c>
      <c r="B562" s="3">
        <v>1</v>
      </c>
      <c r="C562" s="3">
        <v>19</v>
      </c>
      <c r="D562" s="3">
        <v>21</v>
      </c>
      <c r="E562" s="3" t="s">
        <v>8</v>
      </c>
      <c r="F562" s="4">
        <v>64.5</v>
      </c>
      <c r="G562" s="4"/>
      <c r="H562" s="4">
        <f t="shared" si="38"/>
        <v>64.5</v>
      </c>
    </row>
    <row r="563" ht="14.25" spans="1:8">
      <c r="A563" s="3" t="str">
        <f>"10502101922"</f>
        <v>10502101922</v>
      </c>
      <c r="B563" s="3">
        <v>1</v>
      </c>
      <c r="C563" s="3">
        <v>19</v>
      </c>
      <c r="D563" s="3">
        <v>22</v>
      </c>
      <c r="E563" s="3" t="s">
        <v>8</v>
      </c>
      <c r="F563" s="4">
        <v>83</v>
      </c>
      <c r="G563" s="4"/>
      <c r="H563" s="4">
        <f t="shared" si="38"/>
        <v>83</v>
      </c>
    </row>
    <row r="564" ht="14.25" spans="1:8">
      <c r="A564" s="3" t="str">
        <f>"10502101923"</f>
        <v>10502101923</v>
      </c>
      <c r="B564" s="3">
        <v>1</v>
      </c>
      <c r="C564" s="3">
        <v>19</v>
      </c>
      <c r="D564" s="3">
        <v>23</v>
      </c>
      <c r="E564" s="3" t="s">
        <v>8</v>
      </c>
      <c r="F564" s="4">
        <v>77</v>
      </c>
      <c r="G564" s="4"/>
      <c r="H564" s="4">
        <f t="shared" si="38"/>
        <v>77</v>
      </c>
    </row>
    <row r="565" ht="14.25" spans="1:8">
      <c r="A565" s="3" t="str">
        <f>"10502101924"</f>
        <v>10502101924</v>
      </c>
      <c r="B565" s="3">
        <v>1</v>
      </c>
      <c r="C565" s="3">
        <v>19</v>
      </c>
      <c r="D565" s="3">
        <v>24</v>
      </c>
      <c r="E565" s="3" t="s">
        <v>8</v>
      </c>
      <c r="F565" s="4">
        <v>59.5</v>
      </c>
      <c r="G565" s="4"/>
      <c r="H565" s="4">
        <f t="shared" si="38"/>
        <v>59.5</v>
      </c>
    </row>
    <row r="566" ht="14.25" spans="1:8">
      <c r="A566" s="3" t="str">
        <f>"10502101925"</f>
        <v>10502101925</v>
      </c>
      <c r="B566" s="3">
        <v>1</v>
      </c>
      <c r="C566" s="3">
        <v>19</v>
      </c>
      <c r="D566" s="3">
        <v>25</v>
      </c>
      <c r="E566" s="3" t="s">
        <v>8</v>
      </c>
      <c r="F566" s="4">
        <v>74.5</v>
      </c>
      <c r="G566" s="4"/>
      <c r="H566" s="4">
        <f t="shared" si="38"/>
        <v>74.5</v>
      </c>
    </row>
    <row r="567" ht="14.25" spans="1:8">
      <c r="A567" s="3" t="str">
        <f>"10502101926"</f>
        <v>10502101926</v>
      </c>
      <c r="B567" s="3">
        <v>1</v>
      </c>
      <c r="C567" s="3">
        <v>19</v>
      </c>
      <c r="D567" s="3">
        <v>26</v>
      </c>
      <c r="E567" s="3" t="s">
        <v>8</v>
      </c>
      <c r="F567" s="4">
        <v>59.5</v>
      </c>
      <c r="G567" s="4"/>
      <c r="H567" s="4">
        <f t="shared" si="38"/>
        <v>59.5</v>
      </c>
    </row>
    <row r="568" ht="14.25" spans="1:8">
      <c r="A568" s="3" t="str">
        <f>"10502101927"</f>
        <v>10502101927</v>
      </c>
      <c r="B568" s="3">
        <v>1</v>
      </c>
      <c r="C568" s="3">
        <v>19</v>
      </c>
      <c r="D568" s="3">
        <v>27</v>
      </c>
      <c r="E568" s="3" t="s">
        <v>8</v>
      </c>
      <c r="F568" s="4">
        <v>84.5</v>
      </c>
      <c r="G568" s="4"/>
      <c r="H568" s="4">
        <f t="shared" si="38"/>
        <v>84.5</v>
      </c>
    </row>
    <row r="569" ht="14.25" spans="1:8">
      <c r="A569" s="3" t="str">
        <f>"10503101928"</f>
        <v>10503101928</v>
      </c>
      <c r="B569" s="3">
        <v>1</v>
      </c>
      <c r="C569" s="3">
        <v>19</v>
      </c>
      <c r="D569" s="3">
        <v>28</v>
      </c>
      <c r="E569" s="3" t="s">
        <v>8</v>
      </c>
      <c r="F569" s="4">
        <v>71</v>
      </c>
      <c r="G569" s="4"/>
      <c r="H569" s="4">
        <f t="shared" si="38"/>
        <v>71</v>
      </c>
    </row>
    <row r="570" ht="14.25" spans="1:8">
      <c r="A570" s="3" t="str">
        <f>"10503101929"</f>
        <v>10503101929</v>
      </c>
      <c r="B570" s="3">
        <v>1</v>
      </c>
      <c r="C570" s="3">
        <v>19</v>
      </c>
      <c r="D570" s="3">
        <v>29</v>
      </c>
      <c r="E570" s="3" t="s">
        <v>8</v>
      </c>
      <c r="F570" s="4">
        <v>80</v>
      </c>
      <c r="G570" s="4"/>
      <c r="H570" s="4">
        <f t="shared" si="38"/>
        <v>80</v>
      </c>
    </row>
    <row r="571" ht="14.25" spans="1:8">
      <c r="A571" s="3" t="str">
        <f>"10503101930"</f>
        <v>10503101930</v>
      </c>
      <c r="B571" s="3">
        <v>1</v>
      </c>
      <c r="C571" s="3">
        <v>19</v>
      </c>
      <c r="D571" s="3">
        <v>30</v>
      </c>
      <c r="E571" s="3" t="s">
        <v>8</v>
      </c>
      <c r="F571" s="4">
        <v>58.5</v>
      </c>
      <c r="G571" s="4"/>
      <c r="H571" s="4">
        <f t="shared" si="38"/>
        <v>58.5</v>
      </c>
    </row>
    <row r="572" ht="14.25" spans="1:8">
      <c r="A572" s="3" t="str">
        <f>"10503102001"</f>
        <v>10503102001</v>
      </c>
      <c r="B572" s="3">
        <v>1</v>
      </c>
      <c r="C572" s="3">
        <v>20</v>
      </c>
      <c r="D572" s="3">
        <v>1</v>
      </c>
      <c r="E572" s="3" t="s">
        <v>8</v>
      </c>
      <c r="F572" s="4">
        <v>61</v>
      </c>
      <c r="G572" s="4"/>
      <c r="H572" s="4">
        <f t="shared" si="38"/>
        <v>61</v>
      </c>
    </row>
    <row r="573" ht="14.25" spans="1:8">
      <c r="A573" s="3" t="str">
        <f>"10503102002"</f>
        <v>10503102002</v>
      </c>
      <c r="B573" s="3">
        <v>1</v>
      </c>
      <c r="C573" s="3">
        <v>20</v>
      </c>
      <c r="D573" s="3">
        <v>2</v>
      </c>
      <c r="E573" s="3" t="s">
        <v>8</v>
      </c>
      <c r="F573" s="4">
        <v>90.5</v>
      </c>
      <c r="G573" s="4"/>
      <c r="H573" s="4">
        <f t="shared" si="38"/>
        <v>90.5</v>
      </c>
    </row>
    <row r="574" ht="14.25" spans="1:8">
      <c r="A574" s="3" t="str">
        <f>"10503102003"</f>
        <v>10503102003</v>
      </c>
      <c r="B574" s="3">
        <v>1</v>
      </c>
      <c r="C574" s="3">
        <v>20</v>
      </c>
      <c r="D574" s="3">
        <v>3</v>
      </c>
      <c r="E574" s="3" t="s">
        <v>8</v>
      </c>
      <c r="F574" s="4">
        <v>46</v>
      </c>
      <c r="G574" s="4"/>
      <c r="H574" s="4">
        <f t="shared" si="38"/>
        <v>46</v>
      </c>
    </row>
    <row r="575" ht="14.25" spans="1:8">
      <c r="A575" s="3" t="str">
        <f>"10503102004"</f>
        <v>10503102004</v>
      </c>
      <c r="B575" s="3">
        <v>1</v>
      </c>
      <c r="C575" s="3">
        <v>20</v>
      </c>
      <c r="D575" s="3">
        <v>4</v>
      </c>
      <c r="E575" s="3" t="s">
        <v>8</v>
      </c>
      <c r="F575" s="4">
        <v>56</v>
      </c>
      <c r="G575" s="4"/>
      <c r="H575" s="4">
        <f t="shared" si="38"/>
        <v>56</v>
      </c>
    </row>
    <row r="576" ht="14.25" spans="1:8">
      <c r="A576" s="3" t="str">
        <f>"10503102005"</f>
        <v>10503102005</v>
      </c>
      <c r="B576" s="3">
        <v>1</v>
      </c>
      <c r="C576" s="3">
        <v>20</v>
      </c>
      <c r="D576" s="3">
        <v>5</v>
      </c>
      <c r="E576" s="3" t="s">
        <v>8</v>
      </c>
      <c r="F576" s="4">
        <v>81.5</v>
      </c>
      <c r="G576" s="4"/>
      <c r="H576" s="4">
        <f t="shared" si="38"/>
        <v>81.5</v>
      </c>
    </row>
    <row r="577" ht="14.25" spans="1:8">
      <c r="A577" s="3" t="str">
        <f>"10503102006"</f>
        <v>10503102006</v>
      </c>
      <c r="B577" s="3">
        <v>1</v>
      </c>
      <c r="C577" s="3">
        <v>20</v>
      </c>
      <c r="D577" s="3">
        <v>6</v>
      </c>
      <c r="E577" s="3" t="s">
        <v>8</v>
      </c>
      <c r="F577" s="4">
        <v>56.5</v>
      </c>
      <c r="G577" s="4"/>
      <c r="H577" s="4">
        <f t="shared" si="38"/>
        <v>56.5</v>
      </c>
    </row>
    <row r="578" ht="14.25" spans="1:8">
      <c r="A578" s="3" t="str">
        <f>"10503102007"</f>
        <v>10503102007</v>
      </c>
      <c r="B578" s="3">
        <v>1</v>
      </c>
      <c r="C578" s="3">
        <v>20</v>
      </c>
      <c r="D578" s="3">
        <v>7</v>
      </c>
      <c r="E578" s="3" t="s">
        <v>8</v>
      </c>
      <c r="F578" s="4">
        <v>62.5</v>
      </c>
      <c r="G578" s="4"/>
      <c r="H578" s="4">
        <f t="shared" si="38"/>
        <v>62.5</v>
      </c>
    </row>
    <row r="579" ht="14.25" spans="1:8">
      <c r="A579" s="3" t="str">
        <f>"10503102008"</f>
        <v>10503102008</v>
      </c>
      <c r="B579" s="3">
        <v>1</v>
      </c>
      <c r="C579" s="3">
        <v>20</v>
      </c>
      <c r="D579" s="3">
        <v>8</v>
      </c>
      <c r="E579" s="3" t="s">
        <v>8</v>
      </c>
      <c r="F579" s="4">
        <v>64.5</v>
      </c>
      <c r="G579" s="4"/>
      <c r="H579" s="4">
        <f t="shared" si="38"/>
        <v>64.5</v>
      </c>
    </row>
    <row r="580" ht="14.25" spans="1:8">
      <c r="A580" s="3" t="str">
        <f>"10503102009"</f>
        <v>10503102009</v>
      </c>
      <c r="B580" s="3">
        <v>1</v>
      </c>
      <c r="C580" s="3">
        <v>20</v>
      </c>
      <c r="D580" s="3">
        <v>9</v>
      </c>
      <c r="E580" s="3" t="s">
        <v>8</v>
      </c>
      <c r="F580" s="4">
        <v>90.5</v>
      </c>
      <c r="G580" s="4"/>
      <c r="H580" s="4">
        <f t="shared" si="38"/>
        <v>90.5</v>
      </c>
    </row>
    <row r="581" ht="14.25" spans="1:8">
      <c r="A581" s="3" t="str">
        <f>"10503102010"</f>
        <v>10503102010</v>
      </c>
      <c r="B581" s="3">
        <v>1</v>
      </c>
      <c r="C581" s="3">
        <v>20</v>
      </c>
      <c r="D581" s="3">
        <v>10</v>
      </c>
      <c r="E581" s="3" t="s">
        <v>8</v>
      </c>
      <c r="F581" s="4">
        <v>82.5</v>
      </c>
      <c r="G581" s="4"/>
      <c r="H581" s="4">
        <f t="shared" si="38"/>
        <v>82.5</v>
      </c>
    </row>
    <row r="582" ht="14.25" spans="1:8">
      <c r="A582" s="3" t="str">
        <f>"10503102011"</f>
        <v>10503102011</v>
      </c>
      <c r="B582" s="3">
        <v>1</v>
      </c>
      <c r="C582" s="3">
        <v>20</v>
      </c>
      <c r="D582" s="3">
        <v>11</v>
      </c>
      <c r="E582" s="3" t="s">
        <v>8</v>
      </c>
      <c r="F582" s="4">
        <v>53</v>
      </c>
      <c r="G582" s="4"/>
      <c r="H582" s="4">
        <f t="shared" si="38"/>
        <v>53</v>
      </c>
    </row>
    <row r="583" ht="14.25" spans="1:8">
      <c r="A583" s="3" t="str">
        <f>"10503102012"</f>
        <v>10503102012</v>
      </c>
      <c r="B583" s="3">
        <v>1</v>
      </c>
      <c r="C583" s="3">
        <v>20</v>
      </c>
      <c r="D583" s="3">
        <v>12</v>
      </c>
      <c r="E583" s="3" t="s">
        <v>8</v>
      </c>
      <c r="F583" s="4">
        <v>56</v>
      </c>
      <c r="G583" s="4"/>
      <c r="H583" s="4">
        <f t="shared" si="38"/>
        <v>56</v>
      </c>
    </row>
    <row r="584" ht="14.25" spans="1:8">
      <c r="A584" s="3" t="str">
        <f>"10503102013"</f>
        <v>10503102013</v>
      </c>
      <c r="B584" s="3">
        <v>1</v>
      </c>
      <c r="C584" s="3">
        <v>20</v>
      </c>
      <c r="D584" s="3">
        <v>13</v>
      </c>
      <c r="E584" s="3" t="s">
        <v>8</v>
      </c>
      <c r="F584" s="4">
        <v>56.5</v>
      </c>
      <c r="G584" s="4"/>
      <c r="H584" s="4">
        <f t="shared" si="38"/>
        <v>56.5</v>
      </c>
    </row>
    <row r="585" ht="14.25" spans="1:8">
      <c r="A585" s="3" t="str">
        <f>"10503102014"</f>
        <v>10503102014</v>
      </c>
      <c r="B585" s="3">
        <v>1</v>
      </c>
      <c r="C585" s="3">
        <v>20</v>
      </c>
      <c r="D585" s="3">
        <v>14</v>
      </c>
      <c r="E585" s="3" t="s">
        <v>8</v>
      </c>
      <c r="F585" s="4">
        <v>71.5</v>
      </c>
      <c r="G585" s="4"/>
      <c r="H585" s="4">
        <f t="shared" si="38"/>
        <v>71.5</v>
      </c>
    </row>
    <row r="586" ht="14.25" spans="1:8">
      <c r="A586" s="3" t="str">
        <f>"10503102015"</f>
        <v>10503102015</v>
      </c>
      <c r="B586" s="3">
        <v>1</v>
      </c>
      <c r="C586" s="3">
        <v>20</v>
      </c>
      <c r="D586" s="3">
        <v>15</v>
      </c>
      <c r="E586" s="3" t="s">
        <v>8</v>
      </c>
      <c r="F586" s="4">
        <v>77.5</v>
      </c>
      <c r="G586" s="4"/>
      <c r="H586" s="4">
        <f t="shared" si="38"/>
        <v>77.5</v>
      </c>
    </row>
    <row r="587" ht="14.25" spans="1:8">
      <c r="A587" s="3" t="str">
        <f>"10503102016"</f>
        <v>10503102016</v>
      </c>
      <c r="B587" s="3">
        <v>1</v>
      </c>
      <c r="C587" s="3">
        <v>20</v>
      </c>
      <c r="D587" s="3">
        <v>16</v>
      </c>
      <c r="E587" s="3" t="s">
        <v>8</v>
      </c>
      <c r="F587" s="4">
        <v>70.5</v>
      </c>
      <c r="G587" s="4"/>
      <c r="H587" s="4">
        <f t="shared" si="38"/>
        <v>70.5</v>
      </c>
    </row>
    <row r="588" ht="14.25" spans="1:8">
      <c r="A588" s="3" t="str">
        <f>"10503102017"</f>
        <v>10503102017</v>
      </c>
      <c r="B588" s="3">
        <v>1</v>
      </c>
      <c r="C588" s="3">
        <v>20</v>
      </c>
      <c r="D588" s="3">
        <v>17</v>
      </c>
      <c r="E588" s="3" t="s">
        <v>8</v>
      </c>
      <c r="F588" s="4">
        <v>84</v>
      </c>
      <c r="G588" s="4"/>
      <c r="H588" s="4">
        <f t="shared" si="38"/>
        <v>84</v>
      </c>
    </row>
    <row r="589" ht="14.25" spans="1:8">
      <c r="A589" s="3" t="str">
        <f>"10503102018"</f>
        <v>10503102018</v>
      </c>
      <c r="B589" s="3">
        <v>1</v>
      </c>
      <c r="C589" s="3">
        <v>20</v>
      </c>
      <c r="D589" s="3">
        <v>18</v>
      </c>
      <c r="E589" s="3" t="s">
        <v>8</v>
      </c>
      <c r="F589" s="4">
        <v>71.5</v>
      </c>
      <c r="G589" s="4"/>
      <c r="H589" s="4">
        <f t="shared" si="38"/>
        <v>71.5</v>
      </c>
    </row>
    <row r="590" ht="14.25" spans="1:8">
      <c r="A590" s="3" t="str">
        <f>"10601102019"</f>
        <v>10601102019</v>
      </c>
      <c r="B590" s="3">
        <v>1</v>
      </c>
      <c r="C590" s="3">
        <v>20</v>
      </c>
      <c r="D590" s="3">
        <v>19</v>
      </c>
      <c r="E590" s="3" t="s">
        <v>8</v>
      </c>
      <c r="F590" s="4">
        <v>70</v>
      </c>
      <c r="G590" s="4"/>
      <c r="H590" s="4">
        <f t="shared" si="38"/>
        <v>70</v>
      </c>
    </row>
    <row r="591" ht="14.25" spans="1:8">
      <c r="A591" s="3" t="str">
        <f>"10601102020"</f>
        <v>10601102020</v>
      </c>
      <c r="B591" s="3">
        <v>1</v>
      </c>
      <c r="C591" s="3">
        <v>20</v>
      </c>
      <c r="D591" s="3">
        <v>20</v>
      </c>
      <c r="E591" s="3" t="s">
        <v>8</v>
      </c>
      <c r="F591" s="3">
        <v>0</v>
      </c>
      <c r="G591" s="4"/>
      <c r="H591" s="3">
        <v>0</v>
      </c>
    </row>
    <row r="592" ht="14.25" spans="1:8">
      <c r="A592" s="3" t="str">
        <f>"10601102021"</f>
        <v>10601102021</v>
      </c>
      <c r="B592" s="3">
        <v>1</v>
      </c>
      <c r="C592" s="3">
        <v>20</v>
      </c>
      <c r="D592" s="3">
        <v>21</v>
      </c>
      <c r="E592" s="3" t="s">
        <v>8</v>
      </c>
      <c r="F592" s="3">
        <v>0</v>
      </c>
      <c r="G592" s="4"/>
      <c r="H592" s="3">
        <v>0</v>
      </c>
    </row>
    <row r="593" ht="14.25" spans="1:8">
      <c r="A593" s="3" t="str">
        <f>"10601102022"</f>
        <v>10601102022</v>
      </c>
      <c r="B593" s="3">
        <v>1</v>
      </c>
      <c r="C593" s="3">
        <v>20</v>
      </c>
      <c r="D593" s="3">
        <v>22</v>
      </c>
      <c r="E593" s="3" t="s">
        <v>8</v>
      </c>
      <c r="F593" s="3">
        <v>0</v>
      </c>
      <c r="G593" s="4"/>
      <c r="H593" s="3">
        <v>0</v>
      </c>
    </row>
    <row r="594" ht="14.25" spans="1:8">
      <c r="A594" s="3" t="str">
        <f>"10601102023"</f>
        <v>10601102023</v>
      </c>
      <c r="B594" s="3">
        <v>1</v>
      </c>
      <c r="C594" s="3">
        <v>20</v>
      </c>
      <c r="D594" s="3">
        <v>23</v>
      </c>
      <c r="E594" s="3" t="s">
        <v>8</v>
      </c>
      <c r="F594" s="3">
        <v>0</v>
      </c>
      <c r="G594" s="4"/>
      <c r="H594" s="3">
        <v>0</v>
      </c>
    </row>
    <row r="595" ht="14.25" spans="1:8">
      <c r="A595" s="3" t="str">
        <f>"10601102024"</f>
        <v>10601102024</v>
      </c>
      <c r="B595" s="3">
        <v>1</v>
      </c>
      <c r="C595" s="3">
        <v>20</v>
      </c>
      <c r="D595" s="3">
        <v>24</v>
      </c>
      <c r="E595" s="3" t="s">
        <v>8</v>
      </c>
      <c r="F595" s="3">
        <v>0</v>
      </c>
      <c r="G595" s="4"/>
      <c r="H595" s="3">
        <v>0</v>
      </c>
    </row>
    <row r="596" ht="14.25" spans="1:8">
      <c r="A596" s="3" t="str">
        <f>"10601102025"</f>
        <v>10601102025</v>
      </c>
      <c r="B596" s="3">
        <v>1</v>
      </c>
      <c r="C596" s="3">
        <v>20</v>
      </c>
      <c r="D596" s="3">
        <v>25</v>
      </c>
      <c r="E596" s="3" t="s">
        <v>8</v>
      </c>
      <c r="F596" s="4">
        <v>61.5</v>
      </c>
      <c r="G596" s="4"/>
      <c r="H596" s="4">
        <f t="shared" ref="H596:H598" si="39">F596+G596</f>
        <v>61.5</v>
      </c>
    </row>
    <row r="597" ht="14.25" spans="1:8">
      <c r="A597" s="3" t="str">
        <f>"10601102026"</f>
        <v>10601102026</v>
      </c>
      <c r="B597" s="3">
        <v>1</v>
      </c>
      <c r="C597" s="3">
        <v>20</v>
      </c>
      <c r="D597" s="3">
        <v>26</v>
      </c>
      <c r="E597" s="3" t="s">
        <v>8</v>
      </c>
      <c r="F597" s="4">
        <v>80.5</v>
      </c>
      <c r="G597" s="4"/>
      <c r="H597" s="4">
        <f t="shared" si="39"/>
        <v>80.5</v>
      </c>
    </row>
    <row r="598" ht="14.25" spans="1:8">
      <c r="A598" s="3" t="str">
        <f>"10601102027"</f>
        <v>10601102027</v>
      </c>
      <c r="B598" s="3">
        <v>1</v>
      </c>
      <c r="C598" s="3">
        <v>20</v>
      </c>
      <c r="D598" s="3">
        <v>27</v>
      </c>
      <c r="E598" s="3" t="s">
        <v>8</v>
      </c>
      <c r="F598" s="4">
        <v>60</v>
      </c>
      <c r="G598" s="4"/>
      <c r="H598" s="4">
        <f t="shared" si="39"/>
        <v>60</v>
      </c>
    </row>
    <row r="599" ht="14.25" spans="1:8">
      <c r="A599" s="3" t="str">
        <f>"10601102028"</f>
        <v>10601102028</v>
      </c>
      <c r="B599" s="3">
        <v>1</v>
      </c>
      <c r="C599" s="3">
        <v>20</v>
      </c>
      <c r="D599" s="3">
        <v>28</v>
      </c>
      <c r="E599" s="3" t="s">
        <v>8</v>
      </c>
      <c r="F599" s="3">
        <v>0</v>
      </c>
      <c r="G599" s="4"/>
      <c r="H599" s="3">
        <v>0</v>
      </c>
    </row>
    <row r="600" ht="14.25" spans="1:8">
      <c r="A600" s="3" t="str">
        <f>"10601102029"</f>
        <v>10601102029</v>
      </c>
      <c r="B600" s="3">
        <v>1</v>
      </c>
      <c r="C600" s="3">
        <v>20</v>
      </c>
      <c r="D600" s="3">
        <v>29</v>
      </c>
      <c r="E600" s="3" t="s">
        <v>8</v>
      </c>
      <c r="F600" s="3">
        <v>0</v>
      </c>
      <c r="G600" s="4"/>
      <c r="H600" s="3">
        <v>0</v>
      </c>
    </row>
    <row r="601" ht="14.25" spans="1:8">
      <c r="A601" s="3" t="str">
        <f>"10601102030"</f>
        <v>10601102030</v>
      </c>
      <c r="B601" s="3">
        <v>1</v>
      </c>
      <c r="C601" s="3">
        <v>20</v>
      </c>
      <c r="D601" s="3">
        <v>30</v>
      </c>
      <c r="E601" s="3" t="s">
        <v>8</v>
      </c>
      <c r="F601" s="4">
        <v>59.5</v>
      </c>
      <c r="G601" s="4"/>
      <c r="H601" s="4">
        <f t="shared" ref="H601:H604" si="40">F601+G601</f>
        <v>59.5</v>
      </c>
    </row>
    <row r="602" ht="14.25" spans="1:8">
      <c r="A602" s="3" t="str">
        <f>"10602102101"</f>
        <v>10602102101</v>
      </c>
      <c r="B602" s="3">
        <v>1</v>
      </c>
      <c r="C602" s="3">
        <v>21</v>
      </c>
      <c r="D602" s="3">
        <v>1</v>
      </c>
      <c r="E602" s="3" t="s">
        <v>8</v>
      </c>
      <c r="F602" s="3">
        <v>0</v>
      </c>
      <c r="G602" s="4"/>
      <c r="H602" s="3">
        <v>0</v>
      </c>
    </row>
    <row r="603" ht="14.25" spans="1:8">
      <c r="A603" s="3" t="str">
        <f>"10602102102"</f>
        <v>10602102102</v>
      </c>
      <c r="B603" s="3">
        <v>1</v>
      </c>
      <c r="C603" s="3">
        <v>21</v>
      </c>
      <c r="D603" s="3">
        <v>2</v>
      </c>
      <c r="E603" s="3" t="s">
        <v>8</v>
      </c>
      <c r="F603" s="4">
        <v>72</v>
      </c>
      <c r="G603" s="4"/>
      <c r="H603" s="4">
        <f t="shared" si="40"/>
        <v>72</v>
      </c>
    </row>
    <row r="604" ht="14.25" spans="1:8">
      <c r="A604" s="3" t="str">
        <f>"10602102103"</f>
        <v>10602102103</v>
      </c>
      <c r="B604" s="3">
        <v>1</v>
      </c>
      <c r="C604" s="3">
        <v>21</v>
      </c>
      <c r="D604" s="3">
        <v>3</v>
      </c>
      <c r="E604" s="3" t="s">
        <v>8</v>
      </c>
      <c r="F604" s="4">
        <v>49</v>
      </c>
      <c r="G604" s="4"/>
      <c r="H604" s="4">
        <f t="shared" si="40"/>
        <v>49</v>
      </c>
    </row>
    <row r="605" ht="14.25" spans="1:8">
      <c r="A605" s="3" t="str">
        <f>"10602102104"</f>
        <v>10602102104</v>
      </c>
      <c r="B605" s="3">
        <v>1</v>
      </c>
      <c r="C605" s="3">
        <v>21</v>
      </c>
      <c r="D605" s="3">
        <v>4</v>
      </c>
      <c r="E605" s="3" t="s">
        <v>8</v>
      </c>
      <c r="F605" s="3">
        <v>0</v>
      </c>
      <c r="G605" s="4"/>
      <c r="H605" s="3">
        <v>0</v>
      </c>
    </row>
    <row r="606" ht="14.25" spans="1:8">
      <c r="A606" s="3" t="str">
        <f>"10602102105"</f>
        <v>10602102105</v>
      </c>
      <c r="B606" s="3">
        <v>1</v>
      </c>
      <c r="C606" s="3">
        <v>21</v>
      </c>
      <c r="D606" s="3">
        <v>5</v>
      </c>
      <c r="E606" s="3" t="s">
        <v>8</v>
      </c>
      <c r="F606" s="3">
        <v>0</v>
      </c>
      <c r="G606" s="4"/>
      <c r="H606" s="3">
        <v>0</v>
      </c>
    </row>
    <row r="607" ht="14.25" spans="1:8">
      <c r="A607" s="3" t="str">
        <f>"10602102106"</f>
        <v>10602102106</v>
      </c>
      <c r="B607" s="3">
        <v>1</v>
      </c>
      <c r="C607" s="3">
        <v>21</v>
      </c>
      <c r="D607" s="3">
        <v>6</v>
      </c>
      <c r="E607" s="3" t="s">
        <v>8</v>
      </c>
      <c r="F607" s="3">
        <v>0</v>
      </c>
      <c r="G607" s="4"/>
      <c r="H607" s="3">
        <v>0</v>
      </c>
    </row>
    <row r="608" ht="14.25" spans="1:8">
      <c r="A608" s="3" t="str">
        <f>"10603102107"</f>
        <v>10603102107</v>
      </c>
      <c r="B608" s="3">
        <v>1</v>
      </c>
      <c r="C608" s="3">
        <v>21</v>
      </c>
      <c r="D608" s="3">
        <v>7</v>
      </c>
      <c r="E608" s="3" t="s">
        <v>8</v>
      </c>
      <c r="F608" s="4">
        <v>80</v>
      </c>
      <c r="G608" s="4"/>
      <c r="H608" s="4">
        <f t="shared" ref="H608:H614" si="41">F608+G608</f>
        <v>80</v>
      </c>
    </row>
    <row r="609" ht="14.25" spans="1:8">
      <c r="A609" s="3" t="str">
        <f>"10603102108"</f>
        <v>10603102108</v>
      </c>
      <c r="B609" s="3">
        <v>1</v>
      </c>
      <c r="C609" s="3">
        <v>21</v>
      </c>
      <c r="D609" s="3">
        <v>8</v>
      </c>
      <c r="E609" s="3" t="s">
        <v>8</v>
      </c>
      <c r="F609" s="4">
        <v>84</v>
      </c>
      <c r="G609" s="4"/>
      <c r="H609" s="4">
        <f t="shared" si="41"/>
        <v>84</v>
      </c>
    </row>
    <row r="610" ht="14.25" spans="1:8">
      <c r="A610" s="3" t="str">
        <f>"10603102109"</f>
        <v>10603102109</v>
      </c>
      <c r="B610" s="3">
        <v>1</v>
      </c>
      <c r="C610" s="3">
        <v>21</v>
      </c>
      <c r="D610" s="3">
        <v>9</v>
      </c>
      <c r="E610" s="3" t="s">
        <v>8</v>
      </c>
      <c r="F610" s="4">
        <v>76</v>
      </c>
      <c r="G610" s="4"/>
      <c r="H610" s="4">
        <f t="shared" si="41"/>
        <v>76</v>
      </c>
    </row>
    <row r="611" ht="14.25" spans="1:8">
      <c r="A611" s="3" t="str">
        <f>"10603102110"</f>
        <v>10603102110</v>
      </c>
      <c r="B611" s="3">
        <v>1</v>
      </c>
      <c r="C611" s="3">
        <v>21</v>
      </c>
      <c r="D611" s="3">
        <v>10</v>
      </c>
      <c r="E611" s="3" t="s">
        <v>8</v>
      </c>
      <c r="F611" s="4">
        <v>79.5</v>
      </c>
      <c r="G611" s="4"/>
      <c r="H611" s="4">
        <f t="shared" si="41"/>
        <v>79.5</v>
      </c>
    </row>
    <row r="612" ht="14.25" spans="1:8">
      <c r="A612" s="3" t="str">
        <f>"10603102111"</f>
        <v>10603102111</v>
      </c>
      <c r="B612" s="3">
        <v>1</v>
      </c>
      <c r="C612" s="3">
        <v>21</v>
      </c>
      <c r="D612" s="3">
        <v>11</v>
      </c>
      <c r="E612" s="3" t="s">
        <v>8</v>
      </c>
      <c r="F612" s="4">
        <v>86.5</v>
      </c>
      <c r="G612" s="4"/>
      <c r="H612" s="4">
        <f t="shared" si="41"/>
        <v>86.5</v>
      </c>
    </row>
    <row r="613" ht="14.25" spans="1:8">
      <c r="A613" s="3" t="str">
        <f>"10603102112"</f>
        <v>10603102112</v>
      </c>
      <c r="B613" s="3">
        <v>1</v>
      </c>
      <c r="C613" s="3">
        <v>21</v>
      </c>
      <c r="D613" s="3">
        <v>12</v>
      </c>
      <c r="E613" s="3" t="s">
        <v>8</v>
      </c>
      <c r="F613" s="4">
        <v>75</v>
      </c>
      <c r="G613" s="4"/>
      <c r="H613" s="4">
        <f t="shared" si="41"/>
        <v>75</v>
      </c>
    </row>
    <row r="614" ht="14.25" spans="1:8">
      <c r="A614" s="3" t="str">
        <f>"10603102113"</f>
        <v>10603102113</v>
      </c>
      <c r="B614" s="3">
        <v>1</v>
      </c>
      <c r="C614" s="3">
        <v>21</v>
      </c>
      <c r="D614" s="3">
        <v>13</v>
      </c>
      <c r="E614" s="3" t="s">
        <v>8</v>
      </c>
      <c r="F614" s="4">
        <v>63</v>
      </c>
      <c r="G614" s="4"/>
      <c r="H614" s="4">
        <f t="shared" si="41"/>
        <v>63</v>
      </c>
    </row>
    <row r="615" ht="14.25" spans="1:8">
      <c r="A615" s="3" t="str">
        <f>"10604102114"</f>
        <v>10604102114</v>
      </c>
      <c r="B615" s="3">
        <v>1</v>
      </c>
      <c r="C615" s="3">
        <v>21</v>
      </c>
      <c r="D615" s="3">
        <v>14</v>
      </c>
      <c r="E615" s="3" t="s">
        <v>8</v>
      </c>
      <c r="F615" s="3">
        <v>0</v>
      </c>
      <c r="G615" s="4"/>
      <c r="H615" s="3">
        <v>0</v>
      </c>
    </row>
    <row r="616" ht="14.25" spans="1:8">
      <c r="A616" s="3" t="str">
        <f>"10604102115"</f>
        <v>10604102115</v>
      </c>
      <c r="B616" s="3">
        <v>1</v>
      </c>
      <c r="C616" s="3">
        <v>21</v>
      </c>
      <c r="D616" s="3">
        <v>15</v>
      </c>
      <c r="E616" s="3" t="s">
        <v>8</v>
      </c>
      <c r="F616" s="4">
        <v>79.5</v>
      </c>
      <c r="G616" s="4"/>
      <c r="H616" s="4">
        <f t="shared" ref="H616:H638" si="42">F616+G616</f>
        <v>79.5</v>
      </c>
    </row>
    <row r="617" ht="14.25" spans="1:8">
      <c r="A617" s="3" t="str">
        <f>"10604102116"</f>
        <v>10604102116</v>
      </c>
      <c r="B617" s="3">
        <v>1</v>
      </c>
      <c r="C617" s="3">
        <v>21</v>
      </c>
      <c r="D617" s="3">
        <v>16</v>
      </c>
      <c r="E617" s="3" t="s">
        <v>8</v>
      </c>
      <c r="F617" s="3">
        <v>0</v>
      </c>
      <c r="G617" s="4"/>
      <c r="H617" s="3">
        <v>0</v>
      </c>
    </row>
    <row r="618" ht="14.25" spans="1:8">
      <c r="A618" s="3" t="str">
        <f>"10604102117"</f>
        <v>10604102117</v>
      </c>
      <c r="B618" s="3">
        <v>1</v>
      </c>
      <c r="C618" s="3">
        <v>21</v>
      </c>
      <c r="D618" s="3">
        <v>17</v>
      </c>
      <c r="E618" s="3" t="s">
        <v>8</v>
      </c>
      <c r="F618" s="4">
        <v>69</v>
      </c>
      <c r="G618" s="4"/>
      <c r="H618" s="4">
        <f t="shared" si="42"/>
        <v>69</v>
      </c>
    </row>
    <row r="619" ht="14.25" spans="1:8">
      <c r="A619" s="3" t="str">
        <f>"10604102118"</f>
        <v>10604102118</v>
      </c>
      <c r="B619" s="3">
        <v>1</v>
      </c>
      <c r="C619" s="3">
        <v>21</v>
      </c>
      <c r="D619" s="3">
        <v>18</v>
      </c>
      <c r="E619" s="3" t="s">
        <v>8</v>
      </c>
      <c r="F619" s="4">
        <v>71.5</v>
      </c>
      <c r="G619" s="4"/>
      <c r="H619" s="4">
        <f t="shared" si="42"/>
        <v>71.5</v>
      </c>
    </row>
    <row r="620" ht="14.25" spans="1:8">
      <c r="A620" s="3" t="str">
        <f>"10604102119"</f>
        <v>10604102119</v>
      </c>
      <c r="B620" s="3">
        <v>1</v>
      </c>
      <c r="C620" s="3">
        <v>21</v>
      </c>
      <c r="D620" s="3">
        <v>19</v>
      </c>
      <c r="E620" s="3" t="s">
        <v>8</v>
      </c>
      <c r="F620" s="4">
        <v>60.5</v>
      </c>
      <c r="G620" s="4"/>
      <c r="H620" s="4">
        <f t="shared" si="42"/>
        <v>60.5</v>
      </c>
    </row>
    <row r="621" ht="14.25" spans="1:8">
      <c r="A621" s="3" t="str">
        <f>"10604102120"</f>
        <v>10604102120</v>
      </c>
      <c r="B621" s="3">
        <v>1</v>
      </c>
      <c r="C621" s="3">
        <v>21</v>
      </c>
      <c r="D621" s="3">
        <v>20</v>
      </c>
      <c r="E621" s="3" t="s">
        <v>8</v>
      </c>
      <c r="F621" s="4">
        <v>80.5</v>
      </c>
      <c r="G621" s="4"/>
      <c r="H621" s="4">
        <f t="shared" si="42"/>
        <v>80.5</v>
      </c>
    </row>
    <row r="622" ht="14.25" spans="1:8">
      <c r="A622" s="3" t="str">
        <f>"10701102121"</f>
        <v>10701102121</v>
      </c>
      <c r="B622" s="3">
        <v>1</v>
      </c>
      <c r="C622" s="3">
        <v>21</v>
      </c>
      <c r="D622" s="3">
        <v>21</v>
      </c>
      <c r="E622" s="3" t="s">
        <v>8</v>
      </c>
      <c r="F622" s="4">
        <v>59</v>
      </c>
      <c r="G622" s="4"/>
      <c r="H622" s="4">
        <f t="shared" si="42"/>
        <v>59</v>
      </c>
    </row>
    <row r="623" ht="14.25" spans="1:8">
      <c r="A623" s="3" t="str">
        <f>"10701102122"</f>
        <v>10701102122</v>
      </c>
      <c r="B623" s="3">
        <v>1</v>
      </c>
      <c r="C623" s="3">
        <v>21</v>
      </c>
      <c r="D623" s="3">
        <v>22</v>
      </c>
      <c r="E623" s="3" t="s">
        <v>8</v>
      </c>
      <c r="F623" s="4">
        <v>60</v>
      </c>
      <c r="G623" s="4"/>
      <c r="H623" s="4">
        <f t="shared" si="42"/>
        <v>60</v>
      </c>
    </row>
    <row r="624" ht="14.25" spans="1:8">
      <c r="A624" s="3" t="str">
        <f>"10701102123"</f>
        <v>10701102123</v>
      </c>
      <c r="B624" s="3">
        <v>1</v>
      </c>
      <c r="C624" s="3">
        <v>21</v>
      </c>
      <c r="D624" s="3">
        <v>23</v>
      </c>
      <c r="E624" s="3" t="s">
        <v>8</v>
      </c>
      <c r="F624" s="4">
        <v>64</v>
      </c>
      <c r="G624" s="4"/>
      <c r="H624" s="4">
        <f t="shared" si="42"/>
        <v>64</v>
      </c>
    </row>
    <row r="625" ht="14.25" spans="1:8">
      <c r="A625" s="3" t="str">
        <f>"10701102124"</f>
        <v>10701102124</v>
      </c>
      <c r="B625" s="3">
        <v>1</v>
      </c>
      <c r="C625" s="3">
        <v>21</v>
      </c>
      <c r="D625" s="3">
        <v>24</v>
      </c>
      <c r="E625" s="3" t="s">
        <v>8</v>
      </c>
      <c r="F625" s="4">
        <v>58.5</v>
      </c>
      <c r="G625" s="4"/>
      <c r="H625" s="4">
        <f t="shared" si="42"/>
        <v>58.5</v>
      </c>
    </row>
    <row r="626" ht="14.25" spans="1:8">
      <c r="A626" s="3" t="str">
        <f>"10701102125"</f>
        <v>10701102125</v>
      </c>
      <c r="B626" s="3">
        <v>1</v>
      </c>
      <c r="C626" s="3">
        <v>21</v>
      </c>
      <c r="D626" s="3">
        <v>25</v>
      </c>
      <c r="E626" s="3" t="s">
        <v>8</v>
      </c>
      <c r="F626" s="4">
        <v>63</v>
      </c>
      <c r="G626" s="4"/>
      <c r="H626" s="4">
        <f t="shared" si="42"/>
        <v>63</v>
      </c>
    </row>
    <row r="627" ht="14.25" spans="1:8">
      <c r="A627" s="3" t="str">
        <f>"10701102126"</f>
        <v>10701102126</v>
      </c>
      <c r="B627" s="3">
        <v>1</v>
      </c>
      <c r="C627" s="3">
        <v>21</v>
      </c>
      <c r="D627" s="3">
        <v>26</v>
      </c>
      <c r="E627" s="3" t="s">
        <v>8</v>
      </c>
      <c r="F627" s="4">
        <v>50.5</v>
      </c>
      <c r="G627" s="4"/>
      <c r="H627" s="4">
        <f t="shared" si="42"/>
        <v>50.5</v>
      </c>
    </row>
    <row r="628" ht="14.25" spans="1:8">
      <c r="A628" s="3" t="str">
        <f>"10701102127"</f>
        <v>10701102127</v>
      </c>
      <c r="B628" s="3">
        <v>1</v>
      </c>
      <c r="C628" s="3">
        <v>21</v>
      </c>
      <c r="D628" s="3">
        <v>27</v>
      </c>
      <c r="E628" s="3" t="s">
        <v>8</v>
      </c>
      <c r="F628" s="4">
        <v>72</v>
      </c>
      <c r="G628" s="4"/>
      <c r="H628" s="4">
        <f t="shared" si="42"/>
        <v>72</v>
      </c>
    </row>
    <row r="629" ht="14.25" spans="1:8">
      <c r="A629" s="3" t="str">
        <f>"10701102128"</f>
        <v>10701102128</v>
      </c>
      <c r="B629" s="3">
        <v>1</v>
      </c>
      <c r="C629" s="3">
        <v>21</v>
      </c>
      <c r="D629" s="3">
        <v>28</v>
      </c>
      <c r="E629" s="3" t="s">
        <v>8</v>
      </c>
      <c r="F629" s="4">
        <v>66.5</v>
      </c>
      <c r="G629" s="4"/>
      <c r="H629" s="4">
        <f t="shared" si="42"/>
        <v>66.5</v>
      </c>
    </row>
    <row r="630" ht="14.25" spans="1:8">
      <c r="A630" s="3" t="str">
        <f>"10701102129"</f>
        <v>10701102129</v>
      </c>
      <c r="B630" s="3">
        <v>1</v>
      </c>
      <c r="C630" s="3">
        <v>21</v>
      </c>
      <c r="D630" s="3">
        <v>29</v>
      </c>
      <c r="E630" s="3" t="s">
        <v>8</v>
      </c>
      <c r="F630" s="4">
        <v>78.5</v>
      </c>
      <c r="G630" s="4"/>
      <c r="H630" s="4">
        <f t="shared" si="42"/>
        <v>78.5</v>
      </c>
    </row>
    <row r="631" ht="14.25" spans="1:8">
      <c r="A631" s="3" t="str">
        <f>"10701102130"</f>
        <v>10701102130</v>
      </c>
      <c r="B631" s="3">
        <v>1</v>
      </c>
      <c r="C631" s="3">
        <v>21</v>
      </c>
      <c r="D631" s="3">
        <v>30</v>
      </c>
      <c r="E631" s="3" t="s">
        <v>8</v>
      </c>
      <c r="F631" s="4">
        <v>50</v>
      </c>
      <c r="G631" s="4"/>
      <c r="H631" s="4">
        <f t="shared" si="42"/>
        <v>50</v>
      </c>
    </row>
    <row r="632" ht="14.25" spans="1:8">
      <c r="A632" s="3" t="str">
        <f>"10701102201"</f>
        <v>10701102201</v>
      </c>
      <c r="B632" s="3">
        <v>1</v>
      </c>
      <c r="C632" s="3">
        <v>22</v>
      </c>
      <c r="D632" s="3">
        <v>1</v>
      </c>
      <c r="E632" s="3" t="s">
        <v>8</v>
      </c>
      <c r="F632" s="4">
        <v>82</v>
      </c>
      <c r="G632" s="4"/>
      <c r="H632" s="4">
        <f t="shared" si="42"/>
        <v>82</v>
      </c>
    </row>
    <row r="633" ht="14.25" spans="1:8">
      <c r="A633" s="3" t="str">
        <f>"10702102202"</f>
        <v>10702102202</v>
      </c>
      <c r="B633" s="3">
        <v>1</v>
      </c>
      <c r="C633" s="3">
        <v>22</v>
      </c>
      <c r="D633" s="3">
        <v>2</v>
      </c>
      <c r="E633" s="3" t="s">
        <v>8</v>
      </c>
      <c r="F633" s="4">
        <v>51</v>
      </c>
      <c r="G633" s="4"/>
      <c r="H633" s="4">
        <f t="shared" si="42"/>
        <v>51</v>
      </c>
    </row>
    <row r="634" ht="14.25" spans="1:8">
      <c r="A634" s="3" t="str">
        <f>"10702102203"</f>
        <v>10702102203</v>
      </c>
      <c r="B634" s="3">
        <v>1</v>
      </c>
      <c r="C634" s="3">
        <v>22</v>
      </c>
      <c r="D634" s="3">
        <v>3</v>
      </c>
      <c r="E634" s="3" t="s">
        <v>8</v>
      </c>
      <c r="F634" s="4">
        <v>53</v>
      </c>
      <c r="G634" s="4"/>
      <c r="H634" s="4">
        <f t="shared" si="42"/>
        <v>53</v>
      </c>
    </row>
    <row r="635" ht="14.25" spans="1:8">
      <c r="A635" s="3" t="str">
        <f>"10702102204"</f>
        <v>10702102204</v>
      </c>
      <c r="B635" s="3">
        <v>1</v>
      </c>
      <c r="C635" s="3">
        <v>22</v>
      </c>
      <c r="D635" s="3">
        <v>4</v>
      </c>
      <c r="E635" s="3" t="s">
        <v>8</v>
      </c>
      <c r="F635" s="4">
        <v>60.5</v>
      </c>
      <c r="G635" s="4"/>
      <c r="H635" s="4">
        <f t="shared" si="42"/>
        <v>60.5</v>
      </c>
    </row>
    <row r="636" ht="14.25" spans="1:8">
      <c r="A636" s="3" t="str">
        <f>"10702102205"</f>
        <v>10702102205</v>
      </c>
      <c r="B636" s="3">
        <v>1</v>
      </c>
      <c r="C636" s="3">
        <v>22</v>
      </c>
      <c r="D636" s="3">
        <v>5</v>
      </c>
      <c r="E636" s="3" t="s">
        <v>8</v>
      </c>
      <c r="F636" s="4">
        <v>55</v>
      </c>
      <c r="G636" s="4"/>
      <c r="H636" s="4">
        <f t="shared" si="42"/>
        <v>55</v>
      </c>
    </row>
    <row r="637" ht="14.25" spans="1:8">
      <c r="A637" s="3" t="str">
        <f>"10702102206"</f>
        <v>10702102206</v>
      </c>
      <c r="B637" s="3">
        <v>1</v>
      </c>
      <c r="C637" s="3">
        <v>22</v>
      </c>
      <c r="D637" s="3">
        <v>6</v>
      </c>
      <c r="E637" s="3" t="s">
        <v>8</v>
      </c>
      <c r="F637" s="4">
        <v>56</v>
      </c>
      <c r="G637" s="4"/>
      <c r="H637" s="4">
        <f t="shared" si="42"/>
        <v>56</v>
      </c>
    </row>
    <row r="638" ht="14.25" spans="1:8">
      <c r="A638" s="3" t="str">
        <f>"10702102207"</f>
        <v>10702102207</v>
      </c>
      <c r="B638" s="3">
        <v>1</v>
      </c>
      <c r="C638" s="3">
        <v>22</v>
      </c>
      <c r="D638" s="3">
        <v>7</v>
      </c>
      <c r="E638" s="3" t="s">
        <v>8</v>
      </c>
      <c r="F638" s="4">
        <v>55</v>
      </c>
      <c r="G638" s="4"/>
      <c r="H638" s="4">
        <f t="shared" si="42"/>
        <v>55</v>
      </c>
    </row>
    <row r="639" ht="14.25" spans="1:8">
      <c r="A639" s="3" t="str">
        <f>"10702102208"</f>
        <v>10702102208</v>
      </c>
      <c r="B639" s="3">
        <v>1</v>
      </c>
      <c r="C639" s="3">
        <v>22</v>
      </c>
      <c r="D639" s="3">
        <v>8</v>
      </c>
      <c r="E639" s="3" t="s">
        <v>8</v>
      </c>
      <c r="F639" s="3">
        <v>0</v>
      </c>
      <c r="G639" s="4"/>
      <c r="H639" s="3">
        <v>0</v>
      </c>
    </row>
    <row r="640" ht="14.25" spans="1:8">
      <c r="A640" s="3" t="str">
        <f>"10702102209"</f>
        <v>10702102209</v>
      </c>
      <c r="B640" s="3">
        <v>1</v>
      </c>
      <c r="C640" s="3">
        <v>22</v>
      </c>
      <c r="D640" s="3">
        <v>9</v>
      </c>
      <c r="E640" s="3" t="s">
        <v>8</v>
      </c>
      <c r="F640" s="4">
        <v>65</v>
      </c>
      <c r="G640" s="4"/>
      <c r="H640" s="4">
        <f t="shared" ref="H640:H649" si="43">F640+G640</f>
        <v>65</v>
      </c>
    </row>
    <row r="641" ht="14.25" spans="1:8">
      <c r="A641" s="3" t="str">
        <f>"10702102210"</f>
        <v>10702102210</v>
      </c>
      <c r="B641" s="3">
        <v>1</v>
      </c>
      <c r="C641" s="3">
        <v>22</v>
      </c>
      <c r="D641" s="3">
        <v>10</v>
      </c>
      <c r="E641" s="3" t="s">
        <v>8</v>
      </c>
      <c r="F641" s="4">
        <v>79</v>
      </c>
      <c r="G641" s="4"/>
      <c r="H641" s="4">
        <f t="shared" si="43"/>
        <v>79</v>
      </c>
    </row>
    <row r="642" ht="14.25" spans="1:8">
      <c r="A642" s="3" t="str">
        <f>"10703102211"</f>
        <v>10703102211</v>
      </c>
      <c r="B642" s="3">
        <v>1</v>
      </c>
      <c r="C642" s="3">
        <v>22</v>
      </c>
      <c r="D642" s="3">
        <v>11</v>
      </c>
      <c r="E642" s="3" t="s">
        <v>8</v>
      </c>
      <c r="F642" s="4">
        <v>80.5</v>
      </c>
      <c r="G642" s="4"/>
      <c r="H642" s="4">
        <f t="shared" si="43"/>
        <v>80.5</v>
      </c>
    </row>
    <row r="643" ht="14.25" spans="1:8">
      <c r="A643" s="3" t="str">
        <f>"10703102212"</f>
        <v>10703102212</v>
      </c>
      <c r="B643" s="3">
        <v>1</v>
      </c>
      <c r="C643" s="3">
        <v>22</v>
      </c>
      <c r="D643" s="3">
        <v>12</v>
      </c>
      <c r="E643" s="3" t="s">
        <v>8</v>
      </c>
      <c r="F643" s="4">
        <v>62</v>
      </c>
      <c r="G643" s="4"/>
      <c r="H643" s="4">
        <f t="shared" si="43"/>
        <v>62</v>
      </c>
    </row>
    <row r="644" ht="14.25" spans="1:8">
      <c r="A644" s="3" t="str">
        <f>"10703102213"</f>
        <v>10703102213</v>
      </c>
      <c r="B644" s="3">
        <v>1</v>
      </c>
      <c r="C644" s="3">
        <v>22</v>
      </c>
      <c r="D644" s="3">
        <v>13</v>
      </c>
      <c r="E644" s="3" t="s">
        <v>8</v>
      </c>
      <c r="F644" s="4">
        <v>62</v>
      </c>
      <c r="G644" s="4"/>
      <c r="H644" s="4">
        <f t="shared" si="43"/>
        <v>62</v>
      </c>
    </row>
    <row r="645" ht="14.25" spans="1:8">
      <c r="A645" s="3" t="str">
        <f>"10703102214"</f>
        <v>10703102214</v>
      </c>
      <c r="B645" s="3">
        <v>1</v>
      </c>
      <c r="C645" s="3">
        <v>22</v>
      </c>
      <c r="D645" s="3">
        <v>14</v>
      </c>
      <c r="E645" s="3" t="s">
        <v>8</v>
      </c>
      <c r="F645" s="4">
        <v>78</v>
      </c>
      <c r="G645" s="4"/>
      <c r="H645" s="4">
        <f t="shared" si="43"/>
        <v>78</v>
      </c>
    </row>
    <row r="646" ht="14.25" spans="1:8">
      <c r="A646" s="3" t="str">
        <f>"10703102215"</f>
        <v>10703102215</v>
      </c>
      <c r="B646" s="3">
        <v>1</v>
      </c>
      <c r="C646" s="3">
        <v>22</v>
      </c>
      <c r="D646" s="3">
        <v>15</v>
      </c>
      <c r="E646" s="3" t="s">
        <v>8</v>
      </c>
      <c r="F646" s="4">
        <v>84.5</v>
      </c>
      <c r="G646" s="4"/>
      <c r="H646" s="4">
        <f t="shared" si="43"/>
        <v>84.5</v>
      </c>
    </row>
    <row r="647" ht="14.25" spans="1:8">
      <c r="A647" s="3" t="str">
        <f>"10703102216"</f>
        <v>10703102216</v>
      </c>
      <c r="B647" s="3">
        <v>1</v>
      </c>
      <c r="C647" s="3">
        <v>22</v>
      </c>
      <c r="D647" s="3">
        <v>16</v>
      </c>
      <c r="E647" s="3" t="s">
        <v>8</v>
      </c>
      <c r="F647" s="4">
        <v>63</v>
      </c>
      <c r="G647" s="4"/>
      <c r="H647" s="4">
        <f t="shared" si="43"/>
        <v>63</v>
      </c>
    </row>
    <row r="648" ht="14.25" spans="1:8">
      <c r="A648" s="3" t="str">
        <f>"10703102217"</f>
        <v>10703102217</v>
      </c>
      <c r="B648" s="3">
        <v>1</v>
      </c>
      <c r="C648" s="3">
        <v>22</v>
      </c>
      <c r="D648" s="3">
        <v>17</v>
      </c>
      <c r="E648" s="3" t="s">
        <v>8</v>
      </c>
      <c r="F648" s="4">
        <v>72.5</v>
      </c>
      <c r="G648" s="4"/>
      <c r="H648" s="4">
        <f t="shared" si="43"/>
        <v>72.5</v>
      </c>
    </row>
    <row r="649" ht="14.25" spans="1:8">
      <c r="A649" s="3" t="str">
        <f>"10704102218"</f>
        <v>10704102218</v>
      </c>
      <c r="B649" s="3">
        <v>1</v>
      </c>
      <c r="C649" s="3">
        <v>22</v>
      </c>
      <c r="D649" s="3">
        <v>18</v>
      </c>
      <c r="E649" s="3" t="s">
        <v>8</v>
      </c>
      <c r="F649" s="4">
        <v>80.5</v>
      </c>
      <c r="G649" s="4"/>
      <c r="H649" s="4">
        <f t="shared" si="43"/>
        <v>80.5</v>
      </c>
    </row>
    <row r="650" ht="14.25" spans="1:8">
      <c r="A650" s="3" t="str">
        <f>"10704102219"</f>
        <v>10704102219</v>
      </c>
      <c r="B650" s="3">
        <v>1</v>
      </c>
      <c r="C650" s="3">
        <v>22</v>
      </c>
      <c r="D650" s="3">
        <v>19</v>
      </c>
      <c r="E650" s="3" t="s">
        <v>8</v>
      </c>
      <c r="F650" s="3">
        <v>0</v>
      </c>
      <c r="G650" s="4"/>
      <c r="H650" s="3">
        <v>0</v>
      </c>
    </row>
    <row r="651" ht="14.25" spans="1:8">
      <c r="A651" s="3" t="str">
        <f>"10704102220"</f>
        <v>10704102220</v>
      </c>
      <c r="B651" s="3">
        <v>1</v>
      </c>
      <c r="C651" s="3">
        <v>22</v>
      </c>
      <c r="D651" s="3">
        <v>20</v>
      </c>
      <c r="E651" s="3" t="s">
        <v>8</v>
      </c>
      <c r="F651" s="4">
        <v>52.5</v>
      </c>
      <c r="G651" s="4"/>
      <c r="H651" s="4">
        <f t="shared" ref="H651:H656" si="44">F651+G651</f>
        <v>52.5</v>
      </c>
    </row>
    <row r="652" ht="14.25" spans="1:8">
      <c r="A652" s="3" t="str">
        <f>"10704102221"</f>
        <v>10704102221</v>
      </c>
      <c r="B652" s="3">
        <v>1</v>
      </c>
      <c r="C652" s="3">
        <v>22</v>
      </c>
      <c r="D652" s="3">
        <v>21</v>
      </c>
      <c r="E652" s="3" t="s">
        <v>8</v>
      </c>
      <c r="F652" s="4">
        <v>81.5</v>
      </c>
      <c r="G652" s="4"/>
      <c r="H652" s="4">
        <f t="shared" si="44"/>
        <v>81.5</v>
      </c>
    </row>
    <row r="653" ht="14.25" spans="1:8">
      <c r="A653" s="3" t="str">
        <f>"10704102222"</f>
        <v>10704102222</v>
      </c>
      <c r="B653" s="3">
        <v>1</v>
      </c>
      <c r="C653" s="3">
        <v>22</v>
      </c>
      <c r="D653" s="3">
        <v>22</v>
      </c>
      <c r="E653" s="3" t="s">
        <v>8</v>
      </c>
      <c r="F653" s="3">
        <v>0</v>
      </c>
      <c r="G653" s="4"/>
      <c r="H653" s="3">
        <v>0</v>
      </c>
    </row>
    <row r="654" ht="14.25" spans="1:8">
      <c r="A654" s="3" t="str">
        <f>"10704102223"</f>
        <v>10704102223</v>
      </c>
      <c r="B654" s="3">
        <v>1</v>
      </c>
      <c r="C654" s="3">
        <v>22</v>
      </c>
      <c r="D654" s="3">
        <v>23</v>
      </c>
      <c r="E654" s="3" t="s">
        <v>8</v>
      </c>
      <c r="F654" s="4">
        <v>66</v>
      </c>
      <c r="G654" s="4"/>
      <c r="H654" s="4">
        <f t="shared" si="44"/>
        <v>66</v>
      </c>
    </row>
    <row r="655" ht="14.25" spans="1:8">
      <c r="A655" s="3" t="str">
        <f>"10704102224"</f>
        <v>10704102224</v>
      </c>
      <c r="B655" s="3">
        <v>1</v>
      </c>
      <c r="C655" s="3">
        <v>22</v>
      </c>
      <c r="D655" s="3">
        <v>24</v>
      </c>
      <c r="E655" s="3" t="s">
        <v>8</v>
      </c>
      <c r="F655" s="4">
        <v>70</v>
      </c>
      <c r="G655" s="4"/>
      <c r="H655" s="4">
        <f t="shared" si="44"/>
        <v>70</v>
      </c>
    </row>
    <row r="656" ht="14.25" spans="1:8">
      <c r="A656" s="3" t="str">
        <f>"10704102225"</f>
        <v>10704102225</v>
      </c>
      <c r="B656" s="3">
        <v>1</v>
      </c>
      <c r="C656" s="3">
        <v>22</v>
      </c>
      <c r="D656" s="3">
        <v>25</v>
      </c>
      <c r="E656" s="3" t="s">
        <v>8</v>
      </c>
      <c r="F656" s="4">
        <v>88</v>
      </c>
      <c r="G656" s="4"/>
      <c r="H656" s="4">
        <f t="shared" si="44"/>
        <v>88</v>
      </c>
    </row>
    <row r="657" ht="14.25" spans="1:8">
      <c r="A657" s="3" t="str">
        <f>"10704102226"</f>
        <v>10704102226</v>
      </c>
      <c r="B657" s="3">
        <v>1</v>
      </c>
      <c r="C657" s="3">
        <v>22</v>
      </c>
      <c r="D657" s="3">
        <v>26</v>
      </c>
      <c r="E657" s="3" t="s">
        <v>8</v>
      </c>
      <c r="F657" s="3">
        <v>0</v>
      </c>
      <c r="G657" s="4"/>
      <c r="H657" s="3">
        <v>0</v>
      </c>
    </row>
    <row r="658" ht="14.25" spans="1:8">
      <c r="A658" s="3" t="str">
        <f>"10704102227"</f>
        <v>10704102227</v>
      </c>
      <c r="B658" s="3">
        <v>1</v>
      </c>
      <c r="C658" s="3">
        <v>22</v>
      </c>
      <c r="D658" s="3">
        <v>27</v>
      </c>
      <c r="E658" s="3" t="s">
        <v>8</v>
      </c>
      <c r="F658" s="4">
        <v>56</v>
      </c>
      <c r="G658" s="4"/>
      <c r="H658" s="4">
        <f t="shared" ref="H658:H668" si="45">F658+G658</f>
        <v>56</v>
      </c>
    </row>
    <row r="659" ht="14.25" spans="1:8">
      <c r="A659" s="3" t="str">
        <f>"10704102228"</f>
        <v>10704102228</v>
      </c>
      <c r="B659" s="3">
        <v>1</v>
      </c>
      <c r="C659" s="3">
        <v>22</v>
      </c>
      <c r="D659" s="3">
        <v>28</v>
      </c>
      <c r="E659" s="3" t="s">
        <v>8</v>
      </c>
      <c r="F659" s="4">
        <v>75</v>
      </c>
      <c r="G659" s="4"/>
      <c r="H659" s="4">
        <f t="shared" si="45"/>
        <v>75</v>
      </c>
    </row>
    <row r="660" ht="14.25" spans="1:8">
      <c r="A660" s="3" t="str">
        <f>"10704102229"</f>
        <v>10704102229</v>
      </c>
      <c r="B660" s="3">
        <v>1</v>
      </c>
      <c r="C660" s="3">
        <v>22</v>
      </c>
      <c r="D660" s="3">
        <v>29</v>
      </c>
      <c r="E660" s="3" t="s">
        <v>8</v>
      </c>
      <c r="F660" s="3">
        <v>0</v>
      </c>
      <c r="G660" s="4"/>
      <c r="H660" s="3">
        <v>0</v>
      </c>
    </row>
    <row r="661" ht="14.25" spans="1:8">
      <c r="A661" s="3" t="str">
        <f>"10704102230"</f>
        <v>10704102230</v>
      </c>
      <c r="B661" s="3">
        <v>1</v>
      </c>
      <c r="C661" s="3">
        <v>22</v>
      </c>
      <c r="D661" s="3">
        <v>30</v>
      </c>
      <c r="E661" s="3" t="s">
        <v>8</v>
      </c>
      <c r="F661" s="3">
        <v>0</v>
      </c>
      <c r="G661" s="4"/>
      <c r="H661" s="3">
        <v>0</v>
      </c>
    </row>
    <row r="662" ht="14.25" spans="1:8">
      <c r="A662" s="3" t="str">
        <f>"10704102301"</f>
        <v>10704102301</v>
      </c>
      <c r="B662" s="3">
        <v>1</v>
      </c>
      <c r="C662" s="3">
        <v>23</v>
      </c>
      <c r="D662" s="3">
        <v>1</v>
      </c>
      <c r="E662" s="3" t="s">
        <v>8</v>
      </c>
      <c r="F662" s="4">
        <v>88.5</v>
      </c>
      <c r="G662" s="4"/>
      <c r="H662" s="4">
        <f t="shared" si="45"/>
        <v>88.5</v>
      </c>
    </row>
    <row r="663" ht="14.25" spans="1:8">
      <c r="A663" s="3" t="str">
        <f>"10704102302"</f>
        <v>10704102302</v>
      </c>
      <c r="B663" s="3">
        <v>1</v>
      </c>
      <c r="C663" s="3">
        <v>23</v>
      </c>
      <c r="D663" s="3">
        <v>2</v>
      </c>
      <c r="E663" s="3" t="s">
        <v>8</v>
      </c>
      <c r="F663" s="4">
        <v>53.5</v>
      </c>
      <c r="G663" s="4"/>
      <c r="H663" s="4">
        <f t="shared" si="45"/>
        <v>53.5</v>
      </c>
    </row>
    <row r="664" ht="14.25" spans="1:8">
      <c r="A664" s="3" t="str">
        <f>"10704102303"</f>
        <v>10704102303</v>
      </c>
      <c r="B664" s="3">
        <v>1</v>
      </c>
      <c r="C664" s="3">
        <v>23</v>
      </c>
      <c r="D664" s="3">
        <v>3</v>
      </c>
      <c r="E664" s="3" t="s">
        <v>8</v>
      </c>
      <c r="F664" s="4">
        <v>51.5</v>
      </c>
      <c r="G664" s="4"/>
      <c r="H664" s="4">
        <f t="shared" si="45"/>
        <v>51.5</v>
      </c>
    </row>
    <row r="665" ht="14.25" spans="1:8">
      <c r="A665" s="3" t="str">
        <f>"10801102304"</f>
        <v>10801102304</v>
      </c>
      <c r="B665" s="3">
        <v>1</v>
      </c>
      <c r="C665" s="3">
        <v>23</v>
      </c>
      <c r="D665" s="3">
        <v>4</v>
      </c>
      <c r="E665" s="3" t="s">
        <v>8</v>
      </c>
      <c r="F665" s="4">
        <v>82.5</v>
      </c>
      <c r="G665" s="4"/>
      <c r="H665" s="4">
        <f t="shared" si="45"/>
        <v>82.5</v>
      </c>
    </row>
    <row r="666" ht="14.25" spans="1:8">
      <c r="A666" s="3" t="str">
        <f>"10801102305"</f>
        <v>10801102305</v>
      </c>
      <c r="B666" s="3">
        <v>1</v>
      </c>
      <c r="C666" s="3">
        <v>23</v>
      </c>
      <c r="D666" s="3">
        <v>5</v>
      </c>
      <c r="E666" s="3" t="s">
        <v>8</v>
      </c>
      <c r="F666" s="4">
        <v>76</v>
      </c>
      <c r="G666" s="4"/>
      <c r="H666" s="4">
        <f t="shared" si="45"/>
        <v>76</v>
      </c>
    </row>
    <row r="667" ht="14.25" spans="1:8">
      <c r="A667" s="3" t="str">
        <f>"10801102306"</f>
        <v>10801102306</v>
      </c>
      <c r="B667" s="3">
        <v>1</v>
      </c>
      <c r="C667" s="3">
        <v>23</v>
      </c>
      <c r="D667" s="3">
        <v>6</v>
      </c>
      <c r="E667" s="3" t="s">
        <v>8</v>
      </c>
      <c r="F667" s="4">
        <v>55.5</v>
      </c>
      <c r="G667" s="4"/>
      <c r="H667" s="4">
        <f t="shared" si="45"/>
        <v>55.5</v>
      </c>
    </row>
    <row r="668" ht="14.25" spans="1:8">
      <c r="A668" s="3" t="str">
        <f>"10801102307"</f>
        <v>10801102307</v>
      </c>
      <c r="B668" s="3">
        <v>1</v>
      </c>
      <c r="C668" s="3">
        <v>23</v>
      </c>
      <c r="D668" s="3">
        <v>7</v>
      </c>
      <c r="E668" s="3" t="s">
        <v>8</v>
      </c>
      <c r="F668" s="4">
        <v>67.5</v>
      </c>
      <c r="G668" s="4"/>
      <c r="H668" s="4">
        <f t="shared" si="45"/>
        <v>67.5</v>
      </c>
    </row>
    <row r="669" ht="14.25" spans="1:8">
      <c r="A669" s="3" t="str">
        <f>"10801102308"</f>
        <v>10801102308</v>
      </c>
      <c r="B669" s="3">
        <v>1</v>
      </c>
      <c r="C669" s="3">
        <v>23</v>
      </c>
      <c r="D669" s="3">
        <v>8</v>
      </c>
      <c r="E669" s="3" t="s">
        <v>8</v>
      </c>
      <c r="F669" s="3">
        <v>0</v>
      </c>
      <c r="G669" s="4"/>
      <c r="H669" s="3">
        <v>0</v>
      </c>
    </row>
    <row r="670" ht="14.25" spans="1:8">
      <c r="A670" s="3" t="str">
        <f>"10801102309"</f>
        <v>10801102309</v>
      </c>
      <c r="B670" s="3">
        <v>1</v>
      </c>
      <c r="C670" s="3">
        <v>23</v>
      </c>
      <c r="D670" s="3">
        <v>9</v>
      </c>
      <c r="E670" s="3" t="s">
        <v>8</v>
      </c>
      <c r="F670" s="4">
        <v>76.5</v>
      </c>
      <c r="G670" s="4"/>
      <c r="H670" s="4">
        <f t="shared" ref="H670:H685" si="46">F670+G670</f>
        <v>76.5</v>
      </c>
    </row>
    <row r="671" ht="14.25" spans="1:8">
      <c r="A671" s="3" t="str">
        <f>"10801102310"</f>
        <v>10801102310</v>
      </c>
      <c r="B671" s="3">
        <v>1</v>
      </c>
      <c r="C671" s="3">
        <v>23</v>
      </c>
      <c r="D671" s="3">
        <v>10</v>
      </c>
      <c r="E671" s="3" t="s">
        <v>8</v>
      </c>
      <c r="F671" s="4">
        <v>86</v>
      </c>
      <c r="G671" s="4"/>
      <c r="H671" s="4">
        <f t="shared" si="46"/>
        <v>86</v>
      </c>
    </row>
    <row r="672" ht="14.25" spans="1:8">
      <c r="A672" s="3" t="str">
        <f>"10801102311"</f>
        <v>10801102311</v>
      </c>
      <c r="B672" s="3">
        <v>1</v>
      </c>
      <c r="C672" s="3">
        <v>23</v>
      </c>
      <c r="D672" s="3">
        <v>11</v>
      </c>
      <c r="E672" s="3" t="s">
        <v>8</v>
      </c>
      <c r="F672" s="3">
        <v>0</v>
      </c>
      <c r="G672" s="4"/>
      <c r="H672" s="3">
        <v>0</v>
      </c>
    </row>
    <row r="673" ht="14.25" spans="1:8">
      <c r="A673" s="3" t="str">
        <f>"10801102312"</f>
        <v>10801102312</v>
      </c>
      <c r="B673" s="3">
        <v>1</v>
      </c>
      <c r="C673" s="3">
        <v>23</v>
      </c>
      <c r="D673" s="3">
        <v>12</v>
      </c>
      <c r="E673" s="3" t="s">
        <v>8</v>
      </c>
      <c r="F673" s="3">
        <v>0</v>
      </c>
      <c r="G673" s="4"/>
      <c r="H673" s="3">
        <v>0</v>
      </c>
    </row>
    <row r="674" ht="14.25" spans="1:8">
      <c r="A674" s="3" t="str">
        <f>"10801102313"</f>
        <v>10801102313</v>
      </c>
      <c r="B674" s="3">
        <v>1</v>
      </c>
      <c r="C674" s="3">
        <v>23</v>
      </c>
      <c r="D674" s="3">
        <v>13</v>
      </c>
      <c r="E674" s="3" t="s">
        <v>8</v>
      </c>
      <c r="F674" s="4">
        <v>75.5</v>
      </c>
      <c r="G674" s="4"/>
      <c r="H674" s="4">
        <f t="shared" si="46"/>
        <v>75.5</v>
      </c>
    </row>
    <row r="675" ht="14.25" spans="1:8">
      <c r="A675" s="3" t="str">
        <f>"10801102314"</f>
        <v>10801102314</v>
      </c>
      <c r="B675" s="3">
        <v>1</v>
      </c>
      <c r="C675" s="3">
        <v>23</v>
      </c>
      <c r="D675" s="3">
        <v>14</v>
      </c>
      <c r="E675" s="3" t="s">
        <v>8</v>
      </c>
      <c r="F675" s="4">
        <v>67.5</v>
      </c>
      <c r="G675" s="4"/>
      <c r="H675" s="4">
        <f t="shared" si="46"/>
        <v>67.5</v>
      </c>
    </row>
    <row r="676" ht="14.25" spans="1:8">
      <c r="A676" s="3" t="str">
        <f>"10801102315"</f>
        <v>10801102315</v>
      </c>
      <c r="B676" s="3">
        <v>1</v>
      </c>
      <c r="C676" s="3">
        <v>23</v>
      </c>
      <c r="D676" s="3">
        <v>15</v>
      </c>
      <c r="E676" s="3" t="s">
        <v>8</v>
      </c>
      <c r="F676" s="4">
        <v>69</v>
      </c>
      <c r="G676" s="4"/>
      <c r="H676" s="4">
        <f t="shared" si="46"/>
        <v>69</v>
      </c>
    </row>
    <row r="677" ht="14.25" spans="1:8">
      <c r="A677" s="3" t="str">
        <f>"10802102316"</f>
        <v>10802102316</v>
      </c>
      <c r="B677" s="3">
        <v>1</v>
      </c>
      <c r="C677" s="3">
        <v>23</v>
      </c>
      <c r="D677" s="3">
        <v>16</v>
      </c>
      <c r="E677" s="3" t="s">
        <v>8</v>
      </c>
      <c r="F677" s="4">
        <v>73.5</v>
      </c>
      <c r="G677" s="4"/>
      <c r="H677" s="4">
        <f t="shared" si="46"/>
        <v>73.5</v>
      </c>
    </row>
    <row r="678" ht="14.25" spans="1:8">
      <c r="A678" s="3" t="str">
        <f>"10802102317"</f>
        <v>10802102317</v>
      </c>
      <c r="B678" s="3">
        <v>1</v>
      </c>
      <c r="C678" s="3">
        <v>23</v>
      </c>
      <c r="D678" s="3">
        <v>17</v>
      </c>
      <c r="E678" s="3" t="s">
        <v>8</v>
      </c>
      <c r="F678" s="4">
        <v>77</v>
      </c>
      <c r="G678" s="4"/>
      <c r="H678" s="4">
        <f t="shared" si="46"/>
        <v>77</v>
      </c>
    </row>
    <row r="679" ht="14.25" spans="1:8">
      <c r="A679" s="3" t="str">
        <f>"10802102318"</f>
        <v>10802102318</v>
      </c>
      <c r="B679" s="3">
        <v>1</v>
      </c>
      <c r="C679" s="3">
        <v>23</v>
      </c>
      <c r="D679" s="3">
        <v>18</v>
      </c>
      <c r="E679" s="3" t="s">
        <v>8</v>
      </c>
      <c r="F679" s="4">
        <v>78.5</v>
      </c>
      <c r="G679" s="4"/>
      <c r="H679" s="4">
        <f t="shared" si="46"/>
        <v>78.5</v>
      </c>
    </row>
    <row r="680" ht="14.25" spans="1:8">
      <c r="A680" s="3" t="str">
        <f>"10802102319"</f>
        <v>10802102319</v>
      </c>
      <c r="B680" s="3">
        <v>1</v>
      </c>
      <c r="C680" s="3">
        <v>23</v>
      </c>
      <c r="D680" s="3">
        <v>19</v>
      </c>
      <c r="E680" s="3" t="s">
        <v>8</v>
      </c>
      <c r="F680" s="4">
        <v>71</v>
      </c>
      <c r="G680" s="4"/>
      <c r="H680" s="4">
        <f t="shared" si="46"/>
        <v>71</v>
      </c>
    </row>
    <row r="681" ht="14.25" spans="1:8">
      <c r="A681" s="3" t="str">
        <f>"10802102320"</f>
        <v>10802102320</v>
      </c>
      <c r="B681" s="3">
        <v>1</v>
      </c>
      <c r="C681" s="3">
        <v>23</v>
      </c>
      <c r="D681" s="3">
        <v>20</v>
      </c>
      <c r="E681" s="3" t="s">
        <v>8</v>
      </c>
      <c r="F681" s="4">
        <v>74</v>
      </c>
      <c r="G681" s="4"/>
      <c r="H681" s="4">
        <f t="shared" si="46"/>
        <v>74</v>
      </c>
    </row>
    <row r="682" ht="14.25" spans="1:8">
      <c r="A682" s="3" t="str">
        <f>"10802102321"</f>
        <v>10802102321</v>
      </c>
      <c r="B682" s="3">
        <v>1</v>
      </c>
      <c r="C682" s="3">
        <v>23</v>
      </c>
      <c r="D682" s="3">
        <v>21</v>
      </c>
      <c r="E682" s="3" t="s">
        <v>8</v>
      </c>
      <c r="F682" s="4">
        <v>87.5</v>
      </c>
      <c r="G682" s="4"/>
      <c r="H682" s="4">
        <f t="shared" si="46"/>
        <v>87.5</v>
      </c>
    </row>
    <row r="683" ht="14.25" spans="1:8">
      <c r="A683" s="3" t="str">
        <f>"10802102322"</f>
        <v>10802102322</v>
      </c>
      <c r="B683" s="3">
        <v>1</v>
      </c>
      <c r="C683" s="3">
        <v>23</v>
      </c>
      <c r="D683" s="3">
        <v>22</v>
      </c>
      <c r="E683" s="3" t="s">
        <v>8</v>
      </c>
      <c r="F683" s="4">
        <v>76.5</v>
      </c>
      <c r="G683" s="4"/>
      <c r="H683" s="4">
        <f t="shared" si="46"/>
        <v>76.5</v>
      </c>
    </row>
    <row r="684" ht="14.25" spans="1:8">
      <c r="A684" s="3" t="str">
        <f>"10802102323"</f>
        <v>10802102323</v>
      </c>
      <c r="B684" s="3">
        <v>1</v>
      </c>
      <c r="C684" s="3">
        <v>23</v>
      </c>
      <c r="D684" s="3">
        <v>23</v>
      </c>
      <c r="E684" s="3" t="s">
        <v>8</v>
      </c>
      <c r="F684" s="4">
        <v>70.5</v>
      </c>
      <c r="G684" s="4"/>
      <c r="H684" s="4">
        <f t="shared" si="46"/>
        <v>70.5</v>
      </c>
    </row>
    <row r="685" ht="14.25" spans="1:8">
      <c r="A685" s="3" t="str">
        <f>"10802102324"</f>
        <v>10802102324</v>
      </c>
      <c r="B685" s="3">
        <v>1</v>
      </c>
      <c r="C685" s="3">
        <v>23</v>
      </c>
      <c r="D685" s="3">
        <v>24</v>
      </c>
      <c r="E685" s="3" t="s">
        <v>8</v>
      </c>
      <c r="F685" s="4">
        <v>81.5</v>
      </c>
      <c r="G685" s="4"/>
      <c r="H685" s="4">
        <f t="shared" si="46"/>
        <v>81.5</v>
      </c>
    </row>
    <row r="686" ht="14.25" spans="1:8">
      <c r="A686" s="3" t="str">
        <f>"10802102325"</f>
        <v>10802102325</v>
      </c>
      <c r="B686" s="3">
        <v>1</v>
      </c>
      <c r="C686" s="3">
        <v>23</v>
      </c>
      <c r="D686" s="3">
        <v>25</v>
      </c>
      <c r="E686" s="3" t="s">
        <v>8</v>
      </c>
      <c r="F686" s="3">
        <v>0</v>
      </c>
      <c r="G686" s="4"/>
      <c r="H686" s="3">
        <v>0</v>
      </c>
    </row>
    <row r="687" ht="14.25" spans="1:8">
      <c r="A687" s="3" t="str">
        <f>"10802102326"</f>
        <v>10802102326</v>
      </c>
      <c r="B687" s="3">
        <v>1</v>
      </c>
      <c r="C687" s="3">
        <v>23</v>
      </c>
      <c r="D687" s="3">
        <v>26</v>
      </c>
      <c r="E687" s="3" t="s">
        <v>8</v>
      </c>
      <c r="F687" s="4">
        <v>78.5</v>
      </c>
      <c r="G687" s="4"/>
      <c r="H687" s="4">
        <f t="shared" ref="H687:H692" si="47">F687+G687</f>
        <v>78.5</v>
      </c>
    </row>
    <row r="688" ht="14.25" spans="1:8">
      <c r="A688" s="3" t="str">
        <f>"10802102327"</f>
        <v>10802102327</v>
      </c>
      <c r="B688" s="3">
        <v>1</v>
      </c>
      <c r="C688" s="3">
        <v>23</v>
      </c>
      <c r="D688" s="3">
        <v>27</v>
      </c>
      <c r="E688" s="3" t="s">
        <v>8</v>
      </c>
      <c r="F688" s="4">
        <v>81</v>
      </c>
      <c r="G688" s="4"/>
      <c r="H688" s="4">
        <f t="shared" si="47"/>
        <v>81</v>
      </c>
    </row>
    <row r="689" ht="14.25" spans="1:8">
      <c r="A689" s="3" t="str">
        <f>"10802102328"</f>
        <v>10802102328</v>
      </c>
      <c r="B689" s="3">
        <v>1</v>
      </c>
      <c r="C689" s="3">
        <v>23</v>
      </c>
      <c r="D689" s="3">
        <v>28</v>
      </c>
      <c r="E689" s="3" t="s">
        <v>8</v>
      </c>
      <c r="F689" s="4">
        <v>75</v>
      </c>
      <c r="G689" s="4"/>
      <c r="H689" s="4">
        <f t="shared" si="47"/>
        <v>75</v>
      </c>
    </row>
    <row r="690" ht="14.25" spans="1:8">
      <c r="A690" s="3" t="str">
        <f>"10802102329"</f>
        <v>10802102329</v>
      </c>
      <c r="B690" s="3">
        <v>1</v>
      </c>
      <c r="C690" s="3">
        <v>23</v>
      </c>
      <c r="D690" s="3">
        <v>29</v>
      </c>
      <c r="E690" s="3" t="s">
        <v>8</v>
      </c>
      <c r="F690" s="4">
        <v>73.5</v>
      </c>
      <c r="G690" s="4"/>
      <c r="H690" s="4">
        <f t="shared" si="47"/>
        <v>73.5</v>
      </c>
    </row>
    <row r="691" ht="14.25" spans="1:8">
      <c r="A691" s="3" t="str">
        <f>"10802102330"</f>
        <v>10802102330</v>
      </c>
      <c r="B691" s="3">
        <v>1</v>
      </c>
      <c r="C691" s="3">
        <v>23</v>
      </c>
      <c r="D691" s="3">
        <v>30</v>
      </c>
      <c r="E691" s="3" t="s">
        <v>8</v>
      </c>
      <c r="F691" s="4">
        <v>80</v>
      </c>
      <c r="G691" s="4"/>
      <c r="H691" s="4">
        <f t="shared" si="47"/>
        <v>80</v>
      </c>
    </row>
    <row r="692" ht="14.25" spans="1:8">
      <c r="A692" s="3" t="str">
        <f>"10803102401"</f>
        <v>10803102401</v>
      </c>
      <c r="B692" s="3">
        <v>1</v>
      </c>
      <c r="C692" s="3">
        <v>24</v>
      </c>
      <c r="D692" s="3">
        <v>1</v>
      </c>
      <c r="E692" s="3" t="s">
        <v>8</v>
      </c>
      <c r="F692" s="4">
        <v>70.5</v>
      </c>
      <c r="G692" s="4"/>
      <c r="H692" s="4">
        <f t="shared" si="47"/>
        <v>70.5</v>
      </c>
    </row>
    <row r="693" ht="14.25" spans="1:8">
      <c r="A693" s="3" t="str">
        <f>"10803102402"</f>
        <v>10803102402</v>
      </c>
      <c r="B693" s="3">
        <v>1</v>
      </c>
      <c r="C693" s="3">
        <v>24</v>
      </c>
      <c r="D693" s="3">
        <v>2</v>
      </c>
      <c r="E693" s="3" t="s">
        <v>8</v>
      </c>
      <c r="F693" s="3">
        <v>0</v>
      </c>
      <c r="G693" s="4"/>
      <c r="H693" s="3">
        <v>0</v>
      </c>
    </row>
    <row r="694" ht="14.25" spans="1:8">
      <c r="A694" s="3" t="str">
        <f>"10803102403"</f>
        <v>10803102403</v>
      </c>
      <c r="B694" s="3">
        <v>1</v>
      </c>
      <c r="C694" s="3">
        <v>24</v>
      </c>
      <c r="D694" s="3">
        <v>3</v>
      </c>
      <c r="E694" s="3" t="s">
        <v>8</v>
      </c>
      <c r="F694" s="3">
        <v>0</v>
      </c>
      <c r="G694" s="4"/>
      <c r="H694" s="3">
        <v>0</v>
      </c>
    </row>
    <row r="695" ht="14.25" spans="1:8">
      <c r="A695" s="3" t="str">
        <f>"10803102404"</f>
        <v>10803102404</v>
      </c>
      <c r="B695" s="3">
        <v>1</v>
      </c>
      <c r="C695" s="3">
        <v>24</v>
      </c>
      <c r="D695" s="3">
        <v>4</v>
      </c>
      <c r="E695" s="3" t="s">
        <v>8</v>
      </c>
      <c r="F695" s="4">
        <v>55.5</v>
      </c>
      <c r="G695" s="4"/>
      <c r="H695" s="4">
        <f>F695+G695</f>
        <v>55.5</v>
      </c>
    </row>
    <row r="696" ht="14.25" spans="1:8">
      <c r="A696" s="3" t="str">
        <f>"10803102405"</f>
        <v>10803102405</v>
      </c>
      <c r="B696" s="3">
        <v>1</v>
      </c>
      <c r="C696" s="3">
        <v>24</v>
      </c>
      <c r="D696" s="3">
        <v>5</v>
      </c>
      <c r="E696" s="3" t="s">
        <v>8</v>
      </c>
      <c r="F696" s="3">
        <v>0</v>
      </c>
      <c r="G696" s="4"/>
      <c r="H696" s="3">
        <v>0</v>
      </c>
    </row>
    <row r="697" ht="14.25" spans="1:8">
      <c r="A697" s="3" t="str">
        <f>"10804102406"</f>
        <v>10804102406</v>
      </c>
      <c r="B697" s="3">
        <v>1</v>
      </c>
      <c r="C697" s="3">
        <v>24</v>
      </c>
      <c r="D697" s="3">
        <v>6</v>
      </c>
      <c r="E697" s="3" t="s">
        <v>8</v>
      </c>
      <c r="F697" s="3">
        <v>0</v>
      </c>
      <c r="G697" s="4"/>
      <c r="H697" s="3">
        <v>0</v>
      </c>
    </row>
    <row r="698" ht="14.25" spans="1:8">
      <c r="A698" s="3" t="str">
        <f>"10804102407"</f>
        <v>10804102407</v>
      </c>
      <c r="B698" s="3">
        <v>1</v>
      </c>
      <c r="C698" s="3">
        <v>24</v>
      </c>
      <c r="D698" s="3">
        <v>7</v>
      </c>
      <c r="E698" s="3" t="s">
        <v>8</v>
      </c>
      <c r="F698" s="3">
        <v>0</v>
      </c>
      <c r="G698" s="4"/>
      <c r="H698" s="3">
        <v>0</v>
      </c>
    </row>
    <row r="699" ht="14.25" spans="1:8">
      <c r="A699" s="3" t="str">
        <f>"10804102408"</f>
        <v>10804102408</v>
      </c>
      <c r="B699" s="3">
        <v>1</v>
      </c>
      <c r="C699" s="3">
        <v>24</v>
      </c>
      <c r="D699" s="3">
        <v>8</v>
      </c>
      <c r="E699" s="3" t="s">
        <v>8</v>
      </c>
      <c r="F699" s="3">
        <v>0</v>
      </c>
      <c r="G699" s="4"/>
      <c r="H699" s="3">
        <v>0</v>
      </c>
    </row>
    <row r="700" ht="14.25" spans="1:8">
      <c r="A700" s="3" t="str">
        <f>"10804102409"</f>
        <v>10804102409</v>
      </c>
      <c r="B700" s="3">
        <v>1</v>
      </c>
      <c r="C700" s="3">
        <v>24</v>
      </c>
      <c r="D700" s="3">
        <v>9</v>
      </c>
      <c r="E700" s="3" t="s">
        <v>8</v>
      </c>
      <c r="F700" s="4">
        <v>68.5</v>
      </c>
      <c r="G700" s="4"/>
      <c r="H700" s="4">
        <f t="shared" ref="H700:H705" si="48">F700+G700</f>
        <v>68.5</v>
      </c>
    </row>
    <row r="701" ht="14.25" spans="1:8">
      <c r="A701" s="3" t="str">
        <f>"10805102410"</f>
        <v>10805102410</v>
      </c>
      <c r="B701" s="3">
        <v>1</v>
      </c>
      <c r="C701" s="3">
        <v>24</v>
      </c>
      <c r="D701" s="3">
        <v>10</v>
      </c>
      <c r="E701" s="3" t="s">
        <v>8</v>
      </c>
      <c r="F701" s="3">
        <v>0</v>
      </c>
      <c r="G701" s="4"/>
      <c r="H701" s="3">
        <v>0</v>
      </c>
    </row>
    <row r="702" ht="14.25" spans="1:8">
      <c r="A702" s="3" t="str">
        <f>"10805102411"</f>
        <v>10805102411</v>
      </c>
      <c r="B702" s="3">
        <v>1</v>
      </c>
      <c r="C702" s="3">
        <v>24</v>
      </c>
      <c r="D702" s="3">
        <v>11</v>
      </c>
      <c r="E702" s="3" t="s">
        <v>8</v>
      </c>
      <c r="F702" s="4">
        <v>86</v>
      </c>
      <c r="G702" s="4"/>
      <c r="H702" s="4">
        <f t="shared" si="48"/>
        <v>86</v>
      </c>
    </row>
    <row r="703" ht="14.25" spans="1:8">
      <c r="A703" s="3" t="str">
        <f>"10805102412"</f>
        <v>10805102412</v>
      </c>
      <c r="B703" s="3">
        <v>1</v>
      </c>
      <c r="C703" s="3">
        <v>24</v>
      </c>
      <c r="D703" s="3">
        <v>12</v>
      </c>
      <c r="E703" s="3" t="s">
        <v>8</v>
      </c>
      <c r="F703" s="4">
        <v>57</v>
      </c>
      <c r="G703" s="4"/>
      <c r="H703" s="4">
        <f t="shared" si="48"/>
        <v>57</v>
      </c>
    </row>
    <row r="704" ht="14.25" spans="1:8">
      <c r="A704" s="3" t="str">
        <f>"10805102413"</f>
        <v>10805102413</v>
      </c>
      <c r="B704" s="3">
        <v>1</v>
      </c>
      <c r="C704" s="3">
        <v>24</v>
      </c>
      <c r="D704" s="3">
        <v>13</v>
      </c>
      <c r="E704" s="3" t="s">
        <v>8</v>
      </c>
      <c r="F704" s="4">
        <v>87.5</v>
      </c>
      <c r="G704" s="4"/>
      <c r="H704" s="4">
        <f t="shared" si="48"/>
        <v>87.5</v>
      </c>
    </row>
    <row r="705" ht="14.25" spans="1:8">
      <c r="A705" s="3" t="str">
        <f>"10805102414"</f>
        <v>10805102414</v>
      </c>
      <c r="B705" s="3">
        <v>1</v>
      </c>
      <c r="C705" s="3">
        <v>24</v>
      </c>
      <c r="D705" s="3">
        <v>14</v>
      </c>
      <c r="E705" s="3" t="s">
        <v>8</v>
      </c>
      <c r="F705" s="4">
        <v>89</v>
      </c>
      <c r="G705" s="4"/>
      <c r="H705" s="4">
        <f t="shared" si="48"/>
        <v>89</v>
      </c>
    </row>
    <row r="706" ht="14.25" spans="1:8">
      <c r="A706" s="3" t="str">
        <f>"10806102415"</f>
        <v>10806102415</v>
      </c>
      <c r="B706" s="3">
        <v>1</v>
      </c>
      <c r="C706" s="3">
        <v>24</v>
      </c>
      <c r="D706" s="3">
        <v>15</v>
      </c>
      <c r="E706" s="3" t="s">
        <v>8</v>
      </c>
      <c r="F706" s="3">
        <v>0</v>
      </c>
      <c r="G706" s="4"/>
      <c r="H706" s="3">
        <v>0</v>
      </c>
    </row>
    <row r="707" ht="14.25" spans="1:8">
      <c r="A707" s="3" t="str">
        <f>"10806102416"</f>
        <v>10806102416</v>
      </c>
      <c r="B707" s="3">
        <v>1</v>
      </c>
      <c r="C707" s="3">
        <v>24</v>
      </c>
      <c r="D707" s="3">
        <v>16</v>
      </c>
      <c r="E707" s="3" t="s">
        <v>8</v>
      </c>
      <c r="F707" s="4">
        <v>78.5</v>
      </c>
      <c r="G707" s="4"/>
      <c r="H707" s="4">
        <f>F707+G707</f>
        <v>78.5</v>
      </c>
    </row>
    <row r="708" ht="14.25" spans="1:8">
      <c r="A708" s="3" t="str">
        <f>"10806102417"</f>
        <v>10806102417</v>
      </c>
      <c r="B708" s="3">
        <v>1</v>
      </c>
      <c r="C708" s="3">
        <v>24</v>
      </c>
      <c r="D708" s="3">
        <v>17</v>
      </c>
      <c r="E708" s="3" t="s">
        <v>8</v>
      </c>
      <c r="F708" s="3">
        <v>0</v>
      </c>
      <c r="G708" s="4"/>
      <c r="H708" s="3">
        <v>0</v>
      </c>
    </row>
    <row r="709" ht="14.25" spans="1:8">
      <c r="A709" s="3" t="str">
        <f>"10806102418"</f>
        <v>10806102418</v>
      </c>
      <c r="B709" s="3">
        <v>1</v>
      </c>
      <c r="C709" s="3">
        <v>24</v>
      </c>
      <c r="D709" s="3">
        <v>18</v>
      </c>
      <c r="E709" s="3" t="s">
        <v>8</v>
      </c>
      <c r="F709" s="3">
        <v>0</v>
      </c>
      <c r="G709" s="4"/>
      <c r="H709" s="3">
        <v>0</v>
      </c>
    </row>
    <row r="710" ht="14.25" spans="1:8">
      <c r="A710" s="3" t="str">
        <f>"10806102419"</f>
        <v>10806102419</v>
      </c>
      <c r="B710" s="3">
        <v>1</v>
      </c>
      <c r="C710" s="3">
        <v>24</v>
      </c>
      <c r="D710" s="3">
        <v>19</v>
      </c>
      <c r="E710" s="3" t="s">
        <v>8</v>
      </c>
      <c r="F710" s="3">
        <v>0</v>
      </c>
      <c r="G710" s="4"/>
      <c r="H710" s="3">
        <v>0</v>
      </c>
    </row>
    <row r="711" ht="14.25" spans="1:8">
      <c r="A711" s="3" t="str">
        <f>"10806102420"</f>
        <v>10806102420</v>
      </c>
      <c r="B711" s="3">
        <v>1</v>
      </c>
      <c r="C711" s="3">
        <v>24</v>
      </c>
      <c r="D711" s="3">
        <v>20</v>
      </c>
      <c r="E711" s="3" t="s">
        <v>8</v>
      </c>
      <c r="F711" s="3">
        <v>0</v>
      </c>
      <c r="G711" s="4"/>
      <c r="H711" s="3">
        <v>0</v>
      </c>
    </row>
    <row r="712" ht="14.25" spans="1:8">
      <c r="A712" s="3" t="str">
        <f>"10806102421"</f>
        <v>10806102421</v>
      </c>
      <c r="B712" s="3">
        <v>1</v>
      </c>
      <c r="C712" s="3">
        <v>24</v>
      </c>
      <c r="D712" s="3">
        <v>21</v>
      </c>
      <c r="E712" s="3" t="s">
        <v>8</v>
      </c>
      <c r="F712" s="3">
        <v>0</v>
      </c>
      <c r="G712" s="4"/>
      <c r="H712" s="3">
        <v>0</v>
      </c>
    </row>
    <row r="713" ht="14.25" spans="1:8">
      <c r="A713" s="3" t="str">
        <f>"10806102422"</f>
        <v>10806102422</v>
      </c>
      <c r="B713" s="3">
        <v>1</v>
      </c>
      <c r="C713" s="3">
        <v>24</v>
      </c>
      <c r="D713" s="3">
        <v>22</v>
      </c>
      <c r="E713" s="3" t="s">
        <v>8</v>
      </c>
      <c r="F713" s="3">
        <v>0</v>
      </c>
      <c r="G713" s="4"/>
      <c r="H713" s="3">
        <v>0</v>
      </c>
    </row>
    <row r="714" ht="14.25" spans="1:8">
      <c r="A714" s="3" t="str">
        <f>"10806102423"</f>
        <v>10806102423</v>
      </c>
      <c r="B714" s="3">
        <v>1</v>
      </c>
      <c r="C714" s="3">
        <v>24</v>
      </c>
      <c r="D714" s="3">
        <v>23</v>
      </c>
      <c r="E714" s="3" t="s">
        <v>8</v>
      </c>
      <c r="F714" s="3">
        <v>0</v>
      </c>
      <c r="G714" s="4"/>
      <c r="H714" s="3">
        <v>0</v>
      </c>
    </row>
    <row r="715" ht="14.25" spans="1:8">
      <c r="A715" s="3" t="str">
        <f>"10806102424"</f>
        <v>10806102424</v>
      </c>
      <c r="B715" s="3">
        <v>1</v>
      </c>
      <c r="C715" s="3">
        <v>24</v>
      </c>
      <c r="D715" s="3">
        <v>24</v>
      </c>
      <c r="E715" s="3" t="s">
        <v>8</v>
      </c>
      <c r="F715" s="3">
        <v>0</v>
      </c>
      <c r="G715" s="4"/>
      <c r="H715" s="3">
        <v>0</v>
      </c>
    </row>
    <row r="716" ht="14.25" spans="1:8">
      <c r="A716" s="3" t="str">
        <f>"10806102425"</f>
        <v>10806102425</v>
      </c>
      <c r="B716" s="3">
        <v>1</v>
      </c>
      <c r="C716" s="3">
        <v>24</v>
      </c>
      <c r="D716" s="3">
        <v>25</v>
      </c>
      <c r="E716" s="3" t="s">
        <v>8</v>
      </c>
      <c r="F716" s="3">
        <v>0</v>
      </c>
      <c r="G716" s="4"/>
      <c r="H716" s="3">
        <v>0</v>
      </c>
    </row>
    <row r="717" ht="14.25" spans="1:8">
      <c r="A717" s="3" t="str">
        <f>"10806102426"</f>
        <v>10806102426</v>
      </c>
      <c r="B717" s="3">
        <v>1</v>
      </c>
      <c r="C717" s="3">
        <v>24</v>
      </c>
      <c r="D717" s="3">
        <v>26</v>
      </c>
      <c r="E717" s="3" t="s">
        <v>8</v>
      </c>
      <c r="F717" s="3">
        <v>0</v>
      </c>
      <c r="G717" s="4"/>
      <c r="H717" s="3">
        <v>0</v>
      </c>
    </row>
    <row r="718" ht="14.25" spans="1:8">
      <c r="A718" s="3" t="str">
        <f>"10806102427"</f>
        <v>10806102427</v>
      </c>
      <c r="B718" s="3">
        <v>1</v>
      </c>
      <c r="C718" s="3">
        <v>24</v>
      </c>
      <c r="D718" s="3">
        <v>27</v>
      </c>
      <c r="E718" s="3" t="s">
        <v>8</v>
      </c>
      <c r="F718" s="3">
        <v>0</v>
      </c>
      <c r="G718" s="4"/>
      <c r="H718" s="3">
        <v>0</v>
      </c>
    </row>
    <row r="719" ht="14.25" spans="1:8">
      <c r="A719" s="3" t="str">
        <f>"10806102428"</f>
        <v>10806102428</v>
      </c>
      <c r="B719" s="3">
        <v>1</v>
      </c>
      <c r="C719" s="3">
        <v>24</v>
      </c>
      <c r="D719" s="3">
        <v>28</v>
      </c>
      <c r="E719" s="3" t="s">
        <v>8</v>
      </c>
      <c r="F719" s="4">
        <v>65.5</v>
      </c>
      <c r="G719" s="4"/>
      <c r="H719" s="4">
        <f t="shared" ref="H719:H721" si="49">F719+G719</f>
        <v>65.5</v>
      </c>
    </row>
    <row r="720" ht="14.25" spans="1:8">
      <c r="A720" s="3" t="str">
        <f>"10806102429"</f>
        <v>10806102429</v>
      </c>
      <c r="B720" s="3">
        <v>1</v>
      </c>
      <c r="C720" s="3">
        <v>24</v>
      </c>
      <c r="D720" s="3">
        <v>29</v>
      </c>
      <c r="E720" s="3" t="s">
        <v>8</v>
      </c>
      <c r="F720" s="4">
        <v>86</v>
      </c>
      <c r="G720" s="4"/>
      <c r="H720" s="4">
        <f t="shared" si="49"/>
        <v>86</v>
      </c>
    </row>
    <row r="721" ht="14.25" spans="1:8">
      <c r="A721" s="3" t="str">
        <f>"10806102430"</f>
        <v>10806102430</v>
      </c>
      <c r="B721" s="3">
        <v>1</v>
      </c>
      <c r="C721" s="3">
        <v>24</v>
      </c>
      <c r="D721" s="3">
        <v>30</v>
      </c>
      <c r="E721" s="3" t="s">
        <v>8</v>
      </c>
      <c r="F721" s="4">
        <v>70.5</v>
      </c>
      <c r="G721" s="4"/>
      <c r="H721" s="4">
        <f t="shared" si="49"/>
        <v>70.5</v>
      </c>
    </row>
    <row r="722" ht="14.25" spans="1:8">
      <c r="A722" s="3" t="str">
        <f>"10806102501"</f>
        <v>10806102501</v>
      </c>
      <c r="B722" s="3">
        <v>1</v>
      </c>
      <c r="C722" s="3">
        <v>25</v>
      </c>
      <c r="D722" s="3">
        <v>1</v>
      </c>
      <c r="E722" s="3" t="s">
        <v>8</v>
      </c>
      <c r="F722" s="3">
        <v>0</v>
      </c>
      <c r="G722" s="4"/>
      <c r="H722" s="3">
        <v>0</v>
      </c>
    </row>
    <row r="723" ht="14.25" spans="1:8">
      <c r="A723" s="3" t="str">
        <f>"10806102502"</f>
        <v>10806102502</v>
      </c>
      <c r="B723" s="3">
        <v>1</v>
      </c>
      <c r="C723" s="3">
        <v>25</v>
      </c>
      <c r="D723" s="3">
        <v>2</v>
      </c>
      <c r="E723" s="3" t="s">
        <v>8</v>
      </c>
      <c r="F723" s="4">
        <v>45</v>
      </c>
      <c r="G723" s="4"/>
      <c r="H723" s="4">
        <f t="shared" ref="H723:H732" si="50">F723+G723</f>
        <v>45</v>
      </c>
    </row>
    <row r="724" ht="14.25" spans="1:8">
      <c r="A724" s="3" t="str">
        <f>"10806102503"</f>
        <v>10806102503</v>
      </c>
      <c r="B724" s="3">
        <v>1</v>
      </c>
      <c r="C724" s="3">
        <v>25</v>
      </c>
      <c r="D724" s="3">
        <v>3</v>
      </c>
      <c r="E724" s="3" t="s">
        <v>8</v>
      </c>
      <c r="F724" s="3">
        <v>0</v>
      </c>
      <c r="G724" s="4"/>
      <c r="H724" s="3">
        <v>0</v>
      </c>
    </row>
    <row r="725" ht="14.25" spans="1:8">
      <c r="A725" s="3" t="str">
        <f>"10901102504"</f>
        <v>10901102504</v>
      </c>
      <c r="B725" s="3">
        <v>1</v>
      </c>
      <c r="C725" s="3">
        <v>25</v>
      </c>
      <c r="D725" s="3">
        <v>4</v>
      </c>
      <c r="E725" s="3" t="s">
        <v>8</v>
      </c>
      <c r="F725" s="3">
        <v>0</v>
      </c>
      <c r="G725" s="4"/>
      <c r="H725" s="3">
        <v>0</v>
      </c>
    </row>
    <row r="726" ht="14.25" spans="1:8">
      <c r="A726" s="3" t="str">
        <f>"10901102505"</f>
        <v>10901102505</v>
      </c>
      <c r="B726" s="3">
        <v>1</v>
      </c>
      <c r="C726" s="3">
        <v>25</v>
      </c>
      <c r="D726" s="3">
        <v>5</v>
      </c>
      <c r="E726" s="3" t="s">
        <v>8</v>
      </c>
      <c r="F726" s="4">
        <v>84.5</v>
      </c>
      <c r="G726" s="4"/>
      <c r="H726" s="4">
        <f t="shared" si="50"/>
        <v>84.5</v>
      </c>
    </row>
    <row r="727" ht="14.25" spans="1:8">
      <c r="A727" s="3" t="str">
        <f>"10901102506"</f>
        <v>10901102506</v>
      </c>
      <c r="B727" s="3">
        <v>1</v>
      </c>
      <c r="C727" s="3">
        <v>25</v>
      </c>
      <c r="D727" s="3">
        <v>6</v>
      </c>
      <c r="E727" s="3" t="s">
        <v>8</v>
      </c>
      <c r="F727" s="4">
        <v>68</v>
      </c>
      <c r="G727" s="4"/>
      <c r="H727" s="4">
        <f t="shared" si="50"/>
        <v>68</v>
      </c>
    </row>
    <row r="728" ht="14.25" spans="1:8">
      <c r="A728" s="3" t="str">
        <f>"10901102507"</f>
        <v>10901102507</v>
      </c>
      <c r="B728" s="3">
        <v>1</v>
      </c>
      <c r="C728" s="3">
        <v>25</v>
      </c>
      <c r="D728" s="3">
        <v>7</v>
      </c>
      <c r="E728" s="3" t="s">
        <v>8</v>
      </c>
      <c r="F728" s="4">
        <v>72</v>
      </c>
      <c r="G728" s="4"/>
      <c r="H728" s="4">
        <f t="shared" si="50"/>
        <v>72</v>
      </c>
    </row>
    <row r="729" ht="14.25" spans="1:8">
      <c r="A729" s="3" t="str">
        <f>"10901102508"</f>
        <v>10901102508</v>
      </c>
      <c r="B729" s="3">
        <v>1</v>
      </c>
      <c r="C729" s="3">
        <v>25</v>
      </c>
      <c r="D729" s="3">
        <v>8</v>
      </c>
      <c r="E729" s="3" t="s">
        <v>8</v>
      </c>
      <c r="F729" s="4">
        <v>61.5</v>
      </c>
      <c r="G729" s="4"/>
      <c r="H729" s="4">
        <f t="shared" si="50"/>
        <v>61.5</v>
      </c>
    </row>
    <row r="730" ht="14.25" spans="1:8">
      <c r="A730" s="3" t="str">
        <f>"10901102509"</f>
        <v>10901102509</v>
      </c>
      <c r="B730" s="3">
        <v>1</v>
      </c>
      <c r="C730" s="3">
        <v>25</v>
      </c>
      <c r="D730" s="3">
        <v>9</v>
      </c>
      <c r="E730" s="3" t="s">
        <v>8</v>
      </c>
      <c r="F730" s="4">
        <v>61.5</v>
      </c>
      <c r="G730" s="4"/>
      <c r="H730" s="4">
        <f t="shared" si="50"/>
        <v>61.5</v>
      </c>
    </row>
    <row r="731" ht="14.25" spans="1:8">
      <c r="A731" s="3" t="str">
        <f>"10901102510"</f>
        <v>10901102510</v>
      </c>
      <c r="B731" s="3">
        <v>1</v>
      </c>
      <c r="C731" s="3">
        <v>25</v>
      </c>
      <c r="D731" s="3">
        <v>10</v>
      </c>
      <c r="E731" s="3" t="s">
        <v>8</v>
      </c>
      <c r="F731" s="4">
        <v>79</v>
      </c>
      <c r="G731" s="4"/>
      <c r="H731" s="4">
        <f t="shared" si="50"/>
        <v>79</v>
      </c>
    </row>
    <row r="732" ht="14.25" spans="1:8">
      <c r="A732" s="3" t="str">
        <f>"10901102511"</f>
        <v>10901102511</v>
      </c>
      <c r="B732" s="3">
        <v>1</v>
      </c>
      <c r="C732" s="3">
        <v>25</v>
      </c>
      <c r="D732" s="3">
        <v>11</v>
      </c>
      <c r="E732" s="3" t="s">
        <v>8</v>
      </c>
      <c r="F732" s="4">
        <v>55.5</v>
      </c>
      <c r="G732" s="4"/>
      <c r="H732" s="4">
        <f t="shared" si="50"/>
        <v>55.5</v>
      </c>
    </row>
    <row r="733" ht="14.25" spans="1:8">
      <c r="A733" s="3" t="str">
        <f>"10901102512"</f>
        <v>10901102512</v>
      </c>
      <c r="B733" s="3">
        <v>1</v>
      </c>
      <c r="C733" s="3">
        <v>25</v>
      </c>
      <c r="D733" s="3">
        <v>12</v>
      </c>
      <c r="E733" s="3" t="s">
        <v>8</v>
      </c>
      <c r="F733" s="3">
        <v>0</v>
      </c>
      <c r="G733" s="4"/>
      <c r="H733" s="3">
        <v>0</v>
      </c>
    </row>
    <row r="734" ht="14.25" spans="1:8">
      <c r="A734" s="3" t="str">
        <f>"10901102513"</f>
        <v>10901102513</v>
      </c>
      <c r="B734" s="3">
        <v>1</v>
      </c>
      <c r="C734" s="3">
        <v>25</v>
      </c>
      <c r="D734" s="3">
        <v>13</v>
      </c>
      <c r="E734" s="3" t="s">
        <v>8</v>
      </c>
      <c r="F734" s="4">
        <v>49</v>
      </c>
      <c r="G734" s="4"/>
      <c r="H734" s="4">
        <f t="shared" ref="H734:H737" si="51">F734+G734</f>
        <v>49</v>
      </c>
    </row>
    <row r="735" ht="14.25" spans="1:8">
      <c r="A735" s="3" t="str">
        <f>"10901102514"</f>
        <v>10901102514</v>
      </c>
      <c r="B735" s="3">
        <v>1</v>
      </c>
      <c r="C735" s="3">
        <v>25</v>
      </c>
      <c r="D735" s="3">
        <v>14</v>
      </c>
      <c r="E735" s="3" t="s">
        <v>8</v>
      </c>
      <c r="F735" s="4">
        <v>82.5</v>
      </c>
      <c r="G735" s="4"/>
      <c r="H735" s="4">
        <f t="shared" si="51"/>
        <v>82.5</v>
      </c>
    </row>
    <row r="736" ht="14.25" spans="1:8">
      <c r="A736" s="3" t="str">
        <f>"10901102515"</f>
        <v>10901102515</v>
      </c>
      <c r="B736" s="3">
        <v>1</v>
      </c>
      <c r="C736" s="3">
        <v>25</v>
      </c>
      <c r="D736" s="3">
        <v>15</v>
      </c>
      <c r="E736" s="3" t="s">
        <v>8</v>
      </c>
      <c r="F736" s="3">
        <v>0</v>
      </c>
      <c r="G736" s="4"/>
      <c r="H736" s="3">
        <v>0</v>
      </c>
    </row>
    <row r="737" ht="14.25" spans="1:8">
      <c r="A737" s="3" t="str">
        <f>"10901102516"</f>
        <v>10901102516</v>
      </c>
      <c r="B737" s="3">
        <v>1</v>
      </c>
      <c r="C737" s="3">
        <v>25</v>
      </c>
      <c r="D737" s="3">
        <v>16</v>
      </c>
      <c r="E737" s="3" t="s">
        <v>8</v>
      </c>
      <c r="F737" s="4">
        <v>79</v>
      </c>
      <c r="G737" s="4"/>
      <c r="H737" s="4">
        <f t="shared" si="51"/>
        <v>79</v>
      </c>
    </row>
    <row r="738" ht="14.25" spans="1:8">
      <c r="A738" s="3" t="str">
        <f>"10901102517"</f>
        <v>10901102517</v>
      </c>
      <c r="B738" s="3">
        <v>1</v>
      </c>
      <c r="C738" s="3">
        <v>25</v>
      </c>
      <c r="D738" s="3">
        <v>17</v>
      </c>
      <c r="E738" s="3" t="s">
        <v>8</v>
      </c>
      <c r="F738" s="3">
        <v>0</v>
      </c>
      <c r="G738" s="4"/>
      <c r="H738" s="3">
        <v>0</v>
      </c>
    </row>
    <row r="739" ht="14.25" spans="1:8">
      <c r="A739" s="3" t="str">
        <f>"10901102518"</f>
        <v>10901102518</v>
      </c>
      <c r="B739" s="3">
        <v>1</v>
      </c>
      <c r="C739" s="3">
        <v>25</v>
      </c>
      <c r="D739" s="3">
        <v>18</v>
      </c>
      <c r="E739" s="3" t="s">
        <v>8</v>
      </c>
      <c r="F739" s="4">
        <v>78.5</v>
      </c>
      <c r="G739" s="4"/>
      <c r="H739" s="4">
        <f t="shared" ref="H739:H748" si="52">F739+G739</f>
        <v>78.5</v>
      </c>
    </row>
    <row r="740" ht="14.25" spans="1:8">
      <c r="A740" s="3" t="str">
        <f>"10901102519"</f>
        <v>10901102519</v>
      </c>
      <c r="B740" s="3">
        <v>1</v>
      </c>
      <c r="C740" s="3">
        <v>25</v>
      </c>
      <c r="D740" s="3">
        <v>19</v>
      </c>
      <c r="E740" s="3" t="s">
        <v>8</v>
      </c>
      <c r="F740" s="4">
        <v>60</v>
      </c>
      <c r="G740" s="4"/>
      <c r="H740" s="4">
        <f t="shared" si="52"/>
        <v>60</v>
      </c>
    </row>
    <row r="741" ht="14.25" spans="1:8">
      <c r="A741" s="3" t="str">
        <f>"10901102520"</f>
        <v>10901102520</v>
      </c>
      <c r="B741" s="3">
        <v>1</v>
      </c>
      <c r="C741" s="3">
        <v>25</v>
      </c>
      <c r="D741" s="3">
        <v>20</v>
      </c>
      <c r="E741" s="3" t="s">
        <v>8</v>
      </c>
      <c r="F741" s="4">
        <v>83</v>
      </c>
      <c r="G741" s="4"/>
      <c r="H741" s="4">
        <f t="shared" si="52"/>
        <v>83</v>
      </c>
    </row>
    <row r="742" ht="14.25" spans="1:8">
      <c r="A742" s="3" t="str">
        <f>"10901102521"</f>
        <v>10901102521</v>
      </c>
      <c r="B742" s="3">
        <v>1</v>
      </c>
      <c r="C742" s="3">
        <v>25</v>
      </c>
      <c r="D742" s="3">
        <v>21</v>
      </c>
      <c r="E742" s="3" t="s">
        <v>8</v>
      </c>
      <c r="F742" s="4">
        <v>51</v>
      </c>
      <c r="G742" s="4"/>
      <c r="H742" s="4">
        <f t="shared" si="52"/>
        <v>51</v>
      </c>
    </row>
    <row r="743" ht="14.25" spans="1:8">
      <c r="A743" s="3" t="str">
        <f>"10901102522"</f>
        <v>10901102522</v>
      </c>
      <c r="B743" s="3">
        <v>1</v>
      </c>
      <c r="C743" s="3">
        <v>25</v>
      </c>
      <c r="D743" s="3">
        <v>22</v>
      </c>
      <c r="E743" s="3" t="s">
        <v>8</v>
      </c>
      <c r="F743" s="4">
        <v>59</v>
      </c>
      <c r="G743" s="4"/>
      <c r="H743" s="4">
        <f t="shared" si="52"/>
        <v>59</v>
      </c>
    </row>
    <row r="744" ht="14.25" spans="1:8">
      <c r="A744" s="3" t="str">
        <f>"10901102523"</f>
        <v>10901102523</v>
      </c>
      <c r="B744" s="3">
        <v>1</v>
      </c>
      <c r="C744" s="3">
        <v>25</v>
      </c>
      <c r="D744" s="3">
        <v>23</v>
      </c>
      <c r="E744" s="3" t="s">
        <v>8</v>
      </c>
      <c r="F744" s="4">
        <v>73</v>
      </c>
      <c r="G744" s="4"/>
      <c r="H744" s="4">
        <f t="shared" si="52"/>
        <v>73</v>
      </c>
    </row>
    <row r="745" ht="14.25" spans="1:8">
      <c r="A745" s="3" t="str">
        <f>"10901102524"</f>
        <v>10901102524</v>
      </c>
      <c r="B745" s="3">
        <v>1</v>
      </c>
      <c r="C745" s="3">
        <v>25</v>
      </c>
      <c r="D745" s="3">
        <v>24</v>
      </c>
      <c r="E745" s="3" t="s">
        <v>8</v>
      </c>
      <c r="F745" s="4">
        <v>77.5</v>
      </c>
      <c r="G745" s="4"/>
      <c r="H745" s="4">
        <f t="shared" si="52"/>
        <v>77.5</v>
      </c>
    </row>
    <row r="746" ht="14.25" spans="1:8">
      <c r="A746" s="3" t="str">
        <f>"10901102525"</f>
        <v>10901102525</v>
      </c>
      <c r="B746" s="3">
        <v>1</v>
      </c>
      <c r="C746" s="3">
        <v>25</v>
      </c>
      <c r="D746" s="3">
        <v>25</v>
      </c>
      <c r="E746" s="3" t="s">
        <v>8</v>
      </c>
      <c r="F746" s="4">
        <v>56.5</v>
      </c>
      <c r="G746" s="4"/>
      <c r="H746" s="4">
        <f t="shared" si="52"/>
        <v>56.5</v>
      </c>
    </row>
    <row r="747" ht="14.25" spans="1:8">
      <c r="A747" s="3" t="str">
        <f>"10901102526"</f>
        <v>10901102526</v>
      </c>
      <c r="B747" s="3">
        <v>1</v>
      </c>
      <c r="C747" s="3">
        <v>25</v>
      </c>
      <c r="D747" s="3">
        <v>26</v>
      </c>
      <c r="E747" s="3" t="s">
        <v>8</v>
      </c>
      <c r="F747" s="4">
        <v>73</v>
      </c>
      <c r="G747" s="4"/>
      <c r="H747" s="4">
        <f t="shared" si="52"/>
        <v>73</v>
      </c>
    </row>
    <row r="748" ht="14.25" spans="1:8">
      <c r="A748" s="3" t="str">
        <f>"10901102527"</f>
        <v>10901102527</v>
      </c>
      <c r="B748" s="3">
        <v>1</v>
      </c>
      <c r="C748" s="3">
        <v>25</v>
      </c>
      <c r="D748" s="3">
        <v>27</v>
      </c>
      <c r="E748" s="3" t="s">
        <v>8</v>
      </c>
      <c r="F748" s="4">
        <v>45.5</v>
      </c>
      <c r="G748" s="4"/>
      <c r="H748" s="4">
        <f t="shared" si="52"/>
        <v>45.5</v>
      </c>
    </row>
    <row r="749" ht="14.25" spans="1:8">
      <c r="A749" s="3" t="str">
        <f>"10901102528"</f>
        <v>10901102528</v>
      </c>
      <c r="B749" s="3">
        <v>1</v>
      </c>
      <c r="C749" s="3">
        <v>25</v>
      </c>
      <c r="D749" s="3">
        <v>28</v>
      </c>
      <c r="E749" s="3" t="s">
        <v>8</v>
      </c>
      <c r="F749" s="3">
        <v>0</v>
      </c>
      <c r="G749" s="4"/>
      <c r="H749" s="3">
        <v>0</v>
      </c>
    </row>
    <row r="750" ht="14.25" spans="1:8">
      <c r="A750" s="3" t="str">
        <f>"10901102529"</f>
        <v>10901102529</v>
      </c>
      <c r="B750" s="3">
        <v>1</v>
      </c>
      <c r="C750" s="3">
        <v>25</v>
      </c>
      <c r="D750" s="3">
        <v>29</v>
      </c>
      <c r="E750" s="3" t="s">
        <v>8</v>
      </c>
      <c r="F750" s="4">
        <v>39.5</v>
      </c>
      <c r="G750" s="4"/>
      <c r="H750" s="4">
        <f t="shared" ref="H750:H755" si="53">F750+G750</f>
        <v>39.5</v>
      </c>
    </row>
    <row r="751" ht="14.25" spans="1:8">
      <c r="A751" s="3" t="str">
        <f>"10901102530"</f>
        <v>10901102530</v>
      </c>
      <c r="B751" s="3">
        <v>1</v>
      </c>
      <c r="C751" s="3">
        <v>25</v>
      </c>
      <c r="D751" s="3">
        <v>30</v>
      </c>
      <c r="E751" s="3" t="s">
        <v>8</v>
      </c>
      <c r="F751" s="4">
        <v>74</v>
      </c>
      <c r="G751" s="4"/>
      <c r="H751" s="4">
        <f t="shared" si="53"/>
        <v>74</v>
      </c>
    </row>
    <row r="752" ht="14.25" spans="1:8">
      <c r="A752" s="3" t="str">
        <f>"10901102601"</f>
        <v>10901102601</v>
      </c>
      <c r="B752" s="3">
        <v>1</v>
      </c>
      <c r="C752" s="3">
        <v>26</v>
      </c>
      <c r="D752" s="3">
        <v>1</v>
      </c>
      <c r="E752" s="3" t="s">
        <v>8</v>
      </c>
      <c r="F752" s="3">
        <v>0</v>
      </c>
      <c r="G752" s="4"/>
      <c r="H752" s="3">
        <v>0</v>
      </c>
    </row>
    <row r="753" ht="14.25" spans="1:8">
      <c r="A753" s="3" t="str">
        <f>"10901102602"</f>
        <v>10901102602</v>
      </c>
      <c r="B753" s="3">
        <v>1</v>
      </c>
      <c r="C753" s="3">
        <v>26</v>
      </c>
      <c r="D753" s="3">
        <v>2</v>
      </c>
      <c r="E753" s="3" t="s">
        <v>8</v>
      </c>
      <c r="F753" s="4">
        <v>83</v>
      </c>
      <c r="G753" s="4"/>
      <c r="H753" s="4">
        <f t="shared" si="53"/>
        <v>83</v>
      </c>
    </row>
    <row r="754" ht="14.25" spans="1:8">
      <c r="A754" s="3" t="str">
        <f>"10901102603"</f>
        <v>10901102603</v>
      </c>
      <c r="B754" s="3">
        <v>1</v>
      </c>
      <c r="C754" s="3">
        <v>26</v>
      </c>
      <c r="D754" s="3">
        <v>3</v>
      </c>
      <c r="E754" s="3" t="s">
        <v>8</v>
      </c>
      <c r="F754" s="4">
        <v>79.5</v>
      </c>
      <c r="G754" s="4"/>
      <c r="H754" s="4">
        <f t="shared" si="53"/>
        <v>79.5</v>
      </c>
    </row>
    <row r="755" ht="14.25" spans="1:8">
      <c r="A755" s="3" t="str">
        <f>"10901102604"</f>
        <v>10901102604</v>
      </c>
      <c r="B755" s="3">
        <v>1</v>
      </c>
      <c r="C755" s="3">
        <v>26</v>
      </c>
      <c r="D755" s="3">
        <v>4</v>
      </c>
      <c r="E755" s="3" t="s">
        <v>8</v>
      </c>
      <c r="F755" s="4">
        <v>87.5</v>
      </c>
      <c r="G755" s="4"/>
      <c r="H755" s="4">
        <f t="shared" si="53"/>
        <v>87.5</v>
      </c>
    </row>
    <row r="756" ht="14.25" spans="1:8">
      <c r="A756" s="3" t="str">
        <f>"10901102605"</f>
        <v>10901102605</v>
      </c>
      <c r="B756" s="3">
        <v>1</v>
      </c>
      <c r="C756" s="3">
        <v>26</v>
      </c>
      <c r="D756" s="3">
        <v>5</v>
      </c>
      <c r="E756" s="3" t="s">
        <v>8</v>
      </c>
      <c r="F756" s="3">
        <v>0</v>
      </c>
      <c r="G756" s="4"/>
      <c r="H756" s="3">
        <v>0</v>
      </c>
    </row>
    <row r="757" ht="14.25" spans="1:8">
      <c r="A757" s="3" t="str">
        <f>"10901102606"</f>
        <v>10901102606</v>
      </c>
      <c r="B757" s="3">
        <v>1</v>
      </c>
      <c r="C757" s="3">
        <v>26</v>
      </c>
      <c r="D757" s="3">
        <v>6</v>
      </c>
      <c r="E757" s="3" t="s">
        <v>8</v>
      </c>
      <c r="F757" s="4">
        <v>66.5</v>
      </c>
      <c r="G757" s="4"/>
      <c r="H757" s="4">
        <f t="shared" ref="H757:H760" si="54">F757+G757</f>
        <v>66.5</v>
      </c>
    </row>
    <row r="758" ht="14.25" spans="1:8">
      <c r="A758" s="3" t="str">
        <f>"10901102607"</f>
        <v>10901102607</v>
      </c>
      <c r="B758" s="3">
        <v>1</v>
      </c>
      <c r="C758" s="3">
        <v>26</v>
      </c>
      <c r="D758" s="3">
        <v>7</v>
      </c>
      <c r="E758" s="3" t="s">
        <v>8</v>
      </c>
      <c r="F758" s="4">
        <v>58.5</v>
      </c>
      <c r="G758" s="4"/>
      <c r="H758" s="4">
        <f t="shared" si="54"/>
        <v>58.5</v>
      </c>
    </row>
    <row r="759" ht="14.25" spans="1:8">
      <c r="A759" s="3" t="str">
        <f>"10901102608"</f>
        <v>10901102608</v>
      </c>
      <c r="B759" s="3">
        <v>1</v>
      </c>
      <c r="C759" s="3">
        <v>26</v>
      </c>
      <c r="D759" s="3">
        <v>8</v>
      </c>
      <c r="E759" s="3" t="s">
        <v>8</v>
      </c>
      <c r="F759" s="3">
        <v>0</v>
      </c>
      <c r="G759" s="4"/>
      <c r="H759" s="3">
        <v>0</v>
      </c>
    </row>
    <row r="760" ht="14.25" spans="1:8">
      <c r="A760" s="3" t="str">
        <f>"10901102609"</f>
        <v>10901102609</v>
      </c>
      <c r="B760" s="3">
        <v>1</v>
      </c>
      <c r="C760" s="3">
        <v>26</v>
      </c>
      <c r="D760" s="3">
        <v>9</v>
      </c>
      <c r="E760" s="3" t="s">
        <v>8</v>
      </c>
      <c r="F760" s="4">
        <v>68</v>
      </c>
      <c r="G760" s="4"/>
      <c r="H760" s="4">
        <f t="shared" si="54"/>
        <v>68</v>
      </c>
    </row>
    <row r="761" ht="14.25" spans="1:8">
      <c r="A761" s="3" t="str">
        <f>"10901102610"</f>
        <v>10901102610</v>
      </c>
      <c r="B761" s="3">
        <v>1</v>
      </c>
      <c r="C761" s="3">
        <v>26</v>
      </c>
      <c r="D761" s="3">
        <v>10</v>
      </c>
      <c r="E761" s="3" t="s">
        <v>8</v>
      </c>
      <c r="F761" s="3">
        <v>0</v>
      </c>
      <c r="G761" s="4"/>
      <c r="H761" s="3">
        <v>0</v>
      </c>
    </row>
    <row r="762" ht="14.25" spans="1:8">
      <c r="A762" s="3" t="str">
        <f>"10901102611"</f>
        <v>10901102611</v>
      </c>
      <c r="B762" s="3">
        <v>1</v>
      </c>
      <c r="C762" s="3">
        <v>26</v>
      </c>
      <c r="D762" s="3">
        <v>11</v>
      </c>
      <c r="E762" s="3" t="s">
        <v>8</v>
      </c>
      <c r="F762" s="3">
        <v>0</v>
      </c>
      <c r="G762" s="4"/>
      <c r="H762" s="3">
        <v>0</v>
      </c>
    </row>
    <row r="763" ht="14.25" spans="1:8">
      <c r="A763" s="3" t="str">
        <f>"10901102612"</f>
        <v>10901102612</v>
      </c>
      <c r="B763" s="3">
        <v>1</v>
      </c>
      <c r="C763" s="3">
        <v>26</v>
      </c>
      <c r="D763" s="3">
        <v>12</v>
      </c>
      <c r="E763" s="3" t="s">
        <v>8</v>
      </c>
      <c r="F763" s="4">
        <v>77</v>
      </c>
      <c r="G763" s="4"/>
      <c r="H763" s="4">
        <f t="shared" ref="H763:H767" si="55">F763+G763</f>
        <v>77</v>
      </c>
    </row>
    <row r="764" ht="14.25" spans="1:8">
      <c r="A764" s="3" t="str">
        <f>"10901102613"</f>
        <v>10901102613</v>
      </c>
      <c r="B764" s="3">
        <v>1</v>
      </c>
      <c r="C764" s="3">
        <v>26</v>
      </c>
      <c r="D764" s="3">
        <v>13</v>
      </c>
      <c r="E764" s="3" t="s">
        <v>8</v>
      </c>
      <c r="F764" s="4">
        <v>75.5</v>
      </c>
      <c r="G764" s="4"/>
      <c r="H764" s="4">
        <f t="shared" si="55"/>
        <v>75.5</v>
      </c>
    </row>
    <row r="765" ht="14.25" spans="1:8">
      <c r="A765" s="3" t="str">
        <f>"10901102614"</f>
        <v>10901102614</v>
      </c>
      <c r="B765" s="3">
        <v>1</v>
      </c>
      <c r="C765" s="3">
        <v>26</v>
      </c>
      <c r="D765" s="3">
        <v>14</v>
      </c>
      <c r="E765" s="3" t="s">
        <v>8</v>
      </c>
      <c r="F765" s="3">
        <v>0</v>
      </c>
      <c r="G765" s="4"/>
      <c r="H765" s="3">
        <v>0</v>
      </c>
    </row>
    <row r="766" ht="14.25" spans="1:8">
      <c r="A766" s="3" t="str">
        <f>"10901102615"</f>
        <v>10901102615</v>
      </c>
      <c r="B766" s="3">
        <v>1</v>
      </c>
      <c r="C766" s="3">
        <v>26</v>
      </c>
      <c r="D766" s="3">
        <v>15</v>
      </c>
      <c r="E766" s="3" t="s">
        <v>8</v>
      </c>
      <c r="F766" s="4">
        <v>79.5</v>
      </c>
      <c r="G766" s="4"/>
      <c r="H766" s="4">
        <f t="shared" si="55"/>
        <v>79.5</v>
      </c>
    </row>
    <row r="767" ht="14.25" spans="1:8">
      <c r="A767" s="3" t="str">
        <f>"10901102616"</f>
        <v>10901102616</v>
      </c>
      <c r="B767" s="3">
        <v>1</v>
      </c>
      <c r="C767" s="3">
        <v>26</v>
      </c>
      <c r="D767" s="3">
        <v>16</v>
      </c>
      <c r="E767" s="3" t="s">
        <v>8</v>
      </c>
      <c r="F767" s="4">
        <v>69</v>
      </c>
      <c r="G767" s="4"/>
      <c r="H767" s="4">
        <f t="shared" si="55"/>
        <v>69</v>
      </c>
    </row>
    <row r="768" ht="14.25" spans="1:8">
      <c r="A768" s="3" t="str">
        <f>"10901102617"</f>
        <v>10901102617</v>
      </c>
      <c r="B768" s="3">
        <v>1</v>
      </c>
      <c r="C768" s="3">
        <v>26</v>
      </c>
      <c r="D768" s="3">
        <v>17</v>
      </c>
      <c r="E768" s="3" t="s">
        <v>8</v>
      </c>
      <c r="F768" s="3">
        <v>0</v>
      </c>
      <c r="G768" s="4"/>
      <c r="H768" s="3">
        <v>0</v>
      </c>
    </row>
    <row r="769" ht="14.25" spans="1:8">
      <c r="A769" s="3" t="str">
        <f>"10901102618"</f>
        <v>10901102618</v>
      </c>
      <c r="B769" s="3">
        <v>1</v>
      </c>
      <c r="C769" s="3">
        <v>26</v>
      </c>
      <c r="D769" s="3">
        <v>18</v>
      </c>
      <c r="E769" s="3" t="s">
        <v>8</v>
      </c>
      <c r="F769" s="4">
        <v>75</v>
      </c>
      <c r="G769" s="4"/>
      <c r="H769" s="4">
        <f t="shared" ref="H769:H773" si="56">F769+G769</f>
        <v>75</v>
      </c>
    </row>
    <row r="770" ht="14.25" spans="1:8">
      <c r="A770" s="3" t="str">
        <f>"10901102619"</f>
        <v>10901102619</v>
      </c>
      <c r="B770" s="3">
        <v>1</v>
      </c>
      <c r="C770" s="3">
        <v>26</v>
      </c>
      <c r="D770" s="3">
        <v>19</v>
      </c>
      <c r="E770" s="3" t="s">
        <v>8</v>
      </c>
      <c r="F770" s="4">
        <v>83.5</v>
      </c>
      <c r="G770" s="4"/>
      <c r="H770" s="4">
        <f t="shared" si="56"/>
        <v>83.5</v>
      </c>
    </row>
    <row r="771" ht="14.25" spans="1:8">
      <c r="A771" s="3" t="str">
        <f>"10901102620"</f>
        <v>10901102620</v>
      </c>
      <c r="B771" s="3">
        <v>1</v>
      </c>
      <c r="C771" s="3">
        <v>26</v>
      </c>
      <c r="D771" s="3">
        <v>20</v>
      </c>
      <c r="E771" s="3" t="s">
        <v>8</v>
      </c>
      <c r="F771" s="4">
        <v>62</v>
      </c>
      <c r="G771" s="4"/>
      <c r="H771" s="4">
        <f t="shared" si="56"/>
        <v>62</v>
      </c>
    </row>
    <row r="772" ht="14.25" spans="1:8">
      <c r="A772" s="3" t="str">
        <f>"10901102621"</f>
        <v>10901102621</v>
      </c>
      <c r="B772" s="3">
        <v>1</v>
      </c>
      <c r="C772" s="3">
        <v>26</v>
      </c>
      <c r="D772" s="3">
        <v>21</v>
      </c>
      <c r="E772" s="3" t="s">
        <v>8</v>
      </c>
      <c r="F772" s="4">
        <v>82.5</v>
      </c>
      <c r="G772" s="4"/>
      <c r="H772" s="4">
        <f t="shared" si="56"/>
        <v>82.5</v>
      </c>
    </row>
    <row r="773" ht="14.25" spans="1:8">
      <c r="A773" s="3" t="str">
        <f>"10901102622"</f>
        <v>10901102622</v>
      </c>
      <c r="B773" s="3">
        <v>1</v>
      </c>
      <c r="C773" s="3">
        <v>26</v>
      </c>
      <c r="D773" s="3">
        <v>22</v>
      </c>
      <c r="E773" s="3" t="s">
        <v>8</v>
      </c>
      <c r="F773" s="4">
        <v>66.5</v>
      </c>
      <c r="G773" s="4"/>
      <c r="H773" s="4">
        <f t="shared" si="56"/>
        <v>66.5</v>
      </c>
    </row>
    <row r="774" ht="14.25" spans="1:8">
      <c r="A774" s="3" t="str">
        <f>"10901102623"</f>
        <v>10901102623</v>
      </c>
      <c r="B774" s="3">
        <v>1</v>
      </c>
      <c r="C774" s="3">
        <v>26</v>
      </c>
      <c r="D774" s="3">
        <v>23</v>
      </c>
      <c r="E774" s="3" t="s">
        <v>8</v>
      </c>
      <c r="F774" s="3">
        <v>0</v>
      </c>
      <c r="G774" s="4"/>
      <c r="H774" s="3">
        <v>0</v>
      </c>
    </row>
    <row r="775" ht="14.25" spans="1:8">
      <c r="A775" s="3" t="str">
        <f>"10901102624"</f>
        <v>10901102624</v>
      </c>
      <c r="B775" s="3">
        <v>1</v>
      </c>
      <c r="C775" s="3">
        <v>26</v>
      </c>
      <c r="D775" s="3">
        <v>24</v>
      </c>
      <c r="E775" s="3" t="s">
        <v>8</v>
      </c>
      <c r="F775" s="4">
        <v>76.5</v>
      </c>
      <c r="G775" s="4"/>
      <c r="H775" s="4">
        <f t="shared" ref="H775:H780" si="57">F775+G775</f>
        <v>76.5</v>
      </c>
    </row>
    <row r="776" ht="14.25" spans="1:8">
      <c r="A776" s="3" t="str">
        <f>"10901102625"</f>
        <v>10901102625</v>
      </c>
      <c r="B776" s="3">
        <v>1</v>
      </c>
      <c r="C776" s="3">
        <v>26</v>
      </c>
      <c r="D776" s="3">
        <v>25</v>
      </c>
      <c r="E776" s="3" t="s">
        <v>8</v>
      </c>
      <c r="F776" s="3">
        <v>0</v>
      </c>
      <c r="G776" s="4"/>
      <c r="H776" s="3">
        <v>0</v>
      </c>
    </row>
    <row r="777" ht="14.25" spans="1:8">
      <c r="A777" s="3" t="str">
        <f>"10901102626"</f>
        <v>10901102626</v>
      </c>
      <c r="B777" s="3">
        <v>1</v>
      </c>
      <c r="C777" s="3">
        <v>26</v>
      </c>
      <c r="D777" s="3">
        <v>26</v>
      </c>
      <c r="E777" s="3" t="s">
        <v>8</v>
      </c>
      <c r="F777" s="4">
        <v>67</v>
      </c>
      <c r="G777" s="4"/>
      <c r="H777" s="4">
        <f t="shared" si="57"/>
        <v>67</v>
      </c>
    </row>
    <row r="778" ht="14.25" spans="1:8">
      <c r="A778" s="3" t="str">
        <f>"10901102627"</f>
        <v>10901102627</v>
      </c>
      <c r="B778" s="3">
        <v>1</v>
      </c>
      <c r="C778" s="3">
        <v>26</v>
      </c>
      <c r="D778" s="3">
        <v>27</v>
      </c>
      <c r="E778" s="3" t="s">
        <v>8</v>
      </c>
      <c r="F778" s="4">
        <v>80.5</v>
      </c>
      <c r="G778" s="4"/>
      <c r="H778" s="4">
        <f t="shared" si="57"/>
        <v>80.5</v>
      </c>
    </row>
    <row r="779" ht="14.25" spans="1:8">
      <c r="A779" s="3" t="str">
        <f>"10901102628"</f>
        <v>10901102628</v>
      </c>
      <c r="B779" s="3">
        <v>1</v>
      </c>
      <c r="C779" s="3">
        <v>26</v>
      </c>
      <c r="D779" s="3">
        <v>28</v>
      </c>
      <c r="E779" s="3" t="s">
        <v>8</v>
      </c>
      <c r="F779" s="4">
        <v>80</v>
      </c>
      <c r="G779" s="4"/>
      <c r="H779" s="4">
        <f t="shared" si="57"/>
        <v>80</v>
      </c>
    </row>
    <row r="780" ht="14.25" spans="1:8">
      <c r="A780" s="3" t="str">
        <f>"10901102629"</f>
        <v>10901102629</v>
      </c>
      <c r="B780" s="3">
        <v>1</v>
      </c>
      <c r="C780" s="3">
        <v>26</v>
      </c>
      <c r="D780" s="3">
        <v>29</v>
      </c>
      <c r="E780" s="3" t="s">
        <v>8</v>
      </c>
      <c r="F780" s="4">
        <v>69</v>
      </c>
      <c r="G780" s="4"/>
      <c r="H780" s="4">
        <f t="shared" si="57"/>
        <v>69</v>
      </c>
    </row>
    <row r="781" ht="14.25" spans="1:8">
      <c r="A781" s="3" t="str">
        <f>"10901102630"</f>
        <v>10901102630</v>
      </c>
      <c r="B781" s="3">
        <v>1</v>
      </c>
      <c r="C781" s="3">
        <v>26</v>
      </c>
      <c r="D781" s="3">
        <v>30</v>
      </c>
      <c r="E781" s="3" t="s">
        <v>8</v>
      </c>
      <c r="F781" s="3">
        <v>0</v>
      </c>
      <c r="G781" s="4"/>
      <c r="H781" s="3">
        <v>0</v>
      </c>
    </row>
    <row r="782" ht="14.25" spans="1:8">
      <c r="A782" s="3" t="str">
        <f>"10901102701"</f>
        <v>10901102701</v>
      </c>
      <c r="B782" s="3">
        <v>1</v>
      </c>
      <c r="C782" s="3">
        <v>27</v>
      </c>
      <c r="D782" s="3">
        <v>1</v>
      </c>
      <c r="E782" s="3" t="s">
        <v>8</v>
      </c>
      <c r="F782" s="4">
        <v>68.5</v>
      </c>
      <c r="G782" s="4"/>
      <c r="H782" s="4">
        <f t="shared" ref="H782:H785" si="58">F782+G782</f>
        <v>68.5</v>
      </c>
    </row>
    <row r="783" ht="14.25" spans="1:8">
      <c r="A783" s="3" t="str">
        <f>"10901102702"</f>
        <v>10901102702</v>
      </c>
      <c r="B783" s="3">
        <v>1</v>
      </c>
      <c r="C783" s="3">
        <v>27</v>
      </c>
      <c r="D783" s="3">
        <v>2</v>
      </c>
      <c r="E783" s="3" t="s">
        <v>8</v>
      </c>
      <c r="F783" s="4">
        <v>66.5</v>
      </c>
      <c r="G783" s="4"/>
      <c r="H783" s="4">
        <f t="shared" si="58"/>
        <v>66.5</v>
      </c>
    </row>
    <row r="784" ht="14.25" spans="1:8">
      <c r="A784" s="3" t="str">
        <f>"10901102703"</f>
        <v>10901102703</v>
      </c>
      <c r="B784" s="3">
        <v>1</v>
      </c>
      <c r="C784" s="3">
        <v>27</v>
      </c>
      <c r="D784" s="3">
        <v>3</v>
      </c>
      <c r="E784" s="3" t="s">
        <v>8</v>
      </c>
      <c r="F784" s="4">
        <v>51.5</v>
      </c>
      <c r="G784" s="4"/>
      <c r="H784" s="4">
        <f t="shared" si="58"/>
        <v>51.5</v>
      </c>
    </row>
    <row r="785" ht="14.25" spans="1:8">
      <c r="A785" s="3" t="str">
        <f>"10901102704"</f>
        <v>10901102704</v>
      </c>
      <c r="B785" s="3">
        <v>1</v>
      </c>
      <c r="C785" s="3">
        <v>27</v>
      </c>
      <c r="D785" s="3">
        <v>4</v>
      </c>
      <c r="E785" s="3" t="s">
        <v>8</v>
      </c>
      <c r="F785" s="4">
        <v>83.5</v>
      </c>
      <c r="G785" s="4"/>
      <c r="H785" s="4">
        <f t="shared" si="58"/>
        <v>83.5</v>
      </c>
    </row>
    <row r="786" ht="14.25" spans="1:8">
      <c r="A786" s="3" t="str">
        <f>"10901102705"</f>
        <v>10901102705</v>
      </c>
      <c r="B786" s="3">
        <v>1</v>
      </c>
      <c r="C786" s="3">
        <v>27</v>
      </c>
      <c r="D786" s="3">
        <v>5</v>
      </c>
      <c r="E786" s="3" t="s">
        <v>8</v>
      </c>
      <c r="F786" s="3">
        <v>0</v>
      </c>
      <c r="G786" s="4"/>
      <c r="H786" s="3">
        <v>0</v>
      </c>
    </row>
    <row r="787" ht="14.25" spans="1:8">
      <c r="A787" s="3" t="str">
        <f>"10901102706"</f>
        <v>10901102706</v>
      </c>
      <c r="B787" s="3">
        <v>1</v>
      </c>
      <c r="C787" s="3">
        <v>27</v>
      </c>
      <c r="D787" s="3">
        <v>6</v>
      </c>
      <c r="E787" s="3" t="s">
        <v>8</v>
      </c>
      <c r="F787" s="4">
        <v>71.5</v>
      </c>
      <c r="G787" s="4"/>
      <c r="H787" s="4">
        <f t="shared" ref="H787:H791" si="59">F787+G787</f>
        <v>71.5</v>
      </c>
    </row>
    <row r="788" ht="14.25" spans="1:8">
      <c r="A788" s="3" t="str">
        <f>"10901102707"</f>
        <v>10901102707</v>
      </c>
      <c r="B788" s="3">
        <v>1</v>
      </c>
      <c r="C788" s="3">
        <v>27</v>
      </c>
      <c r="D788" s="3">
        <v>7</v>
      </c>
      <c r="E788" s="3" t="s">
        <v>8</v>
      </c>
      <c r="F788" s="4">
        <v>84.5</v>
      </c>
      <c r="G788" s="4"/>
      <c r="H788" s="4">
        <f t="shared" si="59"/>
        <v>84.5</v>
      </c>
    </row>
    <row r="789" ht="14.25" spans="1:8">
      <c r="A789" s="3" t="str">
        <f>"10901102708"</f>
        <v>10901102708</v>
      </c>
      <c r="B789" s="3">
        <v>1</v>
      </c>
      <c r="C789" s="3">
        <v>27</v>
      </c>
      <c r="D789" s="3">
        <v>8</v>
      </c>
      <c r="E789" s="3" t="s">
        <v>8</v>
      </c>
      <c r="F789" s="3">
        <v>0</v>
      </c>
      <c r="G789" s="4"/>
      <c r="H789" s="3">
        <v>0</v>
      </c>
    </row>
    <row r="790" ht="14.25" spans="1:8">
      <c r="A790" s="3" t="str">
        <f>"10901102709"</f>
        <v>10901102709</v>
      </c>
      <c r="B790" s="3">
        <v>1</v>
      </c>
      <c r="C790" s="3">
        <v>27</v>
      </c>
      <c r="D790" s="3">
        <v>9</v>
      </c>
      <c r="E790" s="3" t="s">
        <v>8</v>
      </c>
      <c r="F790" s="4">
        <v>84.5</v>
      </c>
      <c r="G790" s="4"/>
      <c r="H790" s="4">
        <f t="shared" si="59"/>
        <v>84.5</v>
      </c>
    </row>
    <row r="791" ht="14.25" spans="1:8">
      <c r="A791" s="3" t="str">
        <f>"10901102710"</f>
        <v>10901102710</v>
      </c>
      <c r="B791" s="3">
        <v>1</v>
      </c>
      <c r="C791" s="3">
        <v>27</v>
      </c>
      <c r="D791" s="3">
        <v>10</v>
      </c>
      <c r="E791" s="3" t="s">
        <v>8</v>
      </c>
      <c r="F791" s="4">
        <v>83</v>
      </c>
      <c r="G791" s="4"/>
      <c r="H791" s="4">
        <f t="shared" si="59"/>
        <v>83</v>
      </c>
    </row>
    <row r="792" ht="14.25" spans="1:8">
      <c r="A792" s="3" t="str">
        <f>"10901102711"</f>
        <v>10901102711</v>
      </c>
      <c r="B792" s="3">
        <v>1</v>
      </c>
      <c r="C792" s="3">
        <v>27</v>
      </c>
      <c r="D792" s="3">
        <v>11</v>
      </c>
      <c r="E792" s="3" t="s">
        <v>8</v>
      </c>
      <c r="F792" s="3">
        <v>0</v>
      </c>
      <c r="G792" s="4"/>
      <c r="H792" s="3">
        <v>0</v>
      </c>
    </row>
    <row r="793" ht="14.25" spans="1:8">
      <c r="A793" s="3" t="str">
        <f>"10901102712"</f>
        <v>10901102712</v>
      </c>
      <c r="B793" s="3">
        <v>1</v>
      </c>
      <c r="C793" s="3">
        <v>27</v>
      </c>
      <c r="D793" s="3">
        <v>12</v>
      </c>
      <c r="E793" s="3" t="s">
        <v>8</v>
      </c>
      <c r="F793" s="4">
        <v>77</v>
      </c>
      <c r="G793" s="4"/>
      <c r="H793" s="4">
        <f t="shared" ref="H793:H797" si="60">F793+G793</f>
        <v>77</v>
      </c>
    </row>
    <row r="794" ht="14.25" spans="1:8">
      <c r="A794" s="3" t="str">
        <f>"10901102713"</f>
        <v>10901102713</v>
      </c>
      <c r="B794" s="3">
        <v>1</v>
      </c>
      <c r="C794" s="3">
        <v>27</v>
      </c>
      <c r="D794" s="3">
        <v>13</v>
      </c>
      <c r="E794" s="3" t="s">
        <v>8</v>
      </c>
      <c r="F794" s="4">
        <v>79</v>
      </c>
      <c r="G794" s="4"/>
      <c r="H794" s="4">
        <f t="shared" si="60"/>
        <v>79</v>
      </c>
    </row>
    <row r="795" ht="14.25" spans="1:8">
      <c r="A795" s="3" t="str">
        <f>"10901102714"</f>
        <v>10901102714</v>
      </c>
      <c r="B795" s="3">
        <v>1</v>
      </c>
      <c r="C795" s="3">
        <v>27</v>
      </c>
      <c r="D795" s="3">
        <v>14</v>
      </c>
      <c r="E795" s="3" t="s">
        <v>8</v>
      </c>
      <c r="F795" s="4">
        <v>70</v>
      </c>
      <c r="G795" s="4"/>
      <c r="H795" s="4">
        <f t="shared" si="60"/>
        <v>70</v>
      </c>
    </row>
    <row r="796" ht="14.25" spans="1:8">
      <c r="A796" s="3" t="str">
        <f>"10901102715"</f>
        <v>10901102715</v>
      </c>
      <c r="B796" s="3">
        <v>1</v>
      </c>
      <c r="C796" s="3">
        <v>27</v>
      </c>
      <c r="D796" s="3">
        <v>15</v>
      </c>
      <c r="E796" s="3" t="s">
        <v>8</v>
      </c>
      <c r="F796" s="4">
        <v>71.5</v>
      </c>
      <c r="G796" s="4"/>
      <c r="H796" s="4">
        <f t="shared" si="60"/>
        <v>71.5</v>
      </c>
    </row>
    <row r="797" ht="14.25" spans="1:8">
      <c r="A797" s="3" t="str">
        <f>"10901102716"</f>
        <v>10901102716</v>
      </c>
      <c r="B797" s="3">
        <v>1</v>
      </c>
      <c r="C797" s="3">
        <v>27</v>
      </c>
      <c r="D797" s="3">
        <v>16</v>
      </c>
      <c r="E797" s="3" t="s">
        <v>8</v>
      </c>
      <c r="F797" s="4">
        <v>53</v>
      </c>
      <c r="G797" s="4"/>
      <c r="H797" s="4">
        <f t="shared" si="60"/>
        <v>53</v>
      </c>
    </row>
    <row r="798" ht="14.25" spans="1:8">
      <c r="A798" s="3" t="str">
        <f>"10901102717"</f>
        <v>10901102717</v>
      </c>
      <c r="B798" s="3">
        <v>1</v>
      </c>
      <c r="C798" s="3">
        <v>27</v>
      </c>
      <c r="D798" s="3">
        <v>17</v>
      </c>
      <c r="E798" s="3" t="s">
        <v>8</v>
      </c>
      <c r="F798" s="3">
        <v>0</v>
      </c>
      <c r="G798" s="4"/>
      <c r="H798" s="3">
        <v>0</v>
      </c>
    </row>
    <row r="799" ht="14.25" spans="1:8">
      <c r="A799" s="3" t="str">
        <f>"10901102718"</f>
        <v>10901102718</v>
      </c>
      <c r="B799" s="3">
        <v>1</v>
      </c>
      <c r="C799" s="3">
        <v>27</v>
      </c>
      <c r="D799" s="3">
        <v>18</v>
      </c>
      <c r="E799" s="3" t="s">
        <v>8</v>
      </c>
      <c r="F799" s="4">
        <v>85.5</v>
      </c>
      <c r="G799" s="4"/>
      <c r="H799" s="4">
        <f t="shared" ref="H799:H801" si="61">F799+G799</f>
        <v>85.5</v>
      </c>
    </row>
    <row r="800" ht="14.25" spans="1:8">
      <c r="A800" s="3" t="str">
        <f>"10901102719"</f>
        <v>10901102719</v>
      </c>
      <c r="B800" s="3">
        <v>1</v>
      </c>
      <c r="C800" s="3">
        <v>27</v>
      </c>
      <c r="D800" s="3">
        <v>19</v>
      </c>
      <c r="E800" s="3" t="s">
        <v>8</v>
      </c>
      <c r="F800" s="4">
        <v>65.5</v>
      </c>
      <c r="G800" s="4"/>
      <c r="H800" s="4">
        <f t="shared" si="61"/>
        <v>65.5</v>
      </c>
    </row>
    <row r="801" ht="14.25" spans="1:8">
      <c r="A801" s="3" t="str">
        <f>"10901102720"</f>
        <v>10901102720</v>
      </c>
      <c r="B801" s="3">
        <v>1</v>
      </c>
      <c r="C801" s="3">
        <v>27</v>
      </c>
      <c r="D801" s="3">
        <v>20</v>
      </c>
      <c r="E801" s="3" t="s">
        <v>8</v>
      </c>
      <c r="F801" s="4">
        <v>82.5</v>
      </c>
      <c r="G801" s="4"/>
      <c r="H801" s="4">
        <f t="shared" si="61"/>
        <v>82.5</v>
      </c>
    </row>
    <row r="802" ht="14.25" spans="1:8">
      <c r="A802" s="3" t="str">
        <f>"10901102721"</f>
        <v>10901102721</v>
      </c>
      <c r="B802" s="3">
        <v>1</v>
      </c>
      <c r="C802" s="3">
        <v>27</v>
      </c>
      <c r="D802" s="3">
        <v>21</v>
      </c>
      <c r="E802" s="3" t="s">
        <v>8</v>
      </c>
      <c r="F802" s="3">
        <v>0</v>
      </c>
      <c r="G802" s="4"/>
      <c r="H802" s="3">
        <v>0</v>
      </c>
    </row>
    <row r="803" ht="14.25" spans="1:8">
      <c r="A803" s="3" t="str">
        <f>"10901102722"</f>
        <v>10901102722</v>
      </c>
      <c r="B803" s="3">
        <v>1</v>
      </c>
      <c r="C803" s="3">
        <v>27</v>
      </c>
      <c r="D803" s="3">
        <v>22</v>
      </c>
      <c r="E803" s="3" t="s">
        <v>8</v>
      </c>
      <c r="F803" s="4">
        <v>79</v>
      </c>
      <c r="G803" s="4"/>
      <c r="H803" s="4">
        <f t="shared" ref="H803:H811" si="62">F803+G803</f>
        <v>79</v>
      </c>
    </row>
    <row r="804" ht="14.25" spans="1:8">
      <c r="A804" s="3" t="str">
        <f>"10901102723"</f>
        <v>10901102723</v>
      </c>
      <c r="B804" s="3">
        <v>1</v>
      </c>
      <c r="C804" s="3">
        <v>27</v>
      </c>
      <c r="D804" s="3">
        <v>23</v>
      </c>
      <c r="E804" s="3" t="s">
        <v>8</v>
      </c>
      <c r="F804" s="4">
        <v>87.5</v>
      </c>
      <c r="G804" s="4"/>
      <c r="H804" s="4">
        <f t="shared" si="62"/>
        <v>87.5</v>
      </c>
    </row>
    <row r="805" ht="14.25" spans="1:8">
      <c r="A805" s="3" t="str">
        <f>"10901102724"</f>
        <v>10901102724</v>
      </c>
      <c r="B805" s="3">
        <v>1</v>
      </c>
      <c r="C805" s="3">
        <v>27</v>
      </c>
      <c r="D805" s="3">
        <v>24</v>
      </c>
      <c r="E805" s="3" t="s">
        <v>8</v>
      </c>
      <c r="F805" s="4">
        <v>71.5</v>
      </c>
      <c r="G805" s="4"/>
      <c r="H805" s="4">
        <f t="shared" si="62"/>
        <v>71.5</v>
      </c>
    </row>
    <row r="806" ht="14.25" spans="1:8">
      <c r="A806" s="3" t="str">
        <f>"10901102725"</f>
        <v>10901102725</v>
      </c>
      <c r="B806" s="3">
        <v>1</v>
      </c>
      <c r="C806" s="3">
        <v>27</v>
      </c>
      <c r="D806" s="3">
        <v>25</v>
      </c>
      <c r="E806" s="3" t="s">
        <v>8</v>
      </c>
      <c r="F806" s="4">
        <v>81.5</v>
      </c>
      <c r="G806" s="4"/>
      <c r="H806" s="4">
        <f t="shared" si="62"/>
        <v>81.5</v>
      </c>
    </row>
    <row r="807" ht="14.25" spans="1:8">
      <c r="A807" s="3" t="str">
        <f>"10901102726"</f>
        <v>10901102726</v>
      </c>
      <c r="B807" s="3">
        <v>1</v>
      </c>
      <c r="C807" s="3">
        <v>27</v>
      </c>
      <c r="D807" s="3">
        <v>26</v>
      </c>
      <c r="E807" s="3" t="s">
        <v>8</v>
      </c>
      <c r="F807" s="4">
        <v>82.5</v>
      </c>
      <c r="G807" s="4"/>
      <c r="H807" s="4">
        <f t="shared" si="62"/>
        <v>82.5</v>
      </c>
    </row>
    <row r="808" ht="14.25" spans="1:8">
      <c r="A808" s="3" t="str">
        <f>"10901102727"</f>
        <v>10901102727</v>
      </c>
      <c r="B808" s="3">
        <v>1</v>
      </c>
      <c r="C808" s="3">
        <v>27</v>
      </c>
      <c r="D808" s="3">
        <v>27</v>
      </c>
      <c r="E808" s="3" t="s">
        <v>8</v>
      </c>
      <c r="F808" s="4">
        <v>69.5</v>
      </c>
      <c r="G808" s="4"/>
      <c r="H808" s="4">
        <f t="shared" si="62"/>
        <v>69.5</v>
      </c>
    </row>
    <row r="809" ht="14.25" spans="1:8">
      <c r="A809" s="3" t="str">
        <f>"10901102728"</f>
        <v>10901102728</v>
      </c>
      <c r="B809" s="3">
        <v>1</v>
      </c>
      <c r="C809" s="3">
        <v>27</v>
      </c>
      <c r="D809" s="3">
        <v>28</v>
      </c>
      <c r="E809" s="3" t="s">
        <v>8</v>
      </c>
      <c r="F809" s="4">
        <v>85.5</v>
      </c>
      <c r="G809" s="4"/>
      <c r="H809" s="4">
        <f t="shared" si="62"/>
        <v>85.5</v>
      </c>
    </row>
    <row r="810" ht="14.25" spans="1:8">
      <c r="A810" s="3" t="str">
        <f>"10901102729"</f>
        <v>10901102729</v>
      </c>
      <c r="B810" s="3">
        <v>1</v>
      </c>
      <c r="C810" s="3">
        <v>27</v>
      </c>
      <c r="D810" s="3">
        <v>29</v>
      </c>
      <c r="E810" s="3" t="s">
        <v>8</v>
      </c>
      <c r="F810" s="4">
        <v>84</v>
      </c>
      <c r="G810" s="4"/>
      <c r="H810" s="4">
        <f t="shared" si="62"/>
        <v>84</v>
      </c>
    </row>
    <row r="811" ht="14.25" spans="1:8">
      <c r="A811" s="3" t="str">
        <f>"10901102730"</f>
        <v>10901102730</v>
      </c>
      <c r="B811" s="3">
        <v>1</v>
      </c>
      <c r="C811" s="3">
        <v>27</v>
      </c>
      <c r="D811" s="3">
        <v>30</v>
      </c>
      <c r="E811" s="3" t="s">
        <v>8</v>
      </c>
      <c r="F811" s="4">
        <v>71.5</v>
      </c>
      <c r="G811" s="4"/>
      <c r="H811" s="4">
        <f t="shared" si="62"/>
        <v>71.5</v>
      </c>
    </row>
    <row r="812" ht="14.25" spans="1:8">
      <c r="A812" s="3" t="str">
        <f>"10901102801"</f>
        <v>10901102801</v>
      </c>
      <c r="B812" s="3">
        <v>1</v>
      </c>
      <c r="C812" s="3">
        <v>28</v>
      </c>
      <c r="D812" s="3">
        <v>1</v>
      </c>
      <c r="E812" s="3" t="s">
        <v>8</v>
      </c>
      <c r="F812" s="3">
        <v>0</v>
      </c>
      <c r="G812" s="4"/>
      <c r="H812" s="3">
        <v>0</v>
      </c>
    </row>
    <row r="813" ht="14.25" spans="1:8">
      <c r="A813" s="3" t="str">
        <f>"10901102802"</f>
        <v>10901102802</v>
      </c>
      <c r="B813" s="3">
        <v>1</v>
      </c>
      <c r="C813" s="3">
        <v>28</v>
      </c>
      <c r="D813" s="3">
        <v>2</v>
      </c>
      <c r="E813" s="3" t="s">
        <v>8</v>
      </c>
      <c r="F813" s="4">
        <v>65</v>
      </c>
      <c r="G813" s="4"/>
      <c r="H813" s="4">
        <f t="shared" ref="H813:H827" si="63">F813+G813</f>
        <v>65</v>
      </c>
    </row>
    <row r="814" ht="14.25" spans="1:8">
      <c r="A814" s="3" t="str">
        <f>"10901102803"</f>
        <v>10901102803</v>
      </c>
      <c r="B814" s="3">
        <v>1</v>
      </c>
      <c r="C814" s="3">
        <v>28</v>
      </c>
      <c r="D814" s="3">
        <v>3</v>
      </c>
      <c r="E814" s="3" t="s">
        <v>8</v>
      </c>
      <c r="F814" s="4">
        <v>60.5</v>
      </c>
      <c r="G814" s="4"/>
      <c r="H814" s="4">
        <f t="shared" si="63"/>
        <v>60.5</v>
      </c>
    </row>
    <row r="815" ht="14.25" spans="1:8">
      <c r="A815" s="3" t="str">
        <f>"10901102804"</f>
        <v>10901102804</v>
      </c>
      <c r="B815" s="3">
        <v>1</v>
      </c>
      <c r="C815" s="3">
        <v>28</v>
      </c>
      <c r="D815" s="3">
        <v>4</v>
      </c>
      <c r="E815" s="3" t="s">
        <v>8</v>
      </c>
      <c r="F815" s="3">
        <v>0</v>
      </c>
      <c r="G815" s="4"/>
      <c r="H815" s="3">
        <v>0</v>
      </c>
    </row>
    <row r="816" ht="14.25" spans="1:8">
      <c r="A816" s="3" t="str">
        <f>"10901102805"</f>
        <v>10901102805</v>
      </c>
      <c r="B816" s="3">
        <v>1</v>
      </c>
      <c r="C816" s="3">
        <v>28</v>
      </c>
      <c r="D816" s="3">
        <v>5</v>
      </c>
      <c r="E816" s="3" t="s">
        <v>8</v>
      </c>
      <c r="F816" s="3">
        <v>0</v>
      </c>
      <c r="G816" s="4"/>
      <c r="H816" s="3">
        <v>0</v>
      </c>
    </row>
    <row r="817" ht="14.25" spans="1:8">
      <c r="A817" s="3" t="str">
        <f>"10901102806"</f>
        <v>10901102806</v>
      </c>
      <c r="B817" s="3">
        <v>1</v>
      </c>
      <c r="C817" s="3">
        <v>28</v>
      </c>
      <c r="D817" s="3">
        <v>6</v>
      </c>
      <c r="E817" s="3" t="s">
        <v>8</v>
      </c>
      <c r="F817" s="3">
        <v>0</v>
      </c>
      <c r="G817" s="4"/>
      <c r="H817" s="3">
        <v>0</v>
      </c>
    </row>
    <row r="818" ht="14.25" spans="1:8">
      <c r="A818" s="3" t="str">
        <f>"10901102807"</f>
        <v>10901102807</v>
      </c>
      <c r="B818" s="3">
        <v>1</v>
      </c>
      <c r="C818" s="3">
        <v>28</v>
      </c>
      <c r="D818" s="3">
        <v>7</v>
      </c>
      <c r="E818" s="3" t="s">
        <v>8</v>
      </c>
      <c r="F818" s="4">
        <v>76.5</v>
      </c>
      <c r="G818" s="4"/>
      <c r="H818" s="4">
        <f t="shared" si="63"/>
        <v>76.5</v>
      </c>
    </row>
    <row r="819" ht="14.25" spans="1:8">
      <c r="A819" s="3" t="str">
        <f>"10901102808"</f>
        <v>10901102808</v>
      </c>
      <c r="B819" s="3">
        <v>1</v>
      </c>
      <c r="C819" s="3">
        <v>28</v>
      </c>
      <c r="D819" s="3">
        <v>8</v>
      </c>
      <c r="E819" s="3" t="s">
        <v>8</v>
      </c>
      <c r="F819" s="4">
        <v>86</v>
      </c>
      <c r="G819" s="4"/>
      <c r="H819" s="4">
        <f t="shared" si="63"/>
        <v>86</v>
      </c>
    </row>
    <row r="820" ht="14.25" spans="1:8">
      <c r="A820" s="3" t="str">
        <f>"10901102809"</f>
        <v>10901102809</v>
      </c>
      <c r="B820" s="3">
        <v>1</v>
      </c>
      <c r="C820" s="3">
        <v>28</v>
      </c>
      <c r="D820" s="3">
        <v>9</v>
      </c>
      <c r="E820" s="3" t="s">
        <v>8</v>
      </c>
      <c r="F820" s="4">
        <v>78.5</v>
      </c>
      <c r="G820" s="4"/>
      <c r="H820" s="4">
        <f t="shared" si="63"/>
        <v>78.5</v>
      </c>
    </row>
    <row r="821" ht="14.25" spans="1:8">
      <c r="A821" s="3" t="str">
        <f>"10901102810"</f>
        <v>10901102810</v>
      </c>
      <c r="B821" s="3">
        <v>1</v>
      </c>
      <c r="C821" s="3">
        <v>28</v>
      </c>
      <c r="D821" s="3">
        <v>10</v>
      </c>
      <c r="E821" s="3" t="s">
        <v>8</v>
      </c>
      <c r="F821" s="4">
        <v>87</v>
      </c>
      <c r="G821" s="4"/>
      <c r="H821" s="4">
        <f t="shared" si="63"/>
        <v>87</v>
      </c>
    </row>
    <row r="822" ht="14.25" spans="1:8">
      <c r="A822" s="3" t="str">
        <f>"10901102811"</f>
        <v>10901102811</v>
      </c>
      <c r="B822" s="3">
        <v>1</v>
      </c>
      <c r="C822" s="3">
        <v>28</v>
      </c>
      <c r="D822" s="3">
        <v>11</v>
      </c>
      <c r="E822" s="3" t="s">
        <v>8</v>
      </c>
      <c r="F822" s="4">
        <v>66</v>
      </c>
      <c r="G822" s="4"/>
      <c r="H822" s="4">
        <f t="shared" si="63"/>
        <v>66</v>
      </c>
    </row>
    <row r="823" ht="14.25" spans="1:8">
      <c r="A823" s="3" t="str">
        <f>"10901102812"</f>
        <v>10901102812</v>
      </c>
      <c r="B823" s="3">
        <v>1</v>
      </c>
      <c r="C823" s="3">
        <v>28</v>
      </c>
      <c r="D823" s="3">
        <v>12</v>
      </c>
      <c r="E823" s="3" t="s">
        <v>8</v>
      </c>
      <c r="F823" s="4">
        <v>57</v>
      </c>
      <c r="G823" s="4"/>
      <c r="H823" s="4">
        <f t="shared" si="63"/>
        <v>57</v>
      </c>
    </row>
    <row r="824" ht="14.25" spans="1:8">
      <c r="A824" s="3" t="str">
        <f>"10901102813"</f>
        <v>10901102813</v>
      </c>
      <c r="B824" s="3">
        <v>1</v>
      </c>
      <c r="C824" s="3">
        <v>28</v>
      </c>
      <c r="D824" s="3">
        <v>13</v>
      </c>
      <c r="E824" s="3" t="s">
        <v>8</v>
      </c>
      <c r="F824" s="4">
        <v>74</v>
      </c>
      <c r="G824" s="4"/>
      <c r="H824" s="4">
        <f t="shared" si="63"/>
        <v>74</v>
      </c>
    </row>
    <row r="825" ht="14.25" spans="1:8">
      <c r="A825" s="3" t="str">
        <f>"10901102814"</f>
        <v>10901102814</v>
      </c>
      <c r="B825" s="3">
        <v>1</v>
      </c>
      <c r="C825" s="3">
        <v>28</v>
      </c>
      <c r="D825" s="3">
        <v>14</v>
      </c>
      <c r="E825" s="3" t="s">
        <v>8</v>
      </c>
      <c r="F825" s="4">
        <v>54.5</v>
      </c>
      <c r="G825" s="4"/>
      <c r="H825" s="4">
        <f t="shared" si="63"/>
        <v>54.5</v>
      </c>
    </row>
    <row r="826" ht="14.25" spans="1:8">
      <c r="A826" s="3" t="str">
        <f>"10901102815"</f>
        <v>10901102815</v>
      </c>
      <c r="B826" s="3">
        <v>1</v>
      </c>
      <c r="C826" s="3">
        <v>28</v>
      </c>
      <c r="D826" s="3">
        <v>15</v>
      </c>
      <c r="E826" s="3" t="s">
        <v>8</v>
      </c>
      <c r="F826" s="4">
        <v>76</v>
      </c>
      <c r="G826" s="4"/>
      <c r="H826" s="4">
        <f t="shared" si="63"/>
        <v>76</v>
      </c>
    </row>
    <row r="827" ht="14.25" spans="1:8">
      <c r="A827" s="3" t="str">
        <f>"10901102816"</f>
        <v>10901102816</v>
      </c>
      <c r="B827" s="3">
        <v>1</v>
      </c>
      <c r="C827" s="3">
        <v>28</v>
      </c>
      <c r="D827" s="3">
        <v>16</v>
      </c>
      <c r="E827" s="3" t="s">
        <v>8</v>
      </c>
      <c r="F827" s="4">
        <v>80.5</v>
      </c>
      <c r="G827" s="4"/>
      <c r="H827" s="4">
        <f t="shared" si="63"/>
        <v>80.5</v>
      </c>
    </row>
    <row r="828" ht="14.25" spans="1:8">
      <c r="A828" s="3" t="str">
        <f>"10901102817"</f>
        <v>10901102817</v>
      </c>
      <c r="B828" s="3">
        <v>1</v>
      </c>
      <c r="C828" s="3">
        <v>28</v>
      </c>
      <c r="D828" s="3">
        <v>17</v>
      </c>
      <c r="E828" s="3" t="s">
        <v>8</v>
      </c>
      <c r="F828" s="3">
        <v>0</v>
      </c>
      <c r="G828" s="4"/>
      <c r="H828" s="3">
        <v>0</v>
      </c>
    </row>
    <row r="829" ht="14.25" spans="1:8">
      <c r="A829" s="3" t="str">
        <f>"10901102818"</f>
        <v>10901102818</v>
      </c>
      <c r="B829" s="3">
        <v>1</v>
      </c>
      <c r="C829" s="3">
        <v>28</v>
      </c>
      <c r="D829" s="3">
        <v>18</v>
      </c>
      <c r="E829" s="3" t="s">
        <v>8</v>
      </c>
      <c r="F829" s="3">
        <v>0</v>
      </c>
      <c r="G829" s="4"/>
      <c r="H829" s="3">
        <v>0</v>
      </c>
    </row>
    <row r="830" ht="14.25" spans="1:8">
      <c r="A830" s="3" t="str">
        <f>"10901102819"</f>
        <v>10901102819</v>
      </c>
      <c r="B830" s="3">
        <v>1</v>
      </c>
      <c r="C830" s="3">
        <v>28</v>
      </c>
      <c r="D830" s="3">
        <v>19</v>
      </c>
      <c r="E830" s="3" t="s">
        <v>8</v>
      </c>
      <c r="F830" s="4">
        <v>87</v>
      </c>
      <c r="G830" s="4"/>
      <c r="H830" s="4">
        <f t="shared" ref="H830:H835" si="64">F830+G830</f>
        <v>87</v>
      </c>
    </row>
    <row r="831" ht="14.25" spans="1:8">
      <c r="A831" s="3" t="str">
        <f>"10901102820"</f>
        <v>10901102820</v>
      </c>
      <c r="B831" s="3">
        <v>1</v>
      </c>
      <c r="C831" s="3">
        <v>28</v>
      </c>
      <c r="D831" s="3">
        <v>20</v>
      </c>
      <c r="E831" s="3" t="s">
        <v>8</v>
      </c>
      <c r="F831" s="4">
        <v>62</v>
      </c>
      <c r="G831" s="4"/>
      <c r="H831" s="4">
        <f t="shared" si="64"/>
        <v>62</v>
      </c>
    </row>
    <row r="832" ht="14.25" spans="1:8">
      <c r="A832" s="3" t="str">
        <f>"10901102821"</f>
        <v>10901102821</v>
      </c>
      <c r="B832" s="3">
        <v>1</v>
      </c>
      <c r="C832" s="3">
        <v>28</v>
      </c>
      <c r="D832" s="3">
        <v>21</v>
      </c>
      <c r="E832" s="3" t="s">
        <v>8</v>
      </c>
      <c r="F832" s="4">
        <v>66</v>
      </c>
      <c r="G832" s="4"/>
      <c r="H832" s="4">
        <f t="shared" si="64"/>
        <v>66</v>
      </c>
    </row>
    <row r="833" ht="14.25" spans="1:8">
      <c r="A833" s="3" t="str">
        <f>"10901102822"</f>
        <v>10901102822</v>
      </c>
      <c r="B833" s="3">
        <v>1</v>
      </c>
      <c r="C833" s="3">
        <v>28</v>
      </c>
      <c r="D833" s="3">
        <v>22</v>
      </c>
      <c r="E833" s="3" t="s">
        <v>8</v>
      </c>
      <c r="F833" s="4">
        <v>82</v>
      </c>
      <c r="G833" s="4"/>
      <c r="H833" s="4">
        <f t="shared" si="64"/>
        <v>82</v>
      </c>
    </row>
    <row r="834" ht="14.25" spans="1:8">
      <c r="A834" s="3" t="str">
        <f>"10901102823"</f>
        <v>10901102823</v>
      </c>
      <c r="B834" s="3">
        <v>1</v>
      </c>
      <c r="C834" s="3">
        <v>28</v>
      </c>
      <c r="D834" s="3">
        <v>23</v>
      </c>
      <c r="E834" s="3" t="s">
        <v>8</v>
      </c>
      <c r="F834" s="4">
        <v>88.5</v>
      </c>
      <c r="G834" s="4"/>
      <c r="H834" s="4">
        <f t="shared" si="64"/>
        <v>88.5</v>
      </c>
    </row>
    <row r="835" ht="14.25" spans="1:8">
      <c r="A835" s="3" t="str">
        <f>"10901102824"</f>
        <v>10901102824</v>
      </c>
      <c r="B835" s="3">
        <v>1</v>
      </c>
      <c r="C835" s="3">
        <v>28</v>
      </c>
      <c r="D835" s="3">
        <v>24</v>
      </c>
      <c r="E835" s="3" t="s">
        <v>8</v>
      </c>
      <c r="F835" s="4">
        <v>80</v>
      </c>
      <c r="G835" s="4"/>
      <c r="H835" s="4">
        <f t="shared" si="64"/>
        <v>80</v>
      </c>
    </row>
    <row r="836" ht="14.25" spans="1:8">
      <c r="A836" s="3" t="str">
        <f>"10901102825"</f>
        <v>10901102825</v>
      </c>
      <c r="B836" s="3">
        <v>1</v>
      </c>
      <c r="C836" s="3">
        <v>28</v>
      </c>
      <c r="D836" s="3">
        <v>25</v>
      </c>
      <c r="E836" s="3" t="s">
        <v>8</v>
      </c>
      <c r="F836" s="3">
        <v>0</v>
      </c>
      <c r="G836" s="4"/>
      <c r="H836" s="3">
        <v>0</v>
      </c>
    </row>
    <row r="837" ht="14.25" spans="1:8">
      <c r="A837" s="3" t="str">
        <f>"10901102826"</f>
        <v>10901102826</v>
      </c>
      <c r="B837" s="3">
        <v>1</v>
      </c>
      <c r="C837" s="3">
        <v>28</v>
      </c>
      <c r="D837" s="3">
        <v>26</v>
      </c>
      <c r="E837" s="3" t="s">
        <v>8</v>
      </c>
      <c r="F837" s="3">
        <v>0</v>
      </c>
      <c r="G837" s="4"/>
      <c r="H837" s="3">
        <v>0</v>
      </c>
    </row>
    <row r="838" ht="14.25" spans="1:8">
      <c r="A838" s="3" t="str">
        <f>"10901102827"</f>
        <v>10901102827</v>
      </c>
      <c r="B838" s="3">
        <v>1</v>
      </c>
      <c r="C838" s="3">
        <v>28</v>
      </c>
      <c r="D838" s="3">
        <v>27</v>
      </c>
      <c r="E838" s="3" t="s">
        <v>8</v>
      </c>
      <c r="F838" s="3">
        <v>0</v>
      </c>
      <c r="G838" s="4"/>
      <c r="H838" s="3">
        <v>0</v>
      </c>
    </row>
    <row r="839" ht="14.25" spans="1:8">
      <c r="A839" s="3" t="str">
        <f>"10901102828"</f>
        <v>10901102828</v>
      </c>
      <c r="B839" s="3">
        <v>1</v>
      </c>
      <c r="C839" s="3">
        <v>28</v>
      </c>
      <c r="D839" s="3">
        <v>28</v>
      </c>
      <c r="E839" s="3" t="s">
        <v>8</v>
      </c>
      <c r="F839" s="4">
        <v>83.5</v>
      </c>
      <c r="G839" s="4"/>
      <c r="H839" s="4">
        <f t="shared" ref="H839:H843" si="65">F839+G839</f>
        <v>83.5</v>
      </c>
    </row>
    <row r="840" ht="14.25" spans="1:8">
      <c r="A840" s="3" t="str">
        <f>"10901102829"</f>
        <v>10901102829</v>
      </c>
      <c r="B840" s="3">
        <v>1</v>
      </c>
      <c r="C840" s="3">
        <v>28</v>
      </c>
      <c r="D840" s="3">
        <v>29</v>
      </c>
      <c r="E840" s="3" t="s">
        <v>8</v>
      </c>
      <c r="F840" s="3">
        <v>0</v>
      </c>
      <c r="G840" s="4"/>
      <c r="H840" s="3">
        <v>0</v>
      </c>
    </row>
    <row r="841" ht="14.25" spans="1:8">
      <c r="A841" s="3" t="str">
        <f>"10901102830"</f>
        <v>10901102830</v>
      </c>
      <c r="B841" s="3">
        <v>1</v>
      </c>
      <c r="C841" s="3">
        <v>28</v>
      </c>
      <c r="D841" s="3">
        <v>30</v>
      </c>
      <c r="E841" s="3" t="s">
        <v>8</v>
      </c>
      <c r="F841" s="4">
        <v>74.5</v>
      </c>
      <c r="G841" s="4"/>
      <c r="H841" s="4">
        <f t="shared" si="65"/>
        <v>74.5</v>
      </c>
    </row>
    <row r="842" ht="14.25" spans="1:8">
      <c r="A842" s="3" t="str">
        <f>"10901102901"</f>
        <v>10901102901</v>
      </c>
      <c r="B842" s="3">
        <v>1</v>
      </c>
      <c r="C842" s="3">
        <v>29</v>
      </c>
      <c r="D842" s="3">
        <v>1</v>
      </c>
      <c r="E842" s="3" t="s">
        <v>8</v>
      </c>
      <c r="F842" s="3">
        <v>0</v>
      </c>
      <c r="G842" s="4"/>
      <c r="H842" s="3">
        <v>0</v>
      </c>
    </row>
    <row r="843" ht="14.25" spans="1:8">
      <c r="A843" s="3" t="str">
        <f>"10901102902"</f>
        <v>10901102902</v>
      </c>
      <c r="B843" s="3">
        <v>1</v>
      </c>
      <c r="C843" s="3">
        <v>29</v>
      </c>
      <c r="D843" s="3">
        <v>2</v>
      </c>
      <c r="E843" s="3" t="s">
        <v>8</v>
      </c>
      <c r="F843" s="4">
        <v>75.5</v>
      </c>
      <c r="G843" s="4"/>
      <c r="H843" s="4">
        <f t="shared" si="65"/>
        <v>75.5</v>
      </c>
    </row>
    <row r="844" ht="14.25" spans="1:8">
      <c r="A844" s="3" t="str">
        <f>"10901102903"</f>
        <v>10901102903</v>
      </c>
      <c r="B844" s="3">
        <v>1</v>
      </c>
      <c r="C844" s="3">
        <v>29</v>
      </c>
      <c r="D844" s="3">
        <v>3</v>
      </c>
      <c r="E844" s="3" t="s">
        <v>8</v>
      </c>
      <c r="F844" s="3">
        <v>0</v>
      </c>
      <c r="G844" s="4"/>
      <c r="H844" s="3">
        <v>0</v>
      </c>
    </row>
    <row r="845" ht="14.25" spans="1:8">
      <c r="A845" s="3" t="str">
        <f>"10901102904"</f>
        <v>10901102904</v>
      </c>
      <c r="B845" s="3">
        <v>1</v>
      </c>
      <c r="C845" s="3">
        <v>29</v>
      </c>
      <c r="D845" s="3">
        <v>4</v>
      </c>
      <c r="E845" s="3" t="s">
        <v>8</v>
      </c>
      <c r="F845" s="4">
        <v>79</v>
      </c>
      <c r="G845" s="4"/>
      <c r="H845" s="4">
        <f t="shared" ref="H845:H847" si="66">F845+G845</f>
        <v>79</v>
      </c>
    </row>
    <row r="846" ht="14.25" spans="1:8">
      <c r="A846" s="3" t="str">
        <f>"10901102905"</f>
        <v>10901102905</v>
      </c>
      <c r="B846" s="3">
        <v>1</v>
      </c>
      <c r="C846" s="3">
        <v>29</v>
      </c>
      <c r="D846" s="3">
        <v>5</v>
      </c>
      <c r="E846" s="3" t="s">
        <v>8</v>
      </c>
      <c r="F846" s="4">
        <v>82</v>
      </c>
      <c r="G846" s="4"/>
      <c r="H846" s="4">
        <f t="shared" si="66"/>
        <v>82</v>
      </c>
    </row>
    <row r="847" ht="14.25" spans="1:8">
      <c r="A847" s="3" t="str">
        <f>"10901102906"</f>
        <v>10901102906</v>
      </c>
      <c r="B847" s="3">
        <v>1</v>
      </c>
      <c r="C847" s="3">
        <v>29</v>
      </c>
      <c r="D847" s="3">
        <v>6</v>
      </c>
      <c r="E847" s="3" t="s">
        <v>8</v>
      </c>
      <c r="F847" s="4">
        <v>63</v>
      </c>
      <c r="G847" s="4"/>
      <c r="H847" s="4">
        <f t="shared" si="66"/>
        <v>63</v>
      </c>
    </row>
    <row r="848" ht="14.25" spans="1:8">
      <c r="A848" s="3" t="str">
        <f>"10901102907"</f>
        <v>10901102907</v>
      </c>
      <c r="B848" s="3">
        <v>1</v>
      </c>
      <c r="C848" s="3">
        <v>29</v>
      </c>
      <c r="D848" s="3">
        <v>7</v>
      </c>
      <c r="E848" s="3" t="s">
        <v>8</v>
      </c>
      <c r="F848" s="3">
        <v>0</v>
      </c>
      <c r="G848" s="4"/>
      <c r="H848" s="3">
        <v>0</v>
      </c>
    </row>
    <row r="849" ht="14.25" spans="1:8">
      <c r="A849" s="3" t="str">
        <f>"10901102908"</f>
        <v>10901102908</v>
      </c>
      <c r="B849" s="3">
        <v>1</v>
      </c>
      <c r="C849" s="3">
        <v>29</v>
      </c>
      <c r="D849" s="3">
        <v>8</v>
      </c>
      <c r="E849" s="3" t="s">
        <v>8</v>
      </c>
      <c r="F849" s="4">
        <v>74.5</v>
      </c>
      <c r="G849" s="4"/>
      <c r="H849" s="4">
        <f t="shared" ref="H849:H872" si="67">F849+G849</f>
        <v>74.5</v>
      </c>
    </row>
    <row r="850" ht="14.25" spans="1:8">
      <c r="A850" s="3" t="str">
        <f>"10901102909"</f>
        <v>10901102909</v>
      </c>
      <c r="B850" s="3">
        <v>1</v>
      </c>
      <c r="C850" s="3">
        <v>29</v>
      </c>
      <c r="D850" s="3">
        <v>9</v>
      </c>
      <c r="E850" s="3" t="s">
        <v>8</v>
      </c>
      <c r="F850" s="4">
        <v>76.5</v>
      </c>
      <c r="G850" s="4"/>
      <c r="H850" s="4">
        <f t="shared" si="67"/>
        <v>76.5</v>
      </c>
    </row>
    <row r="851" ht="14.25" spans="1:8">
      <c r="A851" s="3" t="str">
        <f>"10901102910"</f>
        <v>10901102910</v>
      </c>
      <c r="B851" s="3">
        <v>1</v>
      </c>
      <c r="C851" s="3">
        <v>29</v>
      </c>
      <c r="D851" s="3">
        <v>10</v>
      </c>
      <c r="E851" s="3" t="s">
        <v>8</v>
      </c>
      <c r="F851" s="3">
        <v>0</v>
      </c>
      <c r="G851" s="4"/>
      <c r="H851" s="3">
        <v>0</v>
      </c>
    </row>
    <row r="852" ht="14.25" spans="1:8">
      <c r="A852" s="3" t="str">
        <f>"10901102911"</f>
        <v>10901102911</v>
      </c>
      <c r="B852" s="3">
        <v>1</v>
      </c>
      <c r="C852" s="3">
        <v>29</v>
      </c>
      <c r="D852" s="3">
        <v>11</v>
      </c>
      <c r="E852" s="3" t="s">
        <v>8</v>
      </c>
      <c r="F852" s="4">
        <v>47</v>
      </c>
      <c r="G852" s="4"/>
      <c r="H852" s="4">
        <f t="shared" si="67"/>
        <v>47</v>
      </c>
    </row>
    <row r="853" ht="14.25" spans="1:8">
      <c r="A853" s="3" t="str">
        <f>"10901102912"</f>
        <v>10901102912</v>
      </c>
      <c r="B853" s="3">
        <v>1</v>
      </c>
      <c r="C853" s="3">
        <v>29</v>
      </c>
      <c r="D853" s="3">
        <v>12</v>
      </c>
      <c r="E853" s="3" t="s">
        <v>8</v>
      </c>
      <c r="F853" s="4">
        <v>76.5</v>
      </c>
      <c r="G853" s="4"/>
      <c r="H853" s="4">
        <f t="shared" si="67"/>
        <v>76.5</v>
      </c>
    </row>
    <row r="854" ht="14.25" spans="1:8">
      <c r="A854" s="3" t="str">
        <f>"10901102913"</f>
        <v>10901102913</v>
      </c>
      <c r="B854" s="3">
        <v>1</v>
      </c>
      <c r="C854" s="3">
        <v>29</v>
      </c>
      <c r="D854" s="3">
        <v>13</v>
      </c>
      <c r="E854" s="3" t="s">
        <v>8</v>
      </c>
      <c r="F854" s="4">
        <v>84.5</v>
      </c>
      <c r="G854" s="4"/>
      <c r="H854" s="4">
        <f t="shared" si="67"/>
        <v>84.5</v>
      </c>
    </row>
    <row r="855" ht="14.25" spans="1:8">
      <c r="A855" s="3" t="str">
        <f>"10901102914"</f>
        <v>10901102914</v>
      </c>
      <c r="B855" s="3">
        <v>1</v>
      </c>
      <c r="C855" s="3">
        <v>29</v>
      </c>
      <c r="D855" s="3">
        <v>14</v>
      </c>
      <c r="E855" s="3" t="s">
        <v>8</v>
      </c>
      <c r="F855" s="4">
        <v>68</v>
      </c>
      <c r="G855" s="4"/>
      <c r="H855" s="4">
        <f t="shared" si="67"/>
        <v>68</v>
      </c>
    </row>
    <row r="856" ht="14.25" spans="1:8">
      <c r="A856" s="3" t="str">
        <f>"10901102915"</f>
        <v>10901102915</v>
      </c>
      <c r="B856" s="3">
        <v>1</v>
      </c>
      <c r="C856" s="3">
        <v>29</v>
      </c>
      <c r="D856" s="3">
        <v>15</v>
      </c>
      <c r="E856" s="3" t="s">
        <v>8</v>
      </c>
      <c r="F856" s="4">
        <v>87</v>
      </c>
      <c r="G856" s="4"/>
      <c r="H856" s="4">
        <f t="shared" si="67"/>
        <v>87</v>
      </c>
    </row>
    <row r="857" ht="14.25" spans="1:8">
      <c r="A857" s="3" t="str">
        <f>"10901102916"</f>
        <v>10901102916</v>
      </c>
      <c r="B857" s="3">
        <v>1</v>
      </c>
      <c r="C857" s="3">
        <v>29</v>
      </c>
      <c r="D857" s="3">
        <v>16</v>
      </c>
      <c r="E857" s="3" t="s">
        <v>8</v>
      </c>
      <c r="F857" s="4">
        <v>70.5</v>
      </c>
      <c r="G857" s="4"/>
      <c r="H857" s="4">
        <f t="shared" si="67"/>
        <v>70.5</v>
      </c>
    </row>
    <row r="858" ht="14.25" spans="1:8">
      <c r="A858" s="3" t="str">
        <f>"10901102917"</f>
        <v>10901102917</v>
      </c>
      <c r="B858" s="3">
        <v>1</v>
      </c>
      <c r="C858" s="3">
        <v>29</v>
      </c>
      <c r="D858" s="3">
        <v>17</v>
      </c>
      <c r="E858" s="3" t="s">
        <v>8</v>
      </c>
      <c r="F858" s="4">
        <v>83</v>
      </c>
      <c r="G858" s="4"/>
      <c r="H858" s="4">
        <f t="shared" si="67"/>
        <v>83</v>
      </c>
    </row>
    <row r="859" ht="14.25" spans="1:8">
      <c r="A859" s="3" t="str">
        <f>"10901102918"</f>
        <v>10901102918</v>
      </c>
      <c r="B859" s="3">
        <v>1</v>
      </c>
      <c r="C859" s="3">
        <v>29</v>
      </c>
      <c r="D859" s="3">
        <v>18</v>
      </c>
      <c r="E859" s="3" t="s">
        <v>8</v>
      </c>
      <c r="F859" s="4">
        <v>79.5</v>
      </c>
      <c r="G859" s="4"/>
      <c r="H859" s="4">
        <f t="shared" si="67"/>
        <v>79.5</v>
      </c>
    </row>
    <row r="860" ht="14.25" spans="1:8">
      <c r="A860" s="3" t="str">
        <f>"10901102919"</f>
        <v>10901102919</v>
      </c>
      <c r="B860" s="3">
        <v>1</v>
      </c>
      <c r="C860" s="3">
        <v>29</v>
      </c>
      <c r="D860" s="3">
        <v>19</v>
      </c>
      <c r="E860" s="3" t="s">
        <v>8</v>
      </c>
      <c r="F860" s="4">
        <v>85.5</v>
      </c>
      <c r="G860" s="4"/>
      <c r="H860" s="4">
        <f t="shared" si="67"/>
        <v>85.5</v>
      </c>
    </row>
    <row r="861" ht="14.25" spans="1:8">
      <c r="A861" s="3" t="str">
        <f>"10901102920"</f>
        <v>10901102920</v>
      </c>
      <c r="B861" s="3">
        <v>1</v>
      </c>
      <c r="C861" s="3">
        <v>29</v>
      </c>
      <c r="D861" s="3">
        <v>20</v>
      </c>
      <c r="E861" s="3" t="s">
        <v>8</v>
      </c>
      <c r="F861" s="4">
        <v>60.5</v>
      </c>
      <c r="G861" s="4"/>
      <c r="H861" s="4">
        <f t="shared" si="67"/>
        <v>60.5</v>
      </c>
    </row>
    <row r="862" ht="14.25" spans="1:8">
      <c r="A862" s="3" t="str">
        <f>"10901102921"</f>
        <v>10901102921</v>
      </c>
      <c r="B862" s="3">
        <v>1</v>
      </c>
      <c r="C862" s="3">
        <v>29</v>
      </c>
      <c r="D862" s="3">
        <v>21</v>
      </c>
      <c r="E862" s="3" t="s">
        <v>8</v>
      </c>
      <c r="F862" s="4">
        <v>82</v>
      </c>
      <c r="G862" s="4"/>
      <c r="H862" s="4">
        <f t="shared" si="67"/>
        <v>82</v>
      </c>
    </row>
    <row r="863" ht="14.25" spans="1:8">
      <c r="A863" s="3" t="str">
        <f>"10901102922"</f>
        <v>10901102922</v>
      </c>
      <c r="B863" s="3">
        <v>1</v>
      </c>
      <c r="C863" s="3">
        <v>29</v>
      </c>
      <c r="D863" s="3">
        <v>22</v>
      </c>
      <c r="E863" s="3" t="s">
        <v>8</v>
      </c>
      <c r="F863" s="4">
        <v>76</v>
      </c>
      <c r="G863" s="4"/>
      <c r="H863" s="4">
        <f t="shared" si="67"/>
        <v>76</v>
      </c>
    </row>
    <row r="864" ht="14.25" spans="1:8">
      <c r="A864" s="3" t="str">
        <f>"10901102923"</f>
        <v>10901102923</v>
      </c>
      <c r="B864" s="3">
        <v>1</v>
      </c>
      <c r="C864" s="3">
        <v>29</v>
      </c>
      <c r="D864" s="3">
        <v>23</v>
      </c>
      <c r="E864" s="3" t="s">
        <v>8</v>
      </c>
      <c r="F864" s="4">
        <v>71</v>
      </c>
      <c r="G864" s="4"/>
      <c r="H864" s="4">
        <f t="shared" si="67"/>
        <v>71</v>
      </c>
    </row>
    <row r="865" ht="14.25" spans="1:8">
      <c r="A865" s="3" t="str">
        <f>"10901102924"</f>
        <v>10901102924</v>
      </c>
      <c r="B865" s="3">
        <v>1</v>
      </c>
      <c r="C865" s="3">
        <v>29</v>
      </c>
      <c r="D865" s="3">
        <v>24</v>
      </c>
      <c r="E865" s="3" t="s">
        <v>8</v>
      </c>
      <c r="F865" s="4">
        <v>63.5</v>
      </c>
      <c r="G865" s="4"/>
      <c r="H865" s="4">
        <f t="shared" si="67"/>
        <v>63.5</v>
      </c>
    </row>
    <row r="866" ht="14.25" spans="1:8">
      <c r="A866" s="3" t="str">
        <f>"10901102925"</f>
        <v>10901102925</v>
      </c>
      <c r="B866" s="3">
        <v>1</v>
      </c>
      <c r="C866" s="3">
        <v>29</v>
      </c>
      <c r="D866" s="3">
        <v>25</v>
      </c>
      <c r="E866" s="3" t="s">
        <v>8</v>
      </c>
      <c r="F866" s="4">
        <v>75</v>
      </c>
      <c r="G866" s="4"/>
      <c r="H866" s="4">
        <f t="shared" si="67"/>
        <v>75</v>
      </c>
    </row>
    <row r="867" ht="14.25" spans="1:8">
      <c r="A867" s="3" t="str">
        <f>"10901102926"</f>
        <v>10901102926</v>
      </c>
      <c r="B867" s="3">
        <v>1</v>
      </c>
      <c r="C867" s="3">
        <v>29</v>
      </c>
      <c r="D867" s="3">
        <v>26</v>
      </c>
      <c r="E867" s="3" t="s">
        <v>8</v>
      </c>
      <c r="F867" s="4">
        <v>83.5</v>
      </c>
      <c r="G867" s="4"/>
      <c r="H867" s="4">
        <f t="shared" si="67"/>
        <v>83.5</v>
      </c>
    </row>
    <row r="868" ht="14.25" spans="1:8">
      <c r="A868" s="3" t="str">
        <f>"10901102927"</f>
        <v>10901102927</v>
      </c>
      <c r="B868" s="3">
        <v>1</v>
      </c>
      <c r="C868" s="3">
        <v>29</v>
      </c>
      <c r="D868" s="3">
        <v>27</v>
      </c>
      <c r="E868" s="3" t="s">
        <v>8</v>
      </c>
      <c r="F868" s="4">
        <v>35.5</v>
      </c>
      <c r="G868" s="4"/>
      <c r="H868" s="4">
        <f t="shared" si="67"/>
        <v>35.5</v>
      </c>
    </row>
    <row r="869" ht="14.25" spans="1:8">
      <c r="A869" s="3" t="str">
        <f>"10901102928"</f>
        <v>10901102928</v>
      </c>
      <c r="B869" s="3">
        <v>1</v>
      </c>
      <c r="C869" s="3">
        <v>29</v>
      </c>
      <c r="D869" s="3">
        <v>28</v>
      </c>
      <c r="E869" s="3" t="s">
        <v>8</v>
      </c>
      <c r="F869" s="4">
        <v>78</v>
      </c>
      <c r="G869" s="4"/>
      <c r="H869" s="4">
        <f t="shared" si="67"/>
        <v>78</v>
      </c>
    </row>
    <row r="870" ht="14.25" spans="1:8">
      <c r="A870" s="3" t="str">
        <f>"10901102929"</f>
        <v>10901102929</v>
      </c>
      <c r="B870" s="3">
        <v>1</v>
      </c>
      <c r="C870" s="3">
        <v>29</v>
      </c>
      <c r="D870" s="3">
        <v>29</v>
      </c>
      <c r="E870" s="3" t="s">
        <v>8</v>
      </c>
      <c r="F870" s="4">
        <v>81</v>
      </c>
      <c r="G870" s="4"/>
      <c r="H870" s="4">
        <f t="shared" si="67"/>
        <v>81</v>
      </c>
    </row>
    <row r="871" ht="14.25" spans="1:8">
      <c r="A871" s="3" t="str">
        <f>"10901102930"</f>
        <v>10901102930</v>
      </c>
      <c r="B871" s="3">
        <v>1</v>
      </c>
      <c r="C871" s="3">
        <v>29</v>
      </c>
      <c r="D871" s="3">
        <v>30</v>
      </c>
      <c r="E871" s="3" t="s">
        <v>8</v>
      </c>
      <c r="F871" s="4">
        <v>85.5</v>
      </c>
      <c r="G871" s="4"/>
      <c r="H871" s="4">
        <f t="shared" si="67"/>
        <v>85.5</v>
      </c>
    </row>
    <row r="872" ht="14.25" spans="1:8">
      <c r="A872" s="3" t="str">
        <f>"10901103001"</f>
        <v>10901103001</v>
      </c>
      <c r="B872" s="3">
        <v>1</v>
      </c>
      <c r="C872" s="3">
        <v>30</v>
      </c>
      <c r="D872" s="3">
        <v>1</v>
      </c>
      <c r="E872" s="3" t="s">
        <v>8</v>
      </c>
      <c r="F872" s="4">
        <v>76</v>
      </c>
      <c r="G872" s="4"/>
      <c r="H872" s="4">
        <f t="shared" si="67"/>
        <v>76</v>
      </c>
    </row>
    <row r="873" ht="14.25" spans="1:8">
      <c r="A873" s="3" t="str">
        <f>"10901103002"</f>
        <v>10901103002</v>
      </c>
      <c r="B873" s="3">
        <v>1</v>
      </c>
      <c r="C873" s="3">
        <v>30</v>
      </c>
      <c r="D873" s="3">
        <v>2</v>
      </c>
      <c r="E873" s="3" t="s">
        <v>8</v>
      </c>
      <c r="F873" s="3">
        <v>0</v>
      </c>
      <c r="G873" s="4"/>
      <c r="H873" s="3">
        <v>0</v>
      </c>
    </row>
    <row r="874" ht="14.25" spans="1:8">
      <c r="A874" s="3" t="str">
        <f>"10901103003"</f>
        <v>10901103003</v>
      </c>
      <c r="B874" s="3">
        <v>1</v>
      </c>
      <c r="C874" s="3">
        <v>30</v>
      </c>
      <c r="D874" s="3">
        <v>3</v>
      </c>
      <c r="E874" s="3" t="s">
        <v>8</v>
      </c>
      <c r="F874" s="4">
        <v>81</v>
      </c>
      <c r="G874" s="4"/>
      <c r="H874" s="4">
        <f t="shared" ref="H874:H880" si="68">F874+G874</f>
        <v>81</v>
      </c>
    </row>
    <row r="875" ht="14.25" spans="1:8">
      <c r="A875" s="3" t="str">
        <f>"10901103004"</f>
        <v>10901103004</v>
      </c>
      <c r="B875" s="3">
        <v>1</v>
      </c>
      <c r="C875" s="3">
        <v>30</v>
      </c>
      <c r="D875" s="3">
        <v>4</v>
      </c>
      <c r="E875" s="3" t="s">
        <v>8</v>
      </c>
      <c r="F875" s="4">
        <v>86.5</v>
      </c>
      <c r="G875" s="4"/>
      <c r="H875" s="4">
        <f t="shared" si="68"/>
        <v>86.5</v>
      </c>
    </row>
    <row r="876" ht="14.25" spans="1:8">
      <c r="A876" s="3" t="str">
        <f>"10901103005"</f>
        <v>10901103005</v>
      </c>
      <c r="B876" s="3">
        <v>1</v>
      </c>
      <c r="C876" s="3">
        <v>30</v>
      </c>
      <c r="D876" s="3">
        <v>5</v>
      </c>
      <c r="E876" s="3" t="s">
        <v>8</v>
      </c>
      <c r="F876" s="4">
        <v>85.5</v>
      </c>
      <c r="G876" s="4"/>
      <c r="H876" s="4">
        <f t="shared" si="68"/>
        <v>85.5</v>
      </c>
    </row>
    <row r="877" ht="14.25" spans="1:8">
      <c r="A877" s="3" t="str">
        <f>"10901103006"</f>
        <v>10901103006</v>
      </c>
      <c r="B877" s="3">
        <v>1</v>
      </c>
      <c r="C877" s="3">
        <v>30</v>
      </c>
      <c r="D877" s="3">
        <v>6</v>
      </c>
      <c r="E877" s="3" t="s">
        <v>8</v>
      </c>
      <c r="F877" s="4">
        <v>68</v>
      </c>
      <c r="G877" s="4"/>
      <c r="H877" s="4">
        <f t="shared" si="68"/>
        <v>68</v>
      </c>
    </row>
    <row r="878" ht="14.25" spans="1:8">
      <c r="A878" s="3" t="str">
        <f>"10902103007"</f>
        <v>10902103007</v>
      </c>
      <c r="B878" s="3">
        <v>1</v>
      </c>
      <c r="C878" s="3">
        <v>30</v>
      </c>
      <c r="D878" s="3">
        <v>7</v>
      </c>
      <c r="E878" s="3" t="s">
        <v>8</v>
      </c>
      <c r="F878" s="4">
        <v>60.5</v>
      </c>
      <c r="G878" s="4"/>
      <c r="H878" s="4">
        <f t="shared" si="68"/>
        <v>60.5</v>
      </c>
    </row>
    <row r="879" ht="14.25" spans="1:8">
      <c r="A879" s="3" t="str">
        <f>"10902103008"</f>
        <v>10902103008</v>
      </c>
      <c r="B879" s="3">
        <v>1</v>
      </c>
      <c r="C879" s="3">
        <v>30</v>
      </c>
      <c r="D879" s="3">
        <v>8</v>
      </c>
      <c r="E879" s="3" t="s">
        <v>8</v>
      </c>
      <c r="F879" s="4">
        <v>60</v>
      </c>
      <c r="G879" s="4"/>
      <c r="H879" s="4">
        <f t="shared" si="68"/>
        <v>60</v>
      </c>
    </row>
    <row r="880" ht="14.25" spans="1:8">
      <c r="A880" s="3" t="str">
        <f>"10902103009"</f>
        <v>10902103009</v>
      </c>
      <c r="B880" s="3">
        <v>1</v>
      </c>
      <c r="C880" s="3">
        <v>30</v>
      </c>
      <c r="D880" s="3">
        <v>9</v>
      </c>
      <c r="E880" s="3" t="s">
        <v>8</v>
      </c>
      <c r="F880" s="4">
        <v>84</v>
      </c>
      <c r="G880" s="4"/>
      <c r="H880" s="4">
        <f t="shared" si="68"/>
        <v>84</v>
      </c>
    </row>
    <row r="881" ht="14.25" spans="1:8">
      <c r="A881" s="3" t="str">
        <f>"10902103010"</f>
        <v>10902103010</v>
      </c>
      <c r="B881" s="3">
        <v>1</v>
      </c>
      <c r="C881" s="3">
        <v>30</v>
      </c>
      <c r="D881" s="3">
        <v>10</v>
      </c>
      <c r="E881" s="3" t="s">
        <v>8</v>
      </c>
      <c r="F881" s="3">
        <v>0</v>
      </c>
      <c r="G881" s="4"/>
      <c r="H881" s="3">
        <v>0</v>
      </c>
    </row>
    <row r="882" ht="14.25" spans="1:8">
      <c r="A882" s="3" t="str">
        <f>"10902103011"</f>
        <v>10902103011</v>
      </c>
      <c r="B882" s="3">
        <v>1</v>
      </c>
      <c r="C882" s="3">
        <v>30</v>
      </c>
      <c r="D882" s="3">
        <v>11</v>
      </c>
      <c r="E882" s="3" t="s">
        <v>8</v>
      </c>
      <c r="F882" s="4">
        <v>77</v>
      </c>
      <c r="G882" s="4"/>
      <c r="H882" s="4">
        <f t="shared" ref="H882:H898" si="69">F882+G882</f>
        <v>77</v>
      </c>
    </row>
    <row r="883" ht="14.25" spans="1:8">
      <c r="A883" s="3" t="str">
        <f>"10902103012"</f>
        <v>10902103012</v>
      </c>
      <c r="B883" s="3">
        <v>1</v>
      </c>
      <c r="C883" s="3">
        <v>30</v>
      </c>
      <c r="D883" s="3">
        <v>12</v>
      </c>
      <c r="E883" s="3" t="s">
        <v>8</v>
      </c>
      <c r="F883" s="3">
        <v>0</v>
      </c>
      <c r="G883" s="4"/>
      <c r="H883" s="3">
        <v>0</v>
      </c>
    </row>
    <row r="884" ht="14.25" spans="1:8">
      <c r="A884" s="3" t="str">
        <f>"10902103013"</f>
        <v>10902103013</v>
      </c>
      <c r="B884" s="3">
        <v>1</v>
      </c>
      <c r="C884" s="3">
        <v>30</v>
      </c>
      <c r="D884" s="3">
        <v>13</v>
      </c>
      <c r="E884" s="3" t="s">
        <v>8</v>
      </c>
      <c r="F884" s="4">
        <v>65.5</v>
      </c>
      <c r="G884" s="4"/>
      <c r="H884" s="4">
        <f t="shared" si="69"/>
        <v>65.5</v>
      </c>
    </row>
    <row r="885" ht="14.25" spans="1:8">
      <c r="A885" s="3" t="str">
        <f>"10902103014"</f>
        <v>10902103014</v>
      </c>
      <c r="B885" s="3">
        <v>1</v>
      </c>
      <c r="C885" s="3">
        <v>30</v>
      </c>
      <c r="D885" s="3">
        <v>14</v>
      </c>
      <c r="E885" s="3" t="s">
        <v>8</v>
      </c>
      <c r="F885" s="4">
        <v>71</v>
      </c>
      <c r="G885" s="4"/>
      <c r="H885" s="4">
        <f t="shared" si="69"/>
        <v>71</v>
      </c>
    </row>
    <row r="886" ht="14.25" spans="1:8">
      <c r="A886" s="3" t="str">
        <f>"10902103015"</f>
        <v>10902103015</v>
      </c>
      <c r="B886" s="3">
        <v>1</v>
      </c>
      <c r="C886" s="3">
        <v>30</v>
      </c>
      <c r="D886" s="3">
        <v>15</v>
      </c>
      <c r="E886" s="3" t="s">
        <v>8</v>
      </c>
      <c r="F886" s="4">
        <v>68</v>
      </c>
      <c r="G886" s="4"/>
      <c r="H886" s="4">
        <f t="shared" si="69"/>
        <v>68</v>
      </c>
    </row>
    <row r="887" ht="14.25" spans="1:8">
      <c r="A887" s="3" t="str">
        <f>"10902103016"</f>
        <v>10902103016</v>
      </c>
      <c r="B887" s="3">
        <v>1</v>
      </c>
      <c r="C887" s="3">
        <v>30</v>
      </c>
      <c r="D887" s="3">
        <v>16</v>
      </c>
      <c r="E887" s="3" t="s">
        <v>8</v>
      </c>
      <c r="F887" s="4">
        <v>57</v>
      </c>
      <c r="G887" s="4"/>
      <c r="H887" s="4">
        <f t="shared" si="69"/>
        <v>57</v>
      </c>
    </row>
    <row r="888" ht="14.25" spans="1:8">
      <c r="A888" s="3" t="str">
        <f>"10902103017"</f>
        <v>10902103017</v>
      </c>
      <c r="B888" s="3">
        <v>1</v>
      </c>
      <c r="C888" s="3">
        <v>30</v>
      </c>
      <c r="D888" s="3">
        <v>17</v>
      </c>
      <c r="E888" s="3" t="s">
        <v>8</v>
      </c>
      <c r="F888" s="4">
        <v>84.5</v>
      </c>
      <c r="G888" s="4"/>
      <c r="H888" s="4">
        <f t="shared" si="69"/>
        <v>84.5</v>
      </c>
    </row>
    <row r="889" ht="14.25" spans="1:8">
      <c r="A889" s="3" t="str">
        <f>"10902103018"</f>
        <v>10902103018</v>
      </c>
      <c r="B889" s="3">
        <v>1</v>
      </c>
      <c r="C889" s="3">
        <v>30</v>
      </c>
      <c r="D889" s="3">
        <v>18</v>
      </c>
      <c r="E889" s="3" t="s">
        <v>8</v>
      </c>
      <c r="F889" s="4">
        <v>76</v>
      </c>
      <c r="G889" s="4"/>
      <c r="H889" s="4">
        <f t="shared" si="69"/>
        <v>76</v>
      </c>
    </row>
    <row r="890" ht="14.25" spans="1:8">
      <c r="A890" s="3" t="str">
        <f>"10902103019"</f>
        <v>10902103019</v>
      </c>
      <c r="B890" s="3">
        <v>1</v>
      </c>
      <c r="C890" s="3">
        <v>30</v>
      </c>
      <c r="D890" s="3">
        <v>19</v>
      </c>
      <c r="E890" s="3" t="s">
        <v>8</v>
      </c>
      <c r="F890" s="4">
        <v>78.5</v>
      </c>
      <c r="G890" s="4"/>
      <c r="H890" s="4">
        <f t="shared" si="69"/>
        <v>78.5</v>
      </c>
    </row>
    <row r="891" ht="14.25" spans="1:8">
      <c r="A891" s="3" t="str">
        <f>"10902103020"</f>
        <v>10902103020</v>
      </c>
      <c r="B891" s="3">
        <v>1</v>
      </c>
      <c r="C891" s="3">
        <v>30</v>
      </c>
      <c r="D891" s="3">
        <v>20</v>
      </c>
      <c r="E891" s="3" t="s">
        <v>8</v>
      </c>
      <c r="F891" s="4">
        <v>83</v>
      </c>
      <c r="G891" s="4"/>
      <c r="H891" s="4">
        <f t="shared" si="69"/>
        <v>83</v>
      </c>
    </row>
    <row r="892" ht="14.25" spans="1:8">
      <c r="A892" s="3" t="str">
        <f>"10902103021"</f>
        <v>10902103021</v>
      </c>
      <c r="B892" s="3">
        <v>1</v>
      </c>
      <c r="C892" s="3">
        <v>30</v>
      </c>
      <c r="D892" s="3">
        <v>21</v>
      </c>
      <c r="E892" s="3" t="s">
        <v>8</v>
      </c>
      <c r="F892" s="4">
        <v>79.5</v>
      </c>
      <c r="G892" s="4"/>
      <c r="H892" s="4">
        <f t="shared" si="69"/>
        <v>79.5</v>
      </c>
    </row>
    <row r="893" ht="14.25" spans="1:8">
      <c r="A893" s="3" t="str">
        <f>"10902103022"</f>
        <v>10902103022</v>
      </c>
      <c r="B893" s="3">
        <v>1</v>
      </c>
      <c r="C893" s="3">
        <v>30</v>
      </c>
      <c r="D893" s="3">
        <v>22</v>
      </c>
      <c r="E893" s="3" t="s">
        <v>8</v>
      </c>
      <c r="F893" s="4">
        <v>81</v>
      </c>
      <c r="G893" s="4"/>
      <c r="H893" s="4">
        <f t="shared" si="69"/>
        <v>81</v>
      </c>
    </row>
    <row r="894" ht="14.25" spans="1:8">
      <c r="A894" s="3" t="str">
        <f>"10902103023"</f>
        <v>10902103023</v>
      </c>
      <c r="B894" s="3">
        <v>1</v>
      </c>
      <c r="C894" s="3">
        <v>30</v>
      </c>
      <c r="D894" s="3">
        <v>23</v>
      </c>
      <c r="E894" s="3" t="s">
        <v>8</v>
      </c>
      <c r="F894" s="4">
        <v>82.5</v>
      </c>
      <c r="G894" s="4"/>
      <c r="H894" s="4">
        <f t="shared" si="69"/>
        <v>82.5</v>
      </c>
    </row>
    <row r="895" ht="14.25" spans="1:8">
      <c r="A895" s="3" t="str">
        <f>"10902103024"</f>
        <v>10902103024</v>
      </c>
      <c r="B895" s="3">
        <v>1</v>
      </c>
      <c r="C895" s="3">
        <v>30</v>
      </c>
      <c r="D895" s="3">
        <v>24</v>
      </c>
      <c r="E895" s="3" t="s">
        <v>8</v>
      </c>
      <c r="F895" s="4">
        <v>48.5</v>
      </c>
      <c r="G895" s="4"/>
      <c r="H895" s="4">
        <f t="shared" si="69"/>
        <v>48.5</v>
      </c>
    </row>
    <row r="896" ht="14.25" spans="1:8">
      <c r="A896" s="3" t="str">
        <f>"10902103025"</f>
        <v>10902103025</v>
      </c>
      <c r="B896" s="3">
        <v>1</v>
      </c>
      <c r="C896" s="3">
        <v>30</v>
      </c>
      <c r="D896" s="3">
        <v>25</v>
      </c>
      <c r="E896" s="3" t="s">
        <v>8</v>
      </c>
      <c r="F896" s="4">
        <v>73</v>
      </c>
      <c r="G896" s="4"/>
      <c r="H896" s="4">
        <f t="shared" si="69"/>
        <v>73</v>
      </c>
    </row>
    <row r="897" ht="14.25" spans="1:8">
      <c r="A897" s="3" t="str">
        <f>"10902103026"</f>
        <v>10902103026</v>
      </c>
      <c r="B897" s="3">
        <v>1</v>
      </c>
      <c r="C897" s="3">
        <v>30</v>
      </c>
      <c r="D897" s="3">
        <v>26</v>
      </c>
      <c r="E897" s="3" t="s">
        <v>8</v>
      </c>
      <c r="F897" s="4">
        <v>59.5</v>
      </c>
      <c r="G897" s="4"/>
      <c r="H897" s="4">
        <f t="shared" si="69"/>
        <v>59.5</v>
      </c>
    </row>
    <row r="898" ht="14.25" spans="1:8">
      <c r="A898" s="3" t="str">
        <f>"10902103027"</f>
        <v>10902103027</v>
      </c>
      <c r="B898" s="3">
        <v>1</v>
      </c>
      <c r="C898" s="3">
        <v>30</v>
      </c>
      <c r="D898" s="3">
        <v>27</v>
      </c>
      <c r="E898" s="3" t="s">
        <v>8</v>
      </c>
      <c r="F898" s="4">
        <v>74</v>
      </c>
      <c r="G898" s="4"/>
      <c r="H898" s="4">
        <f t="shared" si="69"/>
        <v>74</v>
      </c>
    </row>
    <row r="899" ht="14.25" spans="1:8">
      <c r="A899" s="3" t="str">
        <f>"10902103028"</f>
        <v>10902103028</v>
      </c>
      <c r="B899" s="3">
        <v>1</v>
      </c>
      <c r="C899" s="3">
        <v>30</v>
      </c>
      <c r="D899" s="3">
        <v>28</v>
      </c>
      <c r="E899" s="3" t="s">
        <v>8</v>
      </c>
      <c r="F899" s="3">
        <v>0</v>
      </c>
      <c r="G899" s="4"/>
      <c r="H899" s="3">
        <v>0</v>
      </c>
    </row>
    <row r="900" ht="14.25" spans="1:8">
      <c r="A900" s="3" t="str">
        <f>"10902103029"</f>
        <v>10902103029</v>
      </c>
      <c r="B900" s="3">
        <v>1</v>
      </c>
      <c r="C900" s="3">
        <v>30</v>
      </c>
      <c r="D900" s="3">
        <v>29</v>
      </c>
      <c r="E900" s="3" t="s">
        <v>8</v>
      </c>
      <c r="F900" s="4">
        <v>70.5</v>
      </c>
      <c r="G900" s="4"/>
      <c r="H900" s="4">
        <f t="shared" ref="H900:H910" si="70">F900+G900</f>
        <v>70.5</v>
      </c>
    </row>
    <row r="901" ht="14.25" spans="1:8">
      <c r="A901" s="3" t="str">
        <f>"10902103030"</f>
        <v>10902103030</v>
      </c>
      <c r="B901" s="3">
        <v>1</v>
      </c>
      <c r="C901" s="3">
        <v>30</v>
      </c>
      <c r="D901" s="3">
        <v>30</v>
      </c>
      <c r="E901" s="3" t="s">
        <v>8</v>
      </c>
      <c r="F901" s="4">
        <v>83</v>
      </c>
      <c r="G901" s="4"/>
      <c r="H901" s="4">
        <f t="shared" si="70"/>
        <v>83</v>
      </c>
    </row>
    <row r="902" ht="14.25" spans="1:8">
      <c r="A902" s="3" t="str">
        <f>"10902103101"</f>
        <v>10902103101</v>
      </c>
      <c r="B902" s="3">
        <v>1</v>
      </c>
      <c r="C902" s="3">
        <v>31</v>
      </c>
      <c r="D902" s="3">
        <v>1</v>
      </c>
      <c r="E902" s="3" t="s">
        <v>8</v>
      </c>
      <c r="F902" s="4">
        <v>87</v>
      </c>
      <c r="G902" s="4"/>
      <c r="H902" s="4">
        <f t="shared" si="70"/>
        <v>87</v>
      </c>
    </row>
    <row r="903" ht="14.25" spans="1:8">
      <c r="A903" s="3" t="str">
        <f>"10902103102"</f>
        <v>10902103102</v>
      </c>
      <c r="B903" s="3">
        <v>1</v>
      </c>
      <c r="C903" s="3">
        <v>31</v>
      </c>
      <c r="D903" s="3">
        <v>2</v>
      </c>
      <c r="E903" s="3" t="s">
        <v>8</v>
      </c>
      <c r="F903" s="4">
        <v>74.5</v>
      </c>
      <c r="G903" s="4"/>
      <c r="H903" s="4">
        <f t="shared" si="70"/>
        <v>74.5</v>
      </c>
    </row>
    <row r="904" ht="14.25" spans="1:8">
      <c r="A904" s="3" t="str">
        <f>"10902103103"</f>
        <v>10902103103</v>
      </c>
      <c r="B904" s="3">
        <v>1</v>
      </c>
      <c r="C904" s="3">
        <v>31</v>
      </c>
      <c r="D904" s="3">
        <v>3</v>
      </c>
      <c r="E904" s="3" t="s">
        <v>8</v>
      </c>
      <c r="F904" s="4">
        <v>85.5</v>
      </c>
      <c r="G904" s="4"/>
      <c r="H904" s="4">
        <f t="shared" si="70"/>
        <v>85.5</v>
      </c>
    </row>
    <row r="905" ht="14.25" spans="1:8">
      <c r="A905" s="3" t="str">
        <f>"10902103104"</f>
        <v>10902103104</v>
      </c>
      <c r="B905" s="3">
        <v>1</v>
      </c>
      <c r="C905" s="3">
        <v>31</v>
      </c>
      <c r="D905" s="3">
        <v>4</v>
      </c>
      <c r="E905" s="3" t="s">
        <v>8</v>
      </c>
      <c r="F905" s="4">
        <v>77</v>
      </c>
      <c r="G905" s="4"/>
      <c r="H905" s="4">
        <f t="shared" si="70"/>
        <v>77</v>
      </c>
    </row>
    <row r="906" ht="14.25" spans="1:8">
      <c r="A906" s="3" t="str">
        <f>"10902103105"</f>
        <v>10902103105</v>
      </c>
      <c r="B906" s="3">
        <v>1</v>
      </c>
      <c r="C906" s="3">
        <v>31</v>
      </c>
      <c r="D906" s="3">
        <v>5</v>
      </c>
      <c r="E906" s="3" t="s">
        <v>8</v>
      </c>
      <c r="F906" s="4">
        <v>87.5</v>
      </c>
      <c r="G906" s="4"/>
      <c r="H906" s="4">
        <f t="shared" si="70"/>
        <v>87.5</v>
      </c>
    </row>
    <row r="907" ht="14.25" spans="1:8">
      <c r="A907" s="3" t="str">
        <f>"10902103106"</f>
        <v>10902103106</v>
      </c>
      <c r="B907" s="3">
        <v>1</v>
      </c>
      <c r="C907" s="3">
        <v>31</v>
      </c>
      <c r="D907" s="3">
        <v>6</v>
      </c>
      <c r="E907" s="3" t="s">
        <v>8</v>
      </c>
      <c r="F907" s="4">
        <v>51</v>
      </c>
      <c r="G907" s="4"/>
      <c r="H907" s="4">
        <f t="shared" si="70"/>
        <v>51</v>
      </c>
    </row>
    <row r="908" ht="14.25" spans="1:8">
      <c r="A908" s="3" t="str">
        <f>"10902103107"</f>
        <v>10902103107</v>
      </c>
      <c r="B908" s="3">
        <v>1</v>
      </c>
      <c r="C908" s="3">
        <v>31</v>
      </c>
      <c r="D908" s="3">
        <v>7</v>
      </c>
      <c r="E908" s="3" t="s">
        <v>8</v>
      </c>
      <c r="F908" s="4">
        <v>85</v>
      </c>
      <c r="G908" s="4"/>
      <c r="H908" s="4">
        <f t="shared" si="70"/>
        <v>85</v>
      </c>
    </row>
    <row r="909" ht="14.25" spans="1:8">
      <c r="A909" s="3" t="str">
        <f>"10902103108"</f>
        <v>10902103108</v>
      </c>
      <c r="B909" s="3">
        <v>1</v>
      </c>
      <c r="C909" s="3">
        <v>31</v>
      </c>
      <c r="D909" s="3">
        <v>8</v>
      </c>
      <c r="E909" s="3" t="s">
        <v>8</v>
      </c>
      <c r="F909" s="4">
        <v>86</v>
      </c>
      <c r="G909" s="4"/>
      <c r="H909" s="4">
        <f t="shared" si="70"/>
        <v>86</v>
      </c>
    </row>
    <row r="910" ht="14.25" spans="1:8">
      <c r="A910" s="3" t="str">
        <f>"10902103109"</f>
        <v>10902103109</v>
      </c>
      <c r="B910" s="3">
        <v>1</v>
      </c>
      <c r="C910" s="3">
        <v>31</v>
      </c>
      <c r="D910" s="3">
        <v>9</v>
      </c>
      <c r="E910" s="3" t="s">
        <v>8</v>
      </c>
      <c r="F910" s="4">
        <v>76.5</v>
      </c>
      <c r="G910" s="4"/>
      <c r="H910" s="4">
        <f t="shared" si="70"/>
        <v>76.5</v>
      </c>
    </row>
    <row r="911" ht="14.25" spans="1:8">
      <c r="A911" s="3" t="str">
        <f>"10902103110"</f>
        <v>10902103110</v>
      </c>
      <c r="B911" s="3">
        <v>1</v>
      </c>
      <c r="C911" s="3">
        <v>31</v>
      </c>
      <c r="D911" s="3">
        <v>10</v>
      </c>
      <c r="E911" s="3" t="s">
        <v>8</v>
      </c>
      <c r="F911" s="3">
        <v>0</v>
      </c>
      <c r="G911" s="4"/>
      <c r="H911" s="3">
        <v>0</v>
      </c>
    </row>
    <row r="912" ht="14.25" spans="1:8">
      <c r="A912" s="3" t="str">
        <f>"10902103111"</f>
        <v>10902103111</v>
      </c>
      <c r="B912" s="3">
        <v>1</v>
      </c>
      <c r="C912" s="3">
        <v>31</v>
      </c>
      <c r="D912" s="3">
        <v>11</v>
      </c>
      <c r="E912" s="3" t="s">
        <v>8</v>
      </c>
      <c r="F912" s="4">
        <v>81</v>
      </c>
      <c r="G912" s="4"/>
      <c r="H912" s="4">
        <f t="shared" ref="H912:H925" si="71">F912+G912</f>
        <v>81</v>
      </c>
    </row>
    <row r="913" ht="14.25" spans="1:8">
      <c r="A913" s="3" t="str">
        <f>"10902103112"</f>
        <v>10902103112</v>
      </c>
      <c r="B913" s="3">
        <v>1</v>
      </c>
      <c r="C913" s="3">
        <v>31</v>
      </c>
      <c r="D913" s="3">
        <v>12</v>
      </c>
      <c r="E913" s="3" t="s">
        <v>8</v>
      </c>
      <c r="F913" s="4">
        <v>83.5</v>
      </c>
      <c r="G913" s="4"/>
      <c r="H913" s="4">
        <f t="shared" si="71"/>
        <v>83.5</v>
      </c>
    </row>
    <row r="914" ht="14.25" spans="1:8">
      <c r="A914" s="3" t="str">
        <f>"10902103113"</f>
        <v>10902103113</v>
      </c>
      <c r="B914" s="3">
        <v>1</v>
      </c>
      <c r="C914" s="3">
        <v>31</v>
      </c>
      <c r="D914" s="3">
        <v>13</v>
      </c>
      <c r="E914" s="3" t="s">
        <v>8</v>
      </c>
      <c r="F914" s="4">
        <v>64.5</v>
      </c>
      <c r="G914" s="4"/>
      <c r="H914" s="4">
        <f t="shared" si="71"/>
        <v>64.5</v>
      </c>
    </row>
    <row r="915" ht="14.25" spans="1:8">
      <c r="A915" s="3" t="str">
        <f>"10902103114"</f>
        <v>10902103114</v>
      </c>
      <c r="B915" s="3">
        <v>1</v>
      </c>
      <c r="C915" s="3">
        <v>31</v>
      </c>
      <c r="D915" s="3">
        <v>14</v>
      </c>
      <c r="E915" s="3" t="s">
        <v>8</v>
      </c>
      <c r="F915" s="4">
        <v>76.5</v>
      </c>
      <c r="G915" s="4"/>
      <c r="H915" s="4">
        <f t="shared" si="71"/>
        <v>76.5</v>
      </c>
    </row>
    <row r="916" ht="14.25" spans="1:8">
      <c r="A916" s="3" t="str">
        <f>"10902103115"</f>
        <v>10902103115</v>
      </c>
      <c r="B916" s="3">
        <v>1</v>
      </c>
      <c r="C916" s="3">
        <v>31</v>
      </c>
      <c r="D916" s="3">
        <v>15</v>
      </c>
      <c r="E916" s="3" t="s">
        <v>8</v>
      </c>
      <c r="F916" s="4">
        <v>73</v>
      </c>
      <c r="G916" s="4"/>
      <c r="H916" s="4">
        <f t="shared" si="71"/>
        <v>73</v>
      </c>
    </row>
    <row r="917" ht="14.25" spans="1:8">
      <c r="A917" s="3" t="str">
        <f>"10902103116"</f>
        <v>10902103116</v>
      </c>
      <c r="B917" s="3">
        <v>1</v>
      </c>
      <c r="C917" s="3">
        <v>31</v>
      </c>
      <c r="D917" s="3">
        <v>16</v>
      </c>
      <c r="E917" s="3" t="s">
        <v>8</v>
      </c>
      <c r="F917" s="4">
        <v>63.5</v>
      </c>
      <c r="G917" s="4"/>
      <c r="H917" s="4">
        <f t="shared" si="71"/>
        <v>63.5</v>
      </c>
    </row>
    <row r="918" ht="14.25" spans="1:8">
      <c r="A918" s="3" t="str">
        <f>"10902103117"</f>
        <v>10902103117</v>
      </c>
      <c r="B918" s="3">
        <v>1</v>
      </c>
      <c r="C918" s="3">
        <v>31</v>
      </c>
      <c r="D918" s="3">
        <v>17</v>
      </c>
      <c r="E918" s="3" t="s">
        <v>8</v>
      </c>
      <c r="F918" s="4">
        <v>72</v>
      </c>
      <c r="G918" s="4"/>
      <c r="H918" s="4">
        <f t="shared" si="71"/>
        <v>72</v>
      </c>
    </row>
    <row r="919" ht="14.25" spans="1:8">
      <c r="A919" s="3" t="str">
        <f>"10902103118"</f>
        <v>10902103118</v>
      </c>
      <c r="B919" s="3">
        <v>1</v>
      </c>
      <c r="C919" s="3">
        <v>31</v>
      </c>
      <c r="D919" s="3">
        <v>18</v>
      </c>
      <c r="E919" s="3" t="s">
        <v>8</v>
      </c>
      <c r="F919" s="4">
        <v>78.5</v>
      </c>
      <c r="G919" s="4"/>
      <c r="H919" s="4">
        <f t="shared" si="71"/>
        <v>78.5</v>
      </c>
    </row>
    <row r="920" ht="14.25" spans="1:8">
      <c r="A920" s="3" t="str">
        <f>"10902103119"</f>
        <v>10902103119</v>
      </c>
      <c r="B920" s="3">
        <v>1</v>
      </c>
      <c r="C920" s="3">
        <v>31</v>
      </c>
      <c r="D920" s="3">
        <v>19</v>
      </c>
      <c r="E920" s="3" t="s">
        <v>8</v>
      </c>
      <c r="F920" s="4">
        <v>87</v>
      </c>
      <c r="G920" s="4"/>
      <c r="H920" s="4">
        <f t="shared" si="71"/>
        <v>87</v>
      </c>
    </row>
    <row r="921" ht="14.25" spans="1:8">
      <c r="A921" s="3" t="str">
        <f>"10902103120"</f>
        <v>10902103120</v>
      </c>
      <c r="B921" s="3">
        <v>1</v>
      </c>
      <c r="C921" s="3">
        <v>31</v>
      </c>
      <c r="D921" s="3">
        <v>20</v>
      </c>
      <c r="E921" s="3" t="s">
        <v>8</v>
      </c>
      <c r="F921" s="4">
        <v>80</v>
      </c>
      <c r="G921" s="4"/>
      <c r="H921" s="4">
        <f t="shared" si="71"/>
        <v>80</v>
      </c>
    </row>
    <row r="922" ht="14.25" spans="1:8">
      <c r="A922" s="3" t="str">
        <f>"10902103121"</f>
        <v>10902103121</v>
      </c>
      <c r="B922" s="3">
        <v>1</v>
      </c>
      <c r="C922" s="3">
        <v>31</v>
      </c>
      <c r="D922" s="3">
        <v>21</v>
      </c>
      <c r="E922" s="3" t="s">
        <v>8</v>
      </c>
      <c r="F922" s="4">
        <v>65</v>
      </c>
      <c r="G922" s="4"/>
      <c r="H922" s="4">
        <f t="shared" si="71"/>
        <v>65</v>
      </c>
    </row>
    <row r="923" ht="14.25" spans="1:8">
      <c r="A923" s="3" t="str">
        <f>"10902103122"</f>
        <v>10902103122</v>
      </c>
      <c r="B923" s="3">
        <v>1</v>
      </c>
      <c r="C923" s="3">
        <v>31</v>
      </c>
      <c r="D923" s="3">
        <v>22</v>
      </c>
      <c r="E923" s="3" t="s">
        <v>8</v>
      </c>
      <c r="F923" s="4">
        <v>51.5</v>
      </c>
      <c r="G923" s="4"/>
      <c r="H923" s="4">
        <f t="shared" si="71"/>
        <v>51.5</v>
      </c>
    </row>
    <row r="924" ht="14.25" spans="1:8">
      <c r="A924" s="3" t="str">
        <f>"10902103123"</f>
        <v>10902103123</v>
      </c>
      <c r="B924" s="3">
        <v>1</v>
      </c>
      <c r="C924" s="3">
        <v>31</v>
      </c>
      <c r="D924" s="3">
        <v>23</v>
      </c>
      <c r="E924" s="3" t="s">
        <v>8</v>
      </c>
      <c r="F924" s="4">
        <v>86</v>
      </c>
      <c r="G924" s="4"/>
      <c r="H924" s="4">
        <f t="shared" si="71"/>
        <v>86</v>
      </c>
    </row>
    <row r="925" ht="14.25" spans="1:8">
      <c r="A925" s="3" t="str">
        <f>"10902103124"</f>
        <v>10902103124</v>
      </c>
      <c r="B925" s="3">
        <v>1</v>
      </c>
      <c r="C925" s="3">
        <v>31</v>
      </c>
      <c r="D925" s="3">
        <v>24</v>
      </c>
      <c r="E925" s="3" t="s">
        <v>8</v>
      </c>
      <c r="F925" s="4">
        <v>77.5</v>
      </c>
      <c r="G925" s="4"/>
      <c r="H925" s="4">
        <f t="shared" si="71"/>
        <v>77.5</v>
      </c>
    </row>
    <row r="926" ht="14.25" spans="1:8">
      <c r="A926" s="3" t="str">
        <f>"10902103125"</f>
        <v>10902103125</v>
      </c>
      <c r="B926" s="3">
        <v>1</v>
      </c>
      <c r="C926" s="3">
        <v>31</v>
      </c>
      <c r="D926" s="3">
        <v>25</v>
      </c>
      <c r="E926" s="3" t="s">
        <v>8</v>
      </c>
      <c r="F926" s="3">
        <v>0</v>
      </c>
      <c r="G926" s="4"/>
      <c r="H926" s="3">
        <v>0</v>
      </c>
    </row>
    <row r="927" ht="14.25" spans="1:8">
      <c r="A927" s="3" t="str">
        <f>"10902103126"</f>
        <v>10902103126</v>
      </c>
      <c r="B927" s="3">
        <v>1</v>
      </c>
      <c r="C927" s="3">
        <v>31</v>
      </c>
      <c r="D927" s="3">
        <v>26</v>
      </c>
      <c r="E927" s="3" t="s">
        <v>8</v>
      </c>
      <c r="F927" s="4">
        <v>77.5</v>
      </c>
      <c r="G927" s="4"/>
      <c r="H927" s="4">
        <f t="shared" ref="H927:H932" si="72">F927+G927</f>
        <v>77.5</v>
      </c>
    </row>
    <row r="928" ht="14.25" spans="1:8">
      <c r="A928" s="3" t="str">
        <f>"10902103127"</f>
        <v>10902103127</v>
      </c>
      <c r="B928" s="3">
        <v>1</v>
      </c>
      <c r="C928" s="3">
        <v>31</v>
      </c>
      <c r="D928" s="3">
        <v>27</v>
      </c>
      <c r="E928" s="3" t="s">
        <v>8</v>
      </c>
      <c r="F928" s="3">
        <v>0</v>
      </c>
      <c r="G928" s="4"/>
      <c r="H928" s="3">
        <v>0</v>
      </c>
    </row>
    <row r="929" ht="14.25" spans="1:8">
      <c r="A929" s="3" t="str">
        <f>"10902103128"</f>
        <v>10902103128</v>
      </c>
      <c r="B929" s="3">
        <v>1</v>
      </c>
      <c r="C929" s="3">
        <v>31</v>
      </c>
      <c r="D929" s="3">
        <v>28</v>
      </c>
      <c r="E929" s="3" t="s">
        <v>8</v>
      </c>
      <c r="F929" s="4">
        <v>81</v>
      </c>
      <c r="G929" s="4"/>
      <c r="H929" s="4">
        <f t="shared" si="72"/>
        <v>81</v>
      </c>
    </row>
    <row r="930" ht="14.25" spans="1:8">
      <c r="A930" s="3" t="str">
        <f>"10902103129"</f>
        <v>10902103129</v>
      </c>
      <c r="B930" s="3">
        <v>1</v>
      </c>
      <c r="C930" s="3">
        <v>31</v>
      </c>
      <c r="D930" s="3">
        <v>29</v>
      </c>
      <c r="E930" s="3" t="s">
        <v>8</v>
      </c>
      <c r="F930" s="4">
        <v>78</v>
      </c>
      <c r="G930" s="4"/>
      <c r="H930" s="4">
        <f t="shared" si="72"/>
        <v>78</v>
      </c>
    </row>
    <row r="931" ht="14.25" spans="1:8">
      <c r="A931" s="3" t="str">
        <f>"10902103130"</f>
        <v>10902103130</v>
      </c>
      <c r="B931" s="3">
        <v>1</v>
      </c>
      <c r="C931" s="3">
        <v>31</v>
      </c>
      <c r="D931" s="3">
        <v>30</v>
      </c>
      <c r="E931" s="3" t="s">
        <v>8</v>
      </c>
      <c r="F931" s="4">
        <v>81.5</v>
      </c>
      <c r="G931" s="4"/>
      <c r="H931" s="4">
        <f t="shared" si="72"/>
        <v>81.5</v>
      </c>
    </row>
    <row r="932" ht="14.25" spans="1:8">
      <c r="A932" s="3" t="str">
        <f>"10902103201"</f>
        <v>10902103201</v>
      </c>
      <c r="B932" s="3">
        <v>1</v>
      </c>
      <c r="C932" s="3">
        <v>32</v>
      </c>
      <c r="D932" s="3">
        <v>1</v>
      </c>
      <c r="E932" s="3" t="s">
        <v>8</v>
      </c>
      <c r="F932" s="4">
        <v>82.5</v>
      </c>
      <c r="G932" s="4"/>
      <c r="H932" s="4">
        <f t="shared" si="72"/>
        <v>82.5</v>
      </c>
    </row>
    <row r="933" ht="14.25" spans="1:8">
      <c r="A933" s="3" t="str">
        <f>"10902103202"</f>
        <v>10902103202</v>
      </c>
      <c r="B933" s="3">
        <v>1</v>
      </c>
      <c r="C933" s="3">
        <v>32</v>
      </c>
      <c r="D933" s="3">
        <v>2</v>
      </c>
      <c r="E933" s="3" t="s">
        <v>8</v>
      </c>
      <c r="F933" s="3">
        <v>0</v>
      </c>
      <c r="G933" s="4"/>
      <c r="H933" s="3">
        <v>0</v>
      </c>
    </row>
    <row r="934" ht="14.25" spans="1:8">
      <c r="A934" s="3" t="str">
        <f>"10902103203"</f>
        <v>10902103203</v>
      </c>
      <c r="B934" s="3">
        <v>1</v>
      </c>
      <c r="C934" s="3">
        <v>32</v>
      </c>
      <c r="D934" s="3">
        <v>3</v>
      </c>
      <c r="E934" s="3" t="s">
        <v>8</v>
      </c>
      <c r="F934" s="4">
        <v>51</v>
      </c>
      <c r="G934" s="4"/>
      <c r="H934" s="4">
        <f t="shared" ref="H934:H937" si="73">F934+G934</f>
        <v>51</v>
      </c>
    </row>
    <row r="935" ht="14.25" spans="1:8">
      <c r="A935" s="3" t="str">
        <f>"10902103204"</f>
        <v>10902103204</v>
      </c>
      <c r="B935" s="3">
        <v>1</v>
      </c>
      <c r="C935" s="3">
        <v>32</v>
      </c>
      <c r="D935" s="3">
        <v>4</v>
      </c>
      <c r="E935" s="3" t="s">
        <v>8</v>
      </c>
      <c r="F935" s="4">
        <v>71.5</v>
      </c>
      <c r="G935" s="4"/>
      <c r="H935" s="4">
        <f t="shared" si="73"/>
        <v>71.5</v>
      </c>
    </row>
    <row r="936" ht="14.25" spans="1:8">
      <c r="A936" s="3" t="str">
        <f>"10902103205"</f>
        <v>10902103205</v>
      </c>
      <c r="B936" s="3">
        <v>1</v>
      </c>
      <c r="C936" s="3">
        <v>32</v>
      </c>
      <c r="D936" s="3">
        <v>5</v>
      </c>
      <c r="E936" s="3" t="s">
        <v>8</v>
      </c>
      <c r="F936" s="3">
        <v>0</v>
      </c>
      <c r="G936" s="4"/>
      <c r="H936" s="3">
        <v>0</v>
      </c>
    </row>
    <row r="937" ht="14.25" spans="1:8">
      <c r="A937" s="3" t="str">
        <f>"10902103206"</f>
        <v>10902103206</v>
      </c>
      <c r="B937" s="3">
        <v>1</v>
      </c>
      <c r="C937" s="3">
        <v>32</v>
      </c>
      <c r="D937" s="3">
        <v>6</v>
      </c>
      <c r="E937" s="3" t="s">
        <v>8</v>
      </c>
      <c r="F937" s="4">
        <v>72.5</v>
      </c>
      <c r="G937" s="4"/>
      <c r="H937" s="4">
        <f t="shared" si="73"/>
        <v>72.5</v>
      </c>
    </row>
    <row r="938" ht="14.25" spans="1:8">
      <c r="A938" s="3" t="str">
        <f>"10902103207"</f>
        <v>10902103207</v>
      </c>
      <c r="B938" s="3">
        <v>1</v>
      </c>
      <c r="C938" s="3">
        <v>32</v>
      </c>
      <c r="D938" s="3">
        <v>7</v>
      </c>
      <c r="E938" s="3" t="s">
        <v>8</v>
      </c>
      <c r="F938" s="3">
        <v>0</v>
      </c>
      <c r="G938" s="4"/>
      <c r="H938" s="3">
        <v>0</v>
      </c>
    </row>
    <row r="939" ht="14.25" spans="1:8">
      <c r="A939" s="3" t="str">
        <f>"10902103208"</f>
        <v>10902103208</v>
      </c>
      <c r="B939" s="3">
        <v>1</v>
      </c>
      <c r="C939" s="3">
        <v>32</v>
      </c>
      <c r="D939" s="3">
        <v>8</v>
      </c>
      <c r="E939" s="3" t="s">
        <v>8</v>
      </c>
      <c r="F939" s="3">
        <v>0</v>
      </c>
      <c r="G939" s="4"/>
      <c r="H939" s="3">
        <v>0</v>
      </c>
    </row>
    <row r="940" ht="14.25" spans="1:8">
      <c r="A940" s="3" t="str">
        <f>"10902103209"</f>
        <v>10902103209</v>
      </c>
      <c r="B940" s="3">
        <v>1</v>
      </c>
      <c r="C940" s="3">
        <v>32</v>
      </c>
      <c r="D940" s="3">
        <v>9</v>
      </c>
      <c r="E940" s="3" t="s">
        <v>8</v>
      </c>
      <c r="F940" s="3">
        <v>0</v>
      </c>
      <c r="G940" s="4"/>
      <c r="H940" s="3">
        <v>0</v>
      </c>
    </row>
    <row r="941" ht="14.25" spans="1:8">
      <c r="A941" s="3" t="str">
        <f>"10902103210"</f>
        <v>10902103210</v>
      </c>
      <c r="B941" s="3">
        <v>1</v>
      </c>
      <c r="C941" s="3">
        <v>32</v>
      </c>
      <c r="D941" s="3">
        <v>10</v>
      </c>
      <c r="E941" s="3" t="s">
        <v>8</v>
      </c>
      <c r="F941" s="3">
        <v>0</v>
      </c>
      <c r="G941" s="4"/>
      <c r="H941" s="3">
        <v>0</v>
      </c>
    </row>
    <row r="942" ht="14.25" spans="1:8">
      <c r="A942" s="3" t="str">
        <f>"10902103211"</f>
        <v>10902103211</v>
      </c>
      <c r="B942" s="3">
        <v>1</v>
      </c>
      <c r="C942" s="3">
        <v>32</v>
      </c>
      <c r="D942" s="3">
        <v>11</v>
      </c>
      <c r="E942" s="3" t="s">
        <v>8</v>
      </c>
      <c r="F942" s="4">
        <v>82.5</v>
      </c>
      <c r="G942" s="4"/>
      <c r="H942" s="4">
        <f t="shared" ref="H942:H945" si="74">F942+G942</f>
        <v>82.5</v>
      </c>
    </row>
    <row r="943" ht="14.25" spans="1:8">
      <c r="A943" s="3" t="str">
        <f>"10902103212"</f>
        <v>10902103212</v>
      </c>
      <c r="B943" s="3">
        <v>1</v>
      </c>
      <c r="C943" s="3">
        <v>32</v>
      </c>
      <c r="D943" s="3">
        <v>12</v>
      </c>
      <c r="E943" s="3" t="s">
        <v>8</v>
      </c>
      <c r="F943" s="4">
        <v>77.5</v>
      </c>
      <c r="G943" s="4"/>
      <c r="H943" s="4">
        <f t="shared" si="74"/>
        <v>77.5</v>
      </c>
    </row>
    <row r="944" ht="14.25" spans="1:8">
      <c r="A944" s="3" t="str">
        <f>"10902103213"</f>
        <v>10902103213</v>
      </c>
      <c r="B944" s="3">
        <v>1</v>
      </c>
      <c r="C944" s="3">
        <v>32</v>
      </c>
      <c r="D944" s="3">
        <v>13</v>
      </c>
      <c r="E944" s="3" t="s">
        <v>8</v>
      </c>
      <c r="F944" s="4">
        <v>75</v>
      </c>
      <c r="G944" s="4"/>
      <c r="H944" s="4">
        <f t="shared" si="74"/>
        <v>75</v>
      </c>
    </row>
    <row r="945" ht="14.25" spans="1:8">
      <c r="A945" s="3" t="str">
        <f>"10902103214"</f>
        <v>10902103214</v>
      </c>
      <c r="B945" s="3">
        <v>1</v>
      </c>
      <c r="C945" s="3">
        <v>32</v>
      </c>
      <c r="D945" s="3">
        <v>14</v>
      </c>
      <c r="E945" s="3" t="s">
        <v>8</v>
      </c>
      <c r="F945" s="4">
        <v>86</v>
      </c>
      <c r="G945" s="4"/>
      <c r="H945" s="4">
        <f t="shared" si="74"/>
        <v>86</v>
      </c>
    </row>
    <row r="946" ht="14.25" spans="1:8">
      <c r="A946" s="3" t="str">
        <f>"10902103215"</f>
        <v>10902103215</v>
      </c>
      <c r="B946" s="3">
        <v>1</v>
      </c>
      <c r="C946" s="3">
        <v>32</v>
      </c>
      <c r="D946" s="3">
        <v>15</v>
      </c>
      <c r="E946" s="3" t="s">
        <v>8</v>
      </c>
      <c r="F946" s="3">
        <v>0</v>
      </c>
      <c r="G946" s="4"/>
      <c r="H946" s="3">
        <v>0</v>
      </c>
    </row>
    <row r="947" ht="14.25" spans="1:8">
      <c r="A947" s="3" t="str">
        <f>"10902103216"</f>
        <v>10902103216</v>
      </c>
      <c r="B947" s="3">
        <v>1</v>
      </c>
      <c r="C947" s="3">
        <v>32</v>
      </c>
      <c r="D947" s="3">
        <v>16</v>
      </c>
      <c r="E947" s="3" t="s">
        <v>8</v>
      </c>
      <c r="F947" s="4">
        <v>69</v>
      </c>
      <c r="G947" s="4"/>
      <c r="H947" s="4">
        <f t="shared" ref="H947:H953" si="75">F947+G947</f>
        <v>69</v>
      </c>
    </row>
    <row r="948" ht="14.25" spans="1:8">
      <c r="A948" s="3" t="str">
        <f>"10902103217"</f>
        <v>10902103217</v>
      </c>
      <c r="B948" s="3">
        <v>1</v>
      </c>
      <c r="C948" s="3">
        <v>32</v>
      </c>
      <c r="D948" s="3">
        <v>17</v>
      </c>
      <c r="E948" s="3" t="s">
        <v>8</v>
      </c>
      <c r="F948" s="4">
        <v>83</v>
      </c>
      <c r="G948" s="4"/>
      <c r="H948" s="4">
        <f t="shared" si="75"/>
        <v>83</v>
      </c>
    </row>
    <row r="949" ht="14.25" spans="1:8">
      <c r="A949" s="3" t="str">
        <f>"10902103218"</f>
        <v>10902103218</v>
      </c>
      <c r="B949" s="3">
        <v>1</v>
      </c>
      <c r="C949" s="3">
        <v>32</v>
      </c>
      <c r="D949" s="3">
        <v>18</v>
      </c>
      <c r="E949" s="3" t="s">
        <v>8</v>
      </c>
      <c r="F949" s="4">
        <v>87</v>
      </c>
      <c r="G949" s="4"/>
      <c r="H949" s="4">
        <f t="shared" si="75"/>
        <v>87</v>
      </c>
    </row>
    <row r="950" ht="14.25" spans="1:8">
      <c r="A950" s="3" t="str">
        <f>"10902103219"</f>
        <v>10902103219</v>
      </c>
      <c r="B950" s="3">
        <v>1</v>
      </c>
      <c r="C950" s="3">
        <v>32</v>
      </c>
      <c r="D950" s="3">
        <v>19</v>
      </c>
      <c r="E950" s="3" t="s">
        <v>8</v>
      </c>
      <c r="F950" s="4">
        <v>84</v>
      </c>
      <c r="G950" s="4"/>
      <c r="H950" s="4">
        <f t="shared" si="75"/>
        <v>84</v>
      </c>
    </row>
    <row r="951" ht="14.25" spans="1:8">
      <c r="A951" s="3" t="str">
        <f>"10902103220"</f>
        <v>10902103220</v>
      </c>
      <c r="B951" s="3">
        <v>1</v>
      </c>
      <c r="C951" s="3">
        <v>32</v>
      </c>
      <c r="D951" s="3">
        <v>20</v>
      </c>
      <c r="E951" s="3" t="s">
        <v>8</v>
      </c>
      <c r="F951" s="4">
        <v>85</v>
      </c>
      <c r="G951" s="4"/>
      <c r="H951" s="4">
        <f t="shared" si="75"/>
        <v>85</v>
      </c>
    </row>
    <row r="952" ht="14.25" spans="1:8">
      <c r="A952" s="3" t="str">
        <f>"10902103221"</f>
        <v>10902103221</v>
      </c>
      <c r="B952" s="3">
        <v>1</v>
      </c>
      <c r="C952" s="3">
        <v>32</v>
      </c>
      <c r="D952" s="3">
        <v>21</v>
      </c>
      <c r="E952" s="3" t="s">
        <v>8</v>
      </c>
      <c r="F952" s="4">
        <v>85.5</v>
      </c>
      <c r="G952" s="4"/>
      <c r="H952" s="4">
        <f t="shared" si="75"/>
        <v>85.5</v>
      </c>
    </row>
    <row r="953" ht="14.25" spans="1:8">
      <c r="A953" s="3" t="str">
        <f>"10902103222"</f>
        <v>10902103222</v>
      </c>
      <c r="B953" s="3">
        <v>1</v>
      </c>
      <c r="C953" s="3">
        <v>32</v>
      </c>
      <c r="D953" s="3">
        <v>22</v>
      </c>
      <c r="E953" s="3" t="s">
        <v>8</v>
      </c>
      <c r="F953" s="4">
        <v>63</v>
      </c>
      <c r="G953" s="4"/>
      <c r="H953" s="4">
        <f t="shared" si="75"/>
        <v>63</v>
      </c>
    </row>
    <row r="954" ht="14.25" spans="1:8">
      <c r="A954" s="3" t="str">
        <f>"10902103223"</f>
        <v>10902103223</v>
      </c>
      <c r="B954" s="3">
        <v>1</v>
      </c>
      <c r="C954" s="3">
        <v>32</v>
      </c>
      <c r="D954" s="3">
        <v>23</v>
      </c>
      <c r="E954" s="3" t="s">
        <v>8</v>
      </c>
      <c r="F954" s="3">
        <v>0</v>
      </c>
      <c r="G954" s="4"/>
      <c r="H954" s="3">
        <v>0</v>
      </c>
    </row>
    <row r="955" ht="14.25" spans="1:8">
      <c r="A955" s="3" t="str">
        <f>"10902103224"</f>
        <v>10902103224</v>
      </c>
      <c r="B955" s="3">
        <v>1</v>
      </c>
      <c r="C955" s="3">
        <v>32</v>
      </c>
      <c r="D955" s="3">
        <v>24</v>
      </c>
      <c r="E955" s="3" t="s">
        <v>8</v>
      </c>
      <c r="F955" s="4">
        <v>82.5</v>
      </c>
      <c r="G955" s="4"/>
      <c r="H955" s="4">
        <f t="shared" ref="H955:H964" si="76">F955+G955</f>
        <v>82.5</v>
      </c>
    </row>
    <row r="956" ht="14.25" spans="1:8">
      <c r="A956" s="3" t="str">
        <f>"10902103225"</f>
        <v>10902103225</v>
      </c>
      <c r="B956" s="3">
        <v>1</v>
      </c>
      <c r="C956" s="3">
        <v>32</v>
      </c>
      <c r="D956" s="3">
        <v>25</v>
      </c>
      <c r="E956" s="3" t="s">
        <v>8</v>
      </c>
      <c r="F956" s="3">
        <v>0</v>
      </c>
      <c r="G956" s="4"/>
      <c r="H956" s="3">
        <v>0</v>
      </c>
    </row>
    <row r="957" ht="14.25" spans="1:8">
      <c r="A957" s="3" t="str">
        <f>"10902103226"</f>
        <v>10902103226</v>
      </c>
      <c r="B957" s="3">
        <v>1</v>
      </c>
      <c r="C957" s="3">
        <v>32</v>
      </c>
      <c r="D957" s="3">
        <v>26</v>
      </c>
      <c r="E957" s="3" t="s">
        <v>8</v>
      </c>
      <c r="F957" s="4">
        <v>65</v>
      </c>
      <c r="G957" s="4"/>
      <c r="H957" s="4">
        <f t="shared" si="76"/>
        <v>65</v>
      </c>
    </row>
    <row r="958" ht="14.25" spans="1:8">
      <c r="A958" s="3" t="str">
        <f>"10902103227"</f>
        <v>10902103227</v>
      </c>
      <c r="B958" s="3">
        <v>1</v>
      </c>
      <c r="C958" s="3">
        <v>32</v>
      </c>
      <c r="D958" s="3">
        <v>27</v>
      </c>
      <c r="E958" s="3" t="s">
        <v>8</v>
      </c>
      <c r="F958" s="4">
        <v>77.5</v>
      </c>
      <c r="G958" s="4"/>
      <c r="H958" s="4">
        <f t="shared" si="76"/>
        <v>77.5</v>
      </c>
    </row>
    <row r="959" ht="14.25" spans="1:8">
      <c r="A959" s="3" t="str">
        <f>"10902103228"</f>
        <v>10902103228</v>
      </c>
      <c r="B959" s="3">
        <v>1</v>
      </c>
      <c r="C959" s="3">
        <v>32</v>
      </c>
      <c r="D959" s="3">
        <v>28</v>
      </c>
      <c r="E959" s="3" t="s">
        <v>8</v>
      </c>
      <c r="F959" s="4">
        <v>88</v>
      </c>
      <c r="G959" s="4"/>
      <c r="H959" s="4">
        <f t="shared" si="76"/>
        <v>88</v>
      </c>
    </row>
    <row r="960" ht="14.25" spans="1:8">
      <c r="A960" s="3" t="str">
        <f>"10902103229"</f>
        <v>10902103229</v>
      </c>
      <c r="B960" s="3">
        <v>1</v>
      </c>
      <c r="C960" s="3">
        <v>32</v>
      </c>
      <c r="D960" s="3">
        <v>29</v>
      </c>
      <c r="E960" s="3" t="s">
        <v>8</v>
      </c>
      <c r="F960" s="4">
        <v>79</v>
      </c>
      <c r="G960" s="4"/>
      <c r="H960" s="4">
        <f t="shared" si="76"/>
        <v>79</v>
      </c>
    </row>
    <row r="961" ht="14.25" spans="1:8">
      <c r="A961" s="3" t="str">
        <f>"10902103230"</f>
        <v>10902103230</v>
      </c>
      <c r="B961" s="3">
        <v>1</v>
      </c>
      <c r="C961" s="3">
        <v>32</v>
      </c>
      <c r="D961" s="3">
        <v>30</v>
      </c>
      <c r="E961" s="3" t="s">
        <v>8</v>
      </c>
      <c r="F961" s="4">
        <v>80.5</v>
      </c>
      <c r="G961" s="4"/>
      <c r="H961" s="4">
        <f t="shared" si="76"/>
        <v>80.5</v>
      </c>
    </row>
    <row r="962" ht="14.25" spans="1:8">
      <c r="A962" s="3" t="str">
        <f>"10902103301"</f>
        <v>10902103301</v>
      </c>
      <c r="B962" s="3">
        <v>1</v>
      </c>
      <c r="C962" s="3">
        <v>33</v>
      </c>
      <c r="D962" s="3">
        <v>1</v>
      </c>
      <c r="E962" s="3" t="s">
        <v>8</v>
      </c>
      <c r="F962" s="4">
        <v>55.5</v>
      </c>
      <c r="G962" s="4"/>
      <c r="H962" s="4">
        <f t="shared" si="76"/>
        <v>55.5</v>
      </c>
    </row>
    <row r="963" ht="14.25" spans="1:8">
      <c r="A963" s="3" t="str">
        <f>"10902103302"</f>
        <v>10902103302</v>
      </c>
      <c r="B963" s="3">
        <v>1</v>
      </c>
      <c r="C963" s="3">
        <v>33</v>
      </c>
      <c r="D963" s="3">
        <v>2</v>
      </c>
      <c r="E963" s="3" t="s">
        <v>8</v>
      </c>
      <c r="F963" s="4">
        <v>78</v>
      </c>
      <c r="G963" s="4"/>
      <c r="H963" s="4">
        <f t="shared" si="76"/>
        <v>78</v>
      </c>
    </row>
    <row r="964" ht="14.25" spans="1:8">
      <c r="A964" s="3" t="str">
        <f>"10902103303"</f>
        <v>10902103303</v>
      </c>
      <c r="B964" s="3">
        <v>1</v>
      </c>
      <c r="C964" s="3">
        <v>33</v>
      </c>
      <c r="D964" s="3">
        <v>3</v>
      </c>
      <c r="E964" s="3" t="s">
        <v>8</v>
      </c>
      <c r="F964" s="4">
        <v>50.5</v>
      </c>
      <c r="G964" s="4"/>
      <c r="H964" s="4">
        <f t="shared" si="76"/>
        <v>50.5</v>
      </c>
    </row>
    <row r="965" ht="14.25" spans="1:8">
      <c r="A965" s="3" t="str">
        <f>"10902103304"</f>
        <v>10902103304</v>
      </c>
      <c r="B965" s="3">
        <v>1</v>
      </c>
      <c r="C965" s="3">
        <v>33</v>
      </c>
      <c r="D965" s="3">
        <v>4</v>
      </c>
      <c r="E965" s="3" t="s">
        <v>8</v>
      </c>
      <c r="F965" s="3">
        <v>0</v>
      </c>
      <c r="G965" s="4"/>
      <c r="H965" s="3">
        <v>0</v>
      </c>
    </row>
    <row r="966" ht="14.25" spans="1:8">
      <c r="A966" s="3" t="str">
        <f>"10902103305"</f>
        <v>10902103305</v>
      </c>
      <c r="B966" s="3">
        <v>1</v>
      </c>
      <c r="C966" s="3">
        <v>33</v>
      </c>
      <c r="D966" s="3">
        <v>5</v>
      </c>
      <c r="E966" s="3" t="s">
        <v>8</v>
      </c>
      <c r="F966" s="4">
        <v>76.5</v>
      </c>
      <c r="G966" s="4"/>
      <c r="H966" s="4">
        <f t="shared" ref="H966:H972" si="77">F966+G966</f>
        <v>76.5</v>
      </c>
    </row>
    <row r="967" ht="14.25" spans="1:8">
      <c r="A967" s="3" t="str">
        <f>"10902103306"</f>
        <v>10902103306</v>
      </c>
      <c r="B967" s="3">
        <v>1</v>
      </c>
      <c r="C967" s="3">
        <v>33</v>
      </c>
      <c r="D967" s="3">
        <v>6</v>
      </c>
      <c r="E967" s="3" t="s">
        <v>8</v>
      </c>
      <c r="F967" s="4">
        <v>77.5</v>
      </c>
      <c r="G967" s="4"/>
      <c r="H967" s="4">
        <f t="shared" si="77"/>
        <v>77.5</v>
      </c>
    </row>
    <row r="968" ht="14.25" spans="1:8">
      <c r="A968" s="3" t="str">
        <f>"10902103307"</f>
        <v>10902103307</v>
      </c>
      <c r="B968" s="3">
        <v>1</v>
      </c>
      <c r="C968" s="3">
        <v>33</v>
      </c>
      <c r="D968" s="3">
        <v>7</v>
      </c>
      <c r="E968" s="3" t="s">
        <v>8</v>
      </c>
      <c r="F968" s="4">
        <v>81</v>
      </c>
      <c r="G968" s="4"/>
      <c r="H968" s="4">
        <f t="shared" si="77"/>
        <v>81</v>
      </c>
    </row>
    <row r="969" ht="14.25" spans="1:8">
      <c r="A969" s="3" t="str">
        <f>"10902103308"</f>
        <v>10902103308</v>
      </c>
      <c r="B969" s="3">
        <v>1</v>
      </c>
      <c r="C969" s="3">
        <v>33</v>
      </c>
      <c r="D969" s="3">
        <v>8</v>
      </c>
      <c r="E969" s="3" t="s">
        <v>8</v>
      </c>
      <c r="F969" s="4">
        <v>68.5</v>
      </c>
      <c r="G969" s="4"/>
      <c r="H969" s="4">
        <f t="shared" si="77"/>
        <v>68.5</v>
      </c>
    </row>
    <row r="970" ht="14.25" spans="1:8">
      <c r="A970" s="3" t="str">
        <f>"10902103309"</f>
        <v>10902103309</v>
      </c>
      <c r="B970" s="3">
        <v>1</v>
      </c>
      <c r="C970" s="3">
        <v>33</v>
      </c>
      <c r="D970" s="3">
        <v>9</v>
      </c>
      <c r="E970" s="3" t="s">
        <v>8</v>
      </c>
      <c r="F970" s="4">
        <v>61</v>
      </c>
      <c r="G970" s="4"/>
      <c r="H970" s="4">
        <f t="shared" si="77"/>
        <v>61</v>
      </c>
    </row>
    <row r="971" ht="14.25" spans="1:8">
      <c r="A971" s="3" t="str">
        <f>"10902103310"</f>
        <v>10902103310</v>
      </c>
      <c r="B971" s="3">
        <v>1</v>
      </c>
      <c r="C971" s="3">
        <v>33</v>
      </c>
      <c r="D971" s="3">
        <v>10</v>
      </c>
      <c r="E971" s="3" t="s">
        <v>8</v>
      </c>
      <c r="F971" s="4">
        <v>80</v>
      </c>
      <c r="G971" s="4"/>
      <c r="H971" s="4">
        <f t="shared" si="77"/>
        <v>80</v>
      </c>
    </row>
    <row r="972" ht="14.25" spans="1:8">
      <c r="A972" s="3" t="str">
        <f>"10902103311"</f>
        <v>10902103311</v>
      </c>
      <c r="B972" s="3">
        <v>1</v>
      </c>
      <c r="C972" s="3">
        <v>33</v>
      </c>
      <c r="D972" s="3">
        <v>11</v>
      </c>
      <c r="E972" s="3" t="s">
        <v>8</v>
      </c>
      <c r="F972" s="4">
        <v>78</v>
      </c>
      <c r="G972" s="4"/>
      <c r="H972" s="4">
        <f t="shared" si="77"/>
        <v>78</v>
      </c>
    </row>
    <row r="973" ht="14.25" spans="1:8">
      <c r="A973" s="3" t="str">
        <f>"10902103312"</f>
        <v>10902103312</v>
      </c>
      <c r="B973" s="3">
        <v>1</v>
      </c>
      <c r="C973" s="3">
        <v>33</v>
      </c>
      <c r="D973" s="3">
        <v>12</v>
      </c>
      <c r="E973" s="3" t="s">
        <v>8</v>
      </c>
      <c r="F973" s="3">
        <v>0</v>
      </c>
      <c r="G973" s="4"/>
      <c r="H973" s="3">
        <v>0</v>
      </c>
    </row>
    <row r="974" ht="14.25" spans="1:8">
      <c r="A974" s="3" t="str">
        <f>"10902103313"</f>
        <v>10902103313</v>
      </c>
      <c r="B974" s="3">
        <v>1</v>
      </c>
      <c r="C974" s="3">
        <v>33</v>
      </c>
      <c r="D974" s="3">
        <v>13</v>
      </c>
      <c r="E974" s="3" t="s">
        <v>8</v>
      </c>
      <c r="F974" s="4">
        <v>88.5</v>
      </c>
      <c r="G974" s="4"/>
      <c r="H974" s="4">
        <f t="shared" ref="H974:H983" si="78">F974+G974</f>
        <v>88.5</v>
      </c>
    </row>
    <row r="975" ht="14.25" spans="1:8">
      <c r="A975" s="3" t="str">
        <f>"10902103314"</f>
        <v>10902103314</v>
      </c>
      <c r="B975" s="3">
        <v>1</v>
      </c>
      <c r="C975" s="3">
        <v>33</v>
      </c>
      <c r="D975" s="3">
        <v>14</v>
      </c>
      <c r="E975" s="3" t="s">
        <v>8</v>
      </c>
      <c r="F975" s="4">
        <v>87</v>
      </c>
      <c r="G975" s="4"/>
      <c r="H975" s="4">
        <f t="shared" si="78"/>
        <v>87</v>
      </c>
    </row>
    <row r="976" ht="14.25" spans="1:8">
      <c r="A976" s="3" t="str">
        <f>"10902103315"</f>
        <v>10902103315</v>
      </c>
      <c r="B976" s="3">
        <v>1</v>
      </c>
      <c r="C976" s="3">
        <v>33</v>
      </c>
      <c r="D976" s="3">
        <v>15</v>
      </c>
      <c r="E976" s="3" t="s">
        <v>8</v>
      </c>
      <c r="F976" s="4">
        <v>76.5</v>
      </c>
      <c r="G976" s="4"/>
      <c r="H976" s="4">
        <f t="shared" si="78"/>
        <v>76.5</v>
      </c>
    </row>
    <row r="977" ht="14.25" spans="1:8">
      <c r="A977" s="3" t="str">
        <f>"10902103316"</f>
        <v>10902103316</v>
      </c>
      <c r="B977" s="3">
        <v>1</v>
      </c>
      <c r="C977" s="3">
        <v>33</v>
      </c>
      <c r="D977" s="3">
        <v>16</v>
      </c>
      <c r="E977" s="3" t="s">
        <v>8</v>
      </c>
      <c r="F977" s="4">
        <v>58.5</v>
      </c>
      <c r="G977" s="4"/>
      <c r="H977" s="4">
        <f t="shared" si="78"/>
        <v>58.5</v>
      </c>
    </row>
    <row r="978" ht="14.25" spans="1:8">
      <c r="A978" s="3" t="str">
        <f>"10902103317"</f>
        <v>10902103317</v>
      </c>
      <c r="B978" s="3">
        <v>1</v>
      </c>
      <c r="C978" s="3">
        <v>33</v>
      </c>
      <c r="D978" s="3">
        <v>17</v>
      </c>
      <c r="E978" s="3" t="s">
        <v>8</v>
      </c>
      <c r="F978" s="4">
        <v>90.5</v>
      </c>
      <c r="G978" s="4"/>
      <c r="H978" s="4">
        <f t="shared" si="78"/>
        <v>90.5</v>
      </c>
    </row>
    <row r="979" ht="14.25" spans="1:8">
      <c r="A979" s="3" t="str">
        <f>"10902103318"</f>
        <v>10902103318</v>
      </c>
      <c r="B979" s="3">
        <v>1</v>
      </c>
      <c r="C979" s="3">
        <v>33</v>
      </c>
      <c r="D979" s="3">
        <v>18</v>
      </c>
      <c r="E979" s="3" t="s">
        <v>8</v>
      </c>
      <c r="F979" s="4">
        <v>82.5</v>
      </c>
      <c r="G979" s="4"/>
      <c r="H979" s="4">
        <f t="shared" si="78"/>
        <v>82.5</v>
      </c>
    </row>
    <row r="980" ht="14.25" spans="1:8">
      <c r="A980" s="3" t="str">
        <f>"10902103319"</f>
        <v>10902103319</v>
      </c>
      <c r="B980" s="3">
        <v>1</v>
      </c>
      <c r="C980" s="3">
        <v>33</v>
      </c>
      <c r="D980" s="3">
        <v>19</v>
      </c>
      <c r="E980" s="3" t="s">
        <v>8</v>
      </c>
      <c r="F980" s="4">
        <v>77.5</v>
      </c>
      <c r="G980" s="4"/>
      <c r="H980" s="4">
        <f t="shared" si="78"/>
        <v>77.5</v>
      </c>
    </row>
    <row r="981" ht="14.25" spans="1:8">
      <c r="A981" s="3" t="str">
        <f>"10902103320"</f>
        <v>10902103320</v>
      </c>
      <c r="B981" s="3">
        <v>1</v>
      </c>
      <c r="C981" s="3">
        <v>33</v>
      </c>
      <c r="D981" s="3">
        <v>20</v>
      </c>
      <c r="E981" s="3" t="s">
        <v>8</v>
      </c>
      <c r="F981" s="4">
        <v>54.5</v>
      </c>
      <c r="G981" s="4"/>
      <c r="H981" s="4">
        <f t="shared" si="78"/>
        <v>54.5</v>
      </c>
    </row>
    <row r="982" ht="14.25" spans="1:8">
      <c r="A982" s="3" t="str">
        <f>"10902103321"</f>
        <v>10902103321</v>
      </c>
      <c r="B982" s="3">
        <v>1</v>
      </c>
      <c r="C982" s="3">
        <v>33</v>
      </c>
      <c r="D982" s="3">
        <v>21</v>
      </c>
      <c r="E982" s="3" t="s">
        <v>8</v>
      </c>
      <c r="F982" s="4">
        <v>88.5</v>
      </c>
      <c r="G982" s="4"/>
      <c r="H982" s="4">
        <f t="shared" si="78"/>
        <v>88.5</v>
      </c>
    </row>
    <row r="983" ht="14.25" spans="1:8">
      <c r="A983" s="3" t="str">
        <f>"10902103322"</f>
        <v>10902103322</v>
      </c>
      <c r="B983" s="3">
        <v>1</v>
      </c>
      <c r="C983" s="3">
        <v>33</v>
      </c>
      <c r="D983" s="3">
        <v>22</v>
      </c>
      <c r="E983" s="3" t="s">
        <v>8</v>
      </c>
      <c r="F983" s="4">
        <v>82</v>
      </c>
      <c r="G983" s="4"/>
      <c r="H983" s="4">
        <f t="shared" si="78"/>
        <v>82</v>
      </c>
    </row>
    <row r="984" ht="14.25" spans="1:8">
      <c r="A984" s="3" t="str">
        <f>"10902103323"</f>
        <v>10902103323</v>
      </c>
      <c r="B984" s="3">
        <v>1</v>
      </c>
      <c r="C984" s="3">
        <v>33</v>
      </c>
      <c r="D984" s="3">
        <v>23</v>
      </c>
      <c r="E984" s="3" t="s">
        <v>8</v>
      </c>
      <c r="F984" s="3">
        <v>0</v>
      </c>
      <c r="G984" s="4"/>
      <c r="H984" s="3">
        <v>0</v>
      </c>
    </row>
    <row r="985" ht="14.25" spans="1:8">
      <c r="A985" s="3" t="str">
        <f>"10902103324"</f>
        <v>10902103324</v>
      </c>
      <c r="B985" s="3">
        <v>1</v>
      </c>
      <c r="C985" s="3">
        <v>33</v>
      </c>
      <c r="D985" s="3">
        <v>24</v>
      </c>
      <c r="E985" s="3" t="s">
        <v>8</v>
      </c>
      <c r="F985" s="4">
        <v>83</v>
      </c>
      <c r="G985" s="4"/>
      <c r="H985" s="4">
        <f t="shared" ref="H985:H991" si="79">F985+G985</f>
        <v>83</v>
      </c>
    </row>
    <row r="986" ht="14.25" spans="1:8">
      <c r="A986" s="3" t="str">
        <f>"10902103325"</f>
        <v>10902103325</v>
      </c>
      <c r="B986" s="3">
        <v>1</v>
      </c>
      <c r="C986" s="3">
        <v>33</v>
      </c>
      <c r="D986" s="3">
        <v>25</v>
      </c>
      <c r="E986" s="3" t="s">
        <v>8</v>
      </c>
      <c r="F986" s="4">
        <v>81</v>
      </c>
      <c r="G986" s="4"/>
      <c r="H986" s="4">
        <f t="shared" si="79"/>
        <v>81</v>
      </c>
    </row>
    <row r="987" ht="14.25" spans="1:8">
      <c r="A987" s="3" t="str">
        <f>"10902103326"</f>
        <v>10902103326</v>
      </c>
      <c r="B987" s="3">
        <v>1</v>
      </c>
      <c r="C987" s="3">
        <v>33</v>
      </c>
      <c r="D987" s="3">
        <v>26</v>
      </c>
      <c r="E987" s="3" t="s">
        <v>8</v>
      </c>
      <c r="F987" s="4">
        <v>44</v>
      </c>
      <c r="G987" s="4"/>
      <c r="H987" s="4">
        <f t="shared" si="79"/>
        <v>44</v>
      </c>
    </row>
    <row r="988" ht="14.25" spans="1:8">
      <c r="A988" s="3" t="str">
        <f>"10902103327"</f>
        <v>10902103327</v>
      </c>
      <c r="B988" s="3">
        <v>1</v>
      </c>
      <c r="C988" s="3">
        <v>33</v>
      </c>
      <c r="D988" s="3">
        <v>27</v>
      </c>
      <c r="E988" s="3" t="s">
        <v>8</v>
      </c>
      <c r="F988" s="4">
        <v>84</v>
      </c>
      <c r="G988" s="4"/>
      <c r="H988" s="4">
        <f t="shared" si="79"/>
        <v>84</v>
      </c>
    </row>
    <row r="989" ht="14.25" spans="1:8">
      <c r="A989" s="3" t="str">
        <f>"10902103328"</f>
        <v>10902103328</v>
      </c>
      <c r="B989" s="3">
        <v>1</v>
      </c>
      <c r="C989" s="3">
        <v>33</v>
      </c>
      <c r="D989" s="3">
        <v>28</v>
      </c>
      <c r="E989" s="3" t="s">
        <v>8</v>
      </c>
      <c r="F989" s="4">
        <v>80</v>
      </c>
      <c r="G989" s="4"/>
      <c r="H989" s="4">
        <f t="shared" si="79"/>
        <v>80</v>
      </c>
    </row>
    <row r="990" ht="14.25" spans="1:8">
      <c r="A990" s="3" t="str">
        <f>"10902103329"</f>
        <v>10902103329</v>
      </c>
      <c r="B990" s="3">
        <v>1</v>
      </c>
      <c r="C990" s="3">
        <v>33</v>
      </c>
      <c r="D990" s="3">
        <v>29</v>
      </c>
      <c r="E990" s="3" t="s">
        <v>8</v>
      </c>
      <c r="F990" s="4">
        <v>82</v>
      </c>
      <c r="G990" s="4"/>
      <c r="H990" s="4">
        <f t="shared" si="79"/>
        <v>82</v>
      </c>
    </row>
    <row r="991" ht="14.25" spans="1:8">
      <c r="A991" s="3" t="str">
        <f>"10902103330"</f>
        <v>10902103330</v>
      </c>
      <c r="B991" s="3">
        <v>1</v>
      </c>
      <c r="C991" s="3">
        <v>33</v>
      </c>
      <c r="D991" s="3">
        <v>30</v>
      </c>
      <c r="E991" s="3" t="s">
        <v>8</v>
      </c>
      <c r="F991" s="4">
        <v>80.5</v>
      </c>
      <c r="G991" s="4"/>
      <c r="H991" s="4">
        <f t="shared" si="79"/>
        <v>80.5</v>
      </c>
    </row>
    <row r="992" ht="14.25" spans="1:8">
      <c r="A992" s="3" t="str">
        <f>"10902103401"</f>
        <v>10902103401</v>
      </c>
      <c r="B992" s="3">
        <v>1</v>
      </c>
      <c r="C992" s="3">
        <v>34</v>
      </c>
      <c r="D992" s="3">
        <v>1</v>
      </c>
      <c r="E992" s="3" t="s">
        <v>8</v>
      </c>
      <c r="F992" s="3">
        <v>0</v>
      </c>
      <c r="G992" s="4"/>
      <c r="H992" s="3">
        <v>0</v>
      </c>
    </row>
    <row r="993" ht="14.25" spans="1:8">
      <c r="A993" s="3" t="str">
        <f>"10902103402"</f>
        <v>10902103402</v>
      </c>
      <c r="B993" s="3">
        <v>1</v>
      </c>
      <c r="C993" s="3">
        <v>34</v>
      </c>
      <c r="D993" s="3">
        <v>2</v>
      </c>
      <c r="E993" s="3" t="s">
        <v>8</v>
      </c>
      <c r="F993" s="4">
        <v>59</v>
      </c>
      <c r="G993" s="4"/>
      <c r="H993" s="4">
        <f t="shared" ref="H993:H995" si="80">F993+G993</f>
        <v>59</v>
      </c>
    </row>
    <row r="994" ht="14.25" spans="1:8">
      <c r="A994" s="3" t="str">
        <f>"10902103403"</f>
        <v>10902103403</v>
      </c>
      <c r="B994" s="3">
        <v>1</v>
      </c>
      <c r="C994" s="3">
        <v>34</v>
      </c>
      <c r="D994" s="3">
        <v>3</v>
      </c>
      <c r="E994" s="3" t="s">
        <v>8</v>
      </c>
      <c r="F994" s="4">
        <v>92.5</v>
      </c>
      <c r="G994" s="4"/>
      <c r="H994" s="4">
        <f t="shared" si="80"/>
        <v>92.5</v>
      </c>
    </row>
    <row r="995" ht="14.25" spans="1:8">
      <c r="A995" s="3" t="str">
        <f>"10902103404"</f>
        <v>10902103404</v>
      </c>
      <c r="B995" s="3">
        <v>1</v>
      </c>
      <c r="C995" s="3">
        <v>34</v>
      </c>
      <c r="D995" s="3">
        <v>4</v>
      </c>
      <c r="E995" s="3" t="s">
        <v>8</v>
      </c>
      <c r="F995" s="4">
        <v>89</v>
      </c>
      <c r="G995" s="4"/>
      <c r="H995" s="4">
        <f t="shared" si="80"/>
        <v>89</v>
      </c>
    </row>
    <row r="996" ht="14.25" spans="1:8">
      <c r="A996" s="3" t="str">
        <f>"10902103405"</f>
        <v>10902103405</v>
      </c>
      <c r="B996" s="3">
        <v>1</v>
      </c>
      <c r="C996" s="3">
        <v>34</v>
      </c>
      <c r="D996" s="3">
        <v>5</v>
      </c>
      <c r="E996" s="3" t="s">
        <v>8</v>
      </c>
      <c r="F996" s="3">
        <v>0</v>
      </c>
      <c r="G996" s="4"/>
      <c r="H996" s="3">
        <v>0</v>
      </c>
    </row>
    <row r="997" ht="14.25" spans="1:8">
      <c r="A997" s="3" t="str">
        <f>"10902103406"</f>
        <v>10902103406</v>
      </c>
      <c r="B997" s="3">
        <v>1</v>
      </c>
      <c r="C997" s="3">
        <v>34</v>
      </c>
      <c r="D997" s="3">
        <v>6</v>
      </c>
      <c r="E997" s="3" t="s">
        <v>8</v>
      </c>
      <c r="F997" s="4">
        <v>76.5</v>
      </c>
      <c r="G997" s="4"/>
      <c r="H997" s="4">
        <f t="shared" ref="H997:H1004" si="81">F997+G997</f>
        <v>76.5</v>
      </c>
    </row>
    <row r="998" ht="14.25" spans="1:8">
      <c r="A998" s="3" t="str">
        <f>"10902103407"</f>
        <v>10902103407</v>
      </c>
      <c r="B998" s="3">
        <v>1</v>
      </c>
      <c r="C998" s="3">
        <v>34</v>
      </c>
      <c r="D998" s="3">
        <v>7</v>
      </c>
      <c r="E998" s="3" t="s">
        <v>8</v>
      </c>
      <c r="F998" s="4">
        <v>86.5</v>
      </c>
      <c r="G998" s="4"/>
      <c r="H998" s="4">
        <f t="shared" si="81"/>
        <v>86.5</v>
      </c>
    </row>
    <row r="999" ht="14.25" spans="1:8">
      <c r="A999" s="3" t="str">
        <f>"10902103408"</f>
        <v>10902103408</v>
      </c>
      <c r="B999" s="3">
        <v>1</v>
      </c>
      <c r="C999" s="3">
        <v>34</v>
      </c>
      <c r="D999" s="3">
        <v>8</v>
      </c>
      <c r="E999" s="3" t="s">
        <v>8</v>
      </c>
      <c r="F999" s="4">
        <v>82.5</v>
      </c>
      <c r="G999" s="4"/>
      <c r="H999" s="4">
        <f t="shared" si="81"/>
        <v>82.5</v>
      </c>
    </row>
    <row r="1000" ht="14.25" spans="1:8">
      <c r="A1000" s="3" t="str">
        <f>"10902103409"</f>
        <v>10902103409</v>
      </c>
      <c r="B1000" s="3">
        <v>1</v>
      </c>
      <c r="C1000" s="3">
        <v>34</v>
      </c>
      <c r="D1000" s="3">
        <v>9</v>
      </c>
      <c r="E1000" s="3" t="s">
        <v>8</v>
      </c>
      <c r="F1000" s="4">
        <v>61.5</v>
      </c>
      <c r="G1000" s="4"/>
      <c r="H1000" s="4">
        <f t="shared" si="81"/>
        <v>61.5</v>
      </c>
    </row>
    <row r="1001" ht="14.25" spans="1:8">
      <c r="A1001" s="3" t="str">
        <f>"10902103410"</f>
        <v>10902103410</v>
      </c>
      <c r="B1001" s="3">
        <v>1</v>
      </c>
      <c r="C1001" s="3">
        <v>34</v>
      </c>
      <c r="D1001" s="3">
        <v>10</v>
      </c>
      <c r="E1001" s="3" t="s">
        <v>8</v>
      </c>
      <c r="F1001" s="4">
        <v>74.5</v>
      </c>
      <c r="G1001" s="4"/>
      <c r="H1001" s="4">
        <f t="shared" si="81"/>
        <v>74.5</v>
      </c>
    </row>
    <row r="1002" ht="14.25" spans="1:8">
      <c r="A1002" s="3" t="str">
        <f>"10902103411"</f>
        <v>10902103411</v>
      </c>
      <c r="B1002" s="3">
        <v>1</v>
      </c>
      <c r="C1002" s="3">
        <v>34</v>
      </c>
      <c r="D1002" s="3">
        <v>11</v>
      </c>
      <c r="E1002" s="3" t="s">
        <v>8</v>
      </c>
      <c r="F1002" s="4">
        <v>55.5</v>
      </c>
      <c r="G1002" s="4"/>
      <c r="H1002" s="4">
        <f t="shared" si="81"/>
        <v>55.5</v>
      </c>
    </row>
    <row r="1003" ht="14.25" spans="1:8">
      <c r="A1003" s="3" t="str">
        <f>"10902103412"</f>
        <v>10902103412</v>
      </c>
      <c r="B1003" s="3">
        <v>1</v>
      </c>
      <c r="C1003" s="3">
        <v>34</v>
      </c>
      <c r="D1003" s="3">
        <v>12</v>
      </c>
      <c r="E1003" s="3" t="s">
        <v>8</v>
      </c>
      <c r="F1003" s="4">
        <v>78.5</v>
      </c>
      <c r="G1003" s="4"/>
      <c r="H1003" s="4">
        <f t="shared" si="81"/>
        <v>78.5</v>
      </c>
    </row>
    <row r="1004" ht="14.25" spans="1:8">
      <c r="A1004" s="3" t="str">
        <f>"10902103413"</f>
        <v>10902103413</v>
      </c>
      <c r="B1004" s="3">
        <v>1</v>
      </c>
      <c r="C1004" s="3">
        <v>34</v>
      </c>
      <c r="D1004" s="3">
        <v>13</v>
      </c>
      <c r="E1004" s="3" t="s">
        <v>8</v>
      </c>
      <c r="F1004" s="4">
        <v>69</v>
      </c>
      <c r="G1004" s="4"/>
      <c r="H1004" s="4">
        <f t="shared" si="81"/>
        <v>69</v>
      </c>
    </row>
    <row r="1005" ht="14.25" spans="1:8">
      <c r="A1005" s="3" t="str">
        <f>"10902103414"</f>
        <v>10902103414</v>
      </c>
      <c r="B1005" s="3">
        <v>1</v>
      </c>
      <c r="C1005" s="3">
        <v>34</v>
      </c>
      <c r="D1005" s="3">
        <v>14</v>
      </c>
      <c r="E1005" s="3" t="s">
        <v>8</v>
      </c>
      <c r="F1005" s="3">
        <v>0</v>
      </c>
      <c r="G1005" s="4"/>
      <c r="H1005" s="3">
        <v>0</v>
      </c>
    </row>
    <row r="1006" ht="14.25" spans="1:8">
      <c r="A1006" s="3" t="str">
        <f>"10902103415"</f>
        <v>10902103415</v>
      </c>
      <c r="B1006" s="3">
        <v>1</v>
      </c>
      <c r="C1006" s="3">
        <v>34</v>
      </c>
      <c r="D1006" s="3">
        <v>15</v>
      </c>
      <c r="E1006" s="3" t="s">
        <v>8</v>
      </c>
      <c r="F1006" s="4">
        <v>42.5</v>
      </c>
      <c r="G1006" s="4"/>
      <c r="H1006" s="4">
        <f t="shared" ref="H1006:H1015" si="82">F1006+G1006</f>
        <v>42.5</v>
      </c>
    </row>
    <row r="1007" ht="14.25" spans="1:8">
      <c r="A1007" s="3" t="str">
        <f>"10902103416"</f>
        <v>10902103416</v>
      </c>
      <c r="B1007" s="3">
        <v>1</v>
      </c>
      <c r="C1007" s="3">
        <v>34</v>
      </c>
      <c r="D1007" s="3">
        <v>16</v>
      </c>
      <c r="E1007" s="3" t="s">
        <v>8</v>
      </c>
      <c r="F1007" s="3">
        <v>0</v>
      </c>
      <c r="G1007" s="4"/>
      <c r="H1007" s="3">
        <v>0</v>
      </c>
    </row>
    <row r="1008" ht="14.25" spans="1:8">
      <c r="A1008" s="3" t="str">
        <f>"10902103417"</f>
        <v>10902103417</v>
      </c>
      <c r="B1008" s="3">
        <v>1</v>
      </c>
      <c r="C1008" s="3">
        <v>34</v>
      </c>
      <c r="D1008" s="3">
        <v>17</v>
      </c>
      <c r="E1008" s="3" t="s">
        <v>8</v>
      </c>
      <c r="F1008" s="4">
        <v>74</v>
      </c>
      <c r="G1008" s="4"/>
      <c r="H1008" s="4">
        <f t="shared" si="82"/>
        <v>74</v>
      </c>
    </row>
    <row r="1009" ht="14.25" spans="1:8">
      <c r="A1009" s="3" t="str">
        <f>"10902103418"</f>
        <v>10902103418</v>
      </c>
      <c r="B1009" s="3">
        <v>1</v>
      </c>
      <c r="C1009" s="3">
        <v>34</v>
      </c>
      <c r="D1009" s="3">
        <v>18</v>
      </c>
      <c r="E1009" s="3" t="s">
        <v>8</v>
      </c>
      <c r="F1009" s="4">
        <v>86.5</v>
      </c>
      <c r="G1009" s="4"/>
      <c r="H1009" s="4">
        <f t="shared" si="82"/>
        <v>86.5</v>
      </c>
    </row>
    <row r="1010" ht="14.25" spans="1:8">
      <c r="A1010" s="3" t="str">
        <f>"10902103419"</f>
        <v>10902103419</v>
      </c>
      <c r="B1010" s="3">
        <v>1</v>
      </c>
      <c r="C1010" s="3">
        <v>34</v>
      </c>
      <c r="D1010" s="3">
        <v>19</v>
      </c>
      <c r="E1010" s="3" t="s">
        <v>8</v>
      </c>
      <c r="F1010" s="4">
        <v>84.5</v>
      </c>
      <c r="G1010" s="4"/>
      <c r="H1010" s="4">
        <f t="shared" si="82"/>
        <v>84.5</v>
      </c>
    </row>
    <row r="1011" ht="14.25" spans="1:8">
      <c r="A1011" s="3" t="str">
        <f>"10902103420"</f>
        <v>10902103420</v>
      </c>
      <c r="B1011" s="3">
        <v>1</v>
      </c>
      <c r="C1011" s="3">
        <v>34</v>
      </c>
      <c r="D1011" s="3">
        <v>20</v>
      </c>
      <c r="E1011" s="3" t="s">
        <v>8</v>
      </c>
      <c r="F1011" s="4">
        <v>80</v>
      </c>
      <c r="G1011" s="4"/>
      <c r="H1011" s="4">
        <f t="shared" si="82"/>
        <v>80</v>
      </c>
    </row>
    <row r="1012" ht="14.25" spans="1:8">
      <c r="A1012" s="3" t="str">
        <f>"10902103421"</f>
        <v>10902103421</v>
      </c>
      <c r="B1012" s="3">
        <v>1</v>
      </c>
      <c r="C1012" s="3">
        <v>34</v>
      </c>
      <c r="D1012" s="3">
        <v>21</v>
      </c>
      <c r="E1012" s="3" t="s">
        <v>8</v>
      </c>
      <c r="F1012" s="4">
        <v>87</v>
      </c>
      <c r="G1012" s="4"/>
      <c r="H1012" s="4">
        <f t="shared" si="82"/>
        <v>87</v>
      </c>
    </row>
    <row r="1013" ht="14.25" spans="1:8">
      <c r="A1013" s="3" t="str">
        <f>"10902103422"</f>
        <v>10902103422</v>
      </c>
      <c r="B1013" s="3">
        <v>1</v>
      </c>
      <c r="C1013" s="3">
        <v>34</v>
      </c>
      <c r="D1013" s="3">
        <v>22</v>
      </c>
      <c r="E1013" s="3" t="s">
        <v>8</v>
      </c>
      <c r="F1013" s="4">
        <v>71</v>
      </c>
      <c r="G1013" s="4"/>
      <c r="H1013" s="4">
        <f t="shared" si="82"/>
        <v>71</v>
      </c>
    </row>
    <row r="1014" ht="14.25" spans="1:8">
      <c r="A1014" s="3" t="str">
        <f>"10902103423"</f>
        <v>10902103423</v>
      </c>
      <c r="B1014" s="3">
        <v>1</v>
      </c>
      <c r="C1014" s="3">
        <v>34</v>
      </c>
      <c r="D1014" s="3">
        <v>23</v>
      </c>
      <c r="E1014" s="3" t="s">
        <v>8</v>
      </c>
      <c r="F1014" s="4">
        <v>79.5</v>
      </c>
      <c r="G1014" s="4"/>
      <c r="H1014" s="4">
        <f t="shared" si="82"/>
        <v>79.5</v>
      </c>
    </row>
    <row r="1015" ht="14.25" spans="1:8">
      <c r="A1015" s="3" t="str">
        <f>"10902103424"</f>
        <v>10902103424</v>
      </c>
      <c r="B1015" s="3">
        <v>1</v>
      </c>
      <c r="C1015" s="3">
        <v>34</v>
      </c>
      <c r="D1015" s="3">
        <v>24</v>
      </c>
      <c r="E1015" s="3" t="s">
        <v>8</v>
      </c>
      <c r="F1015" s="4">
        <v>72</v>
      </c>
      <c r="G1015" s="4"/>
      <c r="H1015" s="4">
        <f t="shared" si="82"/>
        <v>72</v>
      </c>
    </row>
    <row r="1016" ht="14.25" spans="1:8">
      <c r="A1016" s="3" t="str">
        <f>"10902103425"</f>
        <v>10902103425</v>
      </c>
      <c r="B1016" s="3">
        <v>1</v>
      </c>
      <c r="C1016" s="3">
        <v>34</v>
      </c>
      <c r="D1016" s="3">
        <v>25</v>
      </c>
      <c r="E1016" s="3" t="s">
        <v>8</v>
      </c>
      <c r="F1016" s="3">
        <v>0</v>
      </c>
      <c r="G1016" s="4"/>
      <c r="H1016" s="3">
        <v>0</v>
      </c>
    </row>
    <row r="1017" ht="14.25" spans="1:8">
      <c r="A1017" s="3" t="str">
        <f>"10902103426"</f>
        <v>10902103426</v>
      </c>
      <c r="B1017" s="3">
        <v>1</v>
      </c>
      <c r="C1017" s="3">
        <v>34</v>
      </c>
      <c r="D1017" s="3">
        <v>26</v>
      </c>
      <c r="E1017" s="3" t="s">
        <v>8</v>
      </c>
      <c r="F1017" s="4">
        <v>69.5</v>
      </c>
      <c r="G1017" s="4"/>
      <c r="H1017" s="4">
        <f t="shared" ref="H1017:H1023" si="83">F1017+G1017</f>
        <v>69.5</v>
      </c>
    </row>
    <row r="1018" ht="14.25" spans="1:8">
      <c r="A1018" s="3" t="str">
        <f>"10902103427"</f>
        <v>10902103427</v>
      </c>
      <c r="B1018" s="3">
        <v>1</v>
      </c>
      <c r="C1018" s="3">
        <v>34</v>
      </c>
      <c r="D1018" s="3">
        <v>27</v>
      </c>
      <c r="E1018" s="3" t="s">
        <v>8</v>
      </c>
      <c r="F1018" s="3">
        <v>0</v>
      </c>
      <c r="G1018" s="4"/>
      <c r="H1018" s="3">
        <v>0</v>
      </c>
    </row>
    <row r="1019" ht="14.25" spans="1:8">
      <c r="A1019" s="3" t="str">
        <f>"10902103428"</f>
        <v>10902103428</v>
      </c>
      <c r="B1019" s="3">
        <v>1</v>
      </c>
      <c r="C1019" s="3">
        <v>34</v>
      </c>
      <c r="D1019" s="3">
        <v>28</v>
      </c>
      <c r="E1019" s="3" t="s">
        <v>8</v>
      </c>
      <c r="F1019" s="3">
        <v>0</v>
      </c>
      <c r="G1019" s="4"/>
      <c r="H1019" s="3">
        <v>0</v>
      </c>
    </row>
    <row r="1020" ht="14.25" spans="1:8">
      <c r="A1020" s="3" t="str">
        <f>"10902103429"</f>
        <v>10902103429</v>
      </c>
      <c r="B1020" s="3">
        <v>1</v>
      </c>
      <c r="C1020" s="3">
        <v>34</v>
      </c>
      <c r="D1020" s="3">
        <v>29</v>
      </c>
      <c r="E1020" s="3" t="s">
        <v>8</v>
      </c>
      <c r="F1020" s="4">
        <v>81.5</v>
      </c>
      <c r="G1020" s="4"/>
      <c r="H1020" s="4">
        <f t="shared" si="83"/>
        <v>81.5</v>
      </c>
    </row>
    <row r="1021" ht="14.25" spans="1:8">
      <c r="A1021" s="3" t="str">
        <f>"10902103430"</f>
        <v>10902103430</v>
      </c>
      <c r="B1021" s="3">
        <v>1</v>
      </c>
      <c r="C1021" s="3">
        <v>34</v>
      </c>
      <c r="D1021" s="3">
        <v>30</v>
      </c>
      <c r="E1021" s="3" t="s">
        <v>8</v>
      </c>
      <c r="F1021" s="4">
        <v>80.5</v>
      </c>
      <c r="G1021" s="4"/>
      <c r="H1021" s="4">
        <f t="shared" si="83"/>
        <v>80.5</v>
      </c>
    </row>
    <row r="1022" ht="14.25" spans="1:8">
      <c r="A1022" s="3" t="str">
        <f>"10902103501"</f>
        <v>10902103501</v>
      </c>
      <c r="B1022" s="3">
        <v>1</v>
      </c>
      <c r="C1022" s="3">
        <v>35</v>
      </c>
      <c r="D1022" s="3">
        <v>1</v>
      </c>
      <c r="E1022" s="3" t="s">
        <v>8</v>
      </c>
      <c r="F1022" s="4">
        <v>79</v>
      </c>
      <c r="G1022" s="4"/>
      <c r="H1022" s="4">
        <f t="shared" si="83"/>
        <v>79</v>
      </c>
    </row>
    <row r="1023" ht="14.25" spans="1:8">
      <c r="A1023" s="3" t="str">
        <f>"10902103502"</f>
        <v>10902103502</v>
      </c>
      <c r="B1023" s="3">
        <v>1</v>
      </c>
      <c r="C1023" s="3">
        <v>35</v>
      </c>
      <c r="D1023" s="3">
        <v>2</v>
      </c>
      <c r="E1023" s="3" t="s">
        <v>8</v>
      </c>
      <c r="F1023" s="4">
        <v>86</v>
      </c>
      <c r="G1023" s="4"/>
      <c r="H1023" s="4">
        <f t="shared" si="83"/>
        <v>86</v>
      </c>
    </row>
    <row r="1024" ht="14.25" spans="1:8">
      <c r="A1024" s="3" t="str">
        <f>"10902103503"</f>
        <v>10902103503</v>
      </c>
      <c r="B1024" s="3">
        <v>1</v>
      </c>
      <c r="C1024" s="3">
        <v>35</v>
      </c>
      <c r="D1024" s="3">
        <v>3</v>
      </c>
      <c r="E1024" s="3" t="s">
        <v>8</v>
      </c>
      <c r="F1024" s="3">
        <v>0</v>
      </c>
      <c r="G1024" s="4"/>
      <c r="H1024" s="3">
        <v>0</v>
      </c>
    </row>
    <row r="1025" ht="14.25" spans="1:8">
      <c r="A1025" s="3" t="str">
        <f>"10902103504"</f>
        <v>10902103504</v>
      </c>
      <c r="B1025" s="3">
        <v>1</v>
      </c>
      <c r="C1025" s="3">
        <v>35</v>
      </c>
      <c r="D1025" s="3">
        <v>4</v>
      </c>
      <c r="E1025" s="3" t="s">
        <v>8</v>
      </c>
      <c r="F1025" s="4">
        <v>69.5</v>
      </c>
      <c r="G1025" s="4"/>
      <c r="H1025" s="4">
        <f t="shared" ref="H1025:H1036" si="84">F1025+G1025</f>
        <v>69.5</v>
      </c>
    </row>
    <row r="1026" ht="14.25" spans="1:8">
      <c r="A1026" s="3" t="str">
        <f>"10902103505"</f>
        <v>10902103505</v>
      </c>
      <c r="B1026" s="3">
        <v>1</v>
      </c>
      <c r="C1026" s="3">
        <v>35</v>
      </c>
      <c r="D1026" s="3">
        <v>5</v>
      </c>
      <c r="E1026" s="3" t="s">
        <v>8</v>
      </c>
      <c r="F1026" s="4">
        <v>74.5</v>
      </c>
      <c r="G1026" s="4"/>
      <c r="H1026" s="4">
        <f t="shared" si="84"/>
        <v>74.5</v>
      </c>
    </row>
    <row r="1027" ht="14.25" spans="1:8">
      <c r="A1027" s="3" t="str">
        <f>"10902103506"</f>
        <v>10902103506</v>
      </c>
      <c r="B1027" s="3">
        <v>1</v>
      </c>
      <c r="C1027" s="3">
        <v>35</v>
      </c>
      <c r="D1027" s="3">
        <v>6</v>
      </c>
      <c r="E1027" s="3" t="s">
        <v>8</v>
      </c>
      <c r="F1027" s="3">
        <v>0</v>
      </c>
      <c r="G1027" s="4"/>
      <c r="H1027" s="3">
        <v>0</v>
      </c>
    </row>
    <row r="1028" ht="14.25" spans="1:8">
      <c r="A1028" s="3" t="str">
        <f>"10902103507"</f>
        <v>10902103507</v>
      </c>
      <c r="B1028" s="3">
        <v>1</v>
      </c>
      <c r="C1028" s="3">
        <v>35</v>
      </c>
      <c r="D1028" s="3">
        <v>7</v>
      </c>
      <c r="E1028" s="3" t="s">
        <v>8</v>
      </c>
      <c r="F1028" s="4">
        <v>84.5</v>
      </c>
      <c r="G1028" s="4"/>
      <c r="H1028" s="4">
        <f t="shared" si="84"/>
        <v>84.5</v>
      </c>
    </row>
    <row r="1029" ht="14.25" spans="1:8">
      <c r="A1029" s="3" t="str">
        <f>"10902103508"</f>
        <v>10902103508</v>
      </c>
      <c r="B1029" s="3">
        <v>1</v>
      </c>
      <c r="C1029" s="3">
        <v>35</v>
      </c>
      <c r="D1029" s="3">
        <v>8</v>
      </c>
      <c r="E1029" s="3" t="s">
        <v>8</v>
      </c>
      <c r="F1029" s="4">
        <v>74</v>
      </c>
      <c r="G1029" s="4"/>
      <c r="H1029" s="4">
        <f t="shared" si="84"/>
        <v>74</v>
      </c>
    </row>
    <row r="1030" ht="14.25" spans="1:8">
      <c r="A1030" s="3" t="str">
        <f>"10902103509"</f>
        <v>10902103509</v>
      </c>
      <c r="B1030" s="3">
        <v>1</v>
      </c>
      <c r="C1030" s="3">
        <v>35</v>
      </c>
      <c r="D1030" s="3">
        <v>9</v>
      </c>
      <c r="E1030" s="3" t="s">
        <v>8</v>
      </c>
      <c r="F1030" s="4">
        <v>90.5</v>
      </c>
      <c r="G1030" s="4"/>
      <c r="H1030" s="4">
        <f t="shared" si="84"/>
        <v>90.5</v>
      </c>
    </row>
    <row r="1031" ht="14.25" spans="1:8">
      <c r="A1031" s="3" t="str">
        <f>"10902103510"</f>
        <v>10902103510</v>
      </c>
      <c r="B1031" s="3">
        <v>1</v>
      </c>
      <c r="C1031" s="3">
        <v>35</v>
      </c>
      <c r="D1031" s="3">
        <v>10</v>
      </c>
      <c r="E1031" s="3" t="s">
        <v>8</v>
      </c>
      <c r="F1031" s="4">
        <v>82.5</v>
      </c>
      <c r="G1031" s="4"/>
      <c r="H1031" s="4">
        <f t="shared" si="84"/>
        <v>82.5</v>
      </c>
    </row>
    <row r="1032" ht="14.25" spans="1:8">
      <c r="A1032" s="3" t="str">
        <f>"10902103511"</f>
        <v>10902103511</v>
      </c>
      <c r="B1032" s="3">
        <v>1</v>
      </c>
      <c r="C1032" s="3">
        <v>35</v>
      </c>
      <c r="D1032" s="3">
        <v>11</v>
      </c>
      <c r="E1032" s="3" t="s">
        <v>8</v>
      </c>
      <c r="F1032" s="4">
        <v>79.5</v>
      </c>
      <c r="G1032" s="4"/>
      <c r="H1032" s="4">
        <f t="shared" si="84"/>
        <v>79.5</v>
      </c>
    </row>
    <row r="1033" ht="14.25" spans="1:8">
      <c r="A1033" s="3" t="str">
        <f>"10902103512"</f>
        <v>10902103512</v>
      </c>
      <c r="B1033" s="3">
        <v>1</v>
      </c>
      <c r="C1033" s="3">
        <v>35</v>
      </c>
      <c r="D1033" s="3">
        <v>12</v>
      </c>
      <c r="E1033" s="3" t="s">
        <v>8</v>
      </c>
      <c r="F1033" s="4">
        <v>86</v>
      </c>
      <c r="G1033" s="4"/>
      <c r="H1033" s="4">
        <f t="shared" si="84"/>
        <v>86</v>
      </c>
    </row>
    <row r="1034" ht="14.25" spans="1:8">
      <c r="A1034" s="3" t="str">
        <f>"10902103513"</f>
        <v>10902103513</v>
      </c>
      <c r="B1034" s="3">
        <v>1</v>
      </c>
      <c r="C1034" s="3">
        <v>35</v>
      </c>
      <c r="D1034" s="3">
        <v>13</v>
      </c>
      <c r="E1034" s="3" t="s">
        <v>8</v>
      </c>
      <c r="F1034" s="4">
        <v>76</v>
      </c>
      <c r="G1034" s="4"/>
      <c r="H1034" s="4">
        <f t="shared" si="84"/>
        <v>76</v>
      </c>
    </row>
    <row r="1035" ht="14.25" spans="1:8">
      <c r="A1035" s="3" t="str">
        <f>"10902103514"</f>
        <v>10902103514</v>
      </c>
      <c r="B1035" s="3">
        <v>1</v>
      </c>
      <c r="C1035" s="3">
        <v>35</v>
      </c>
      <c r="D1035" s="3">
        <v>14</v>
      </c>
      <c r="E1035" s="3" t="s">
        <v>8</v>
      </c>
      <c r="F1035" s="4">
        <v>87</v>
      </c>
      <c r="G1035" s="4"/>
      <c r="H1035" s="4">
        <f t="shared" si="84"/>
        <v>87</v>
      </c>
    </row>
    <row r="1036" ht="14.25" spans="1:8">
      <c r="A1036" s="3" t="str">
        <f>"10902103515"</f>
        <v>10902103515</v>
      </c>
      <c r="B1036" s="3">
        <v>1</v>
      </c>
      <c r="C1036" s="3">
        <v>35</v>
      </c>
      <c r="D1036" s="3">
        <v>15</v>
      </c>
      <c r="E1036" s="3" t="s">
        <v>8</v>
      </c>
      <c r="F1036" s="4">
        <v>71.5</v>
      </c>
      <c r="G1036" s="4"/>
      <c r="H1036" s="4">
        <f t="shared" si="84"/>
        <v>71.5</v>
      </c>
    </row>
    <row r="1037" ht="14.25" spans="1:8">
      <c r="A1037" s="3" t="str">
        <f>"10902103516"</f>
        <v>10902103516</v>
      </c>
      <c r="B1037" s="3">
        <v>1</v>
      </c>
      <c r="C1037" s="3">
        <v>35</v>
      </c>
      <c r="D1037" s="3">
        <v>16</v>
      </c>
      <c r="E1037" s="3" t="s">
        <v>8</v>
      </c>
      <c r="F1037" s="3">
        <v>0</v>
      </c>
      <c r="G1037" s="4"/>
      <c r="H1037" s="3">
        <v>0</v>
      </c>
    </row>
    <row r="1038" ht="14.25" spans="1:8">
      <c r="A1038" s="3" t="str">
        <f>"10902103517"</f>
        <v>10902103517</v>
      </c>
      <c r="B1038" s="3">
        <v>1</v>
      </c>
      <c r="C1038" s="3">
        <v>35</v>
      </c>
      <c r="D1038" s="3">
        <v>17</v>
      </c>
      <c r="E1038" s="3" t="s">
        <v>8</v>
      </c>
      <c r="F1038" s="4">
        <v>76</v>
      </c>
      <c r="G1038" s="4"/>
      <c r="H1038" s="4">
        <f t="shared" ref="H1038:H1042" si="85">F1038+G1038</f>
        <v>76</v>
      </c>
    </row>
    <row r="1039" ht="14.25" spans="1:8">
      <c r="A1039" s="3" t="str">
        <f>"10902103518"</f>
        <v>10902103518</v>
      </c>
      <c r="B1039" s="3">
        <v>1</v>
      </c>
      <c r="C1039" s="3">
        <v>35</v>
      </c>
      <c r="D1039" s="3">
        <v>18</v>
      </c>
      <c r="E1039" s="3" t="s">
        <v>8</v>
      </c>
      <c r="F1039" s="4">
        <v>80.5</v>
      </c>
      <c r="G1039" s="4"/>
      <c r="H1039" s="4">
        <f t="shared" si="85"/>
        <v>80.5</v>
      </c>
    </row>
    <row r="1040" ht="14.25" spans="1:8">
      <c r="A1040" s="3" t="str">
        <f>"10902103519"</f>
        <v>10902103519</v>
      </c>
      <c r="B1040" s="3">
        <v>1</v>
      </c>
      <c r="C1040" s="3">
        <v>35</v>
      </c>
      <c r="D1040" s="3">
        <v>19</v>
      </c>
      <c r="E1040" s="3" t="s">
        <v>8</v>
      </c>
      <c r="F1040" s="4">
        <v>73</v>
      </c>
      <c r="G1040" s="4"/>
      <c r="H1040" s="4">
        <f t="shared" si="85"/>
        <v>73</v>
      </c>
    </row>
    <row r="1041" ht="14.25" spans="1:8">
      <c r="A1041" s="3" t="str">
        <f>"10902103520"</f>
        <v>10902103520</v>
      </c>
      <c r="B1041" s="3">
        <v>1</v>
      </c>
      <c r="C1041" s="3">
        <v>35</v>
      </c>
      <c r="D1041" s="3">
        <v>20</v>
      </c>
      <c r="E1041" s="3" t="s">
        <v>8</v>
      </c>
      <c r="F1041" s="4">
        <v>67</v>
      </c>
      <c r="G1041" s="4"/>
      <c r="H1041" s="4">
        <f t="shared" si="85"/>
        <v>67</v>
      </c>
    </row>
    <row r="1042" ht="14.25" spans="1:8">
      <c r="A1042" s="3" t="str">
        <f>"10902103521"</f>
        <v>10902103521</v>
      </c>
      <c r="B1042" s="3">
        <v>1</v>
      </c>
      <c r="C1042" s="3">
        <v>35</v>
      </c>
      <c r="D1042" s="3">
        <v>21</v>
      </c>
      <c r="E1042" s="3" t="s">
        <v>8</v>
      </c>
      <c r="F1042" s="4">
        <v>81</v>
      </c>
      <c r="G1042" s="4"/>
      <c r="H1042" s="4">
        <f t="shared" si="85"/>
        <v>81</v>
      </c>
    </row>
    <row r="1043" ht="14.25" spans="1:8">
      <c r="A1043" s="3" t="str">
        <f>"10902103522"</f>
        <v>10902103522</v>
      </c>
      <c r="B1043" s="3">
        <v>1</v>
      </c>
      <c r="C1043" s="3">
        <v>35</v>
      </c>
      <c r="D1043" s="3">
        <v>22</v>
      </c>
      <c r="E1043" s="3" t="s">
        <v>8</v>
      </c>
      <c r="F1043" s="3">
        <v>0</v>
      </c>
      <c r="G1043" s="4"/>
      <c r="H1043" s="3">
        <v>0</v>
      </c>
    </row>
    <row r="1044" ht="14.25" spans="1:8">
      <c r="A1044" s="3" t="str">
        <f>"10902103523"</f>
        <v>10902103523</v>
      </c>
      <c r="B1044" s="3">
        <v>1</v>
      </c>
      <c r="C1044" s="3">
        <v>35</v>
      </c>
      <c r="D1044" s="3">
        <v>23</v>
      </c>
      <c r="E1044" s="3" t="s">
        <v>8</v>
      </c>
      <c r="F1044" s="4">
        <v>69</v>
      </c>
      <c r="G1044" s="4"/>
      <c r="H1044" s="4">
        <f t="shared" ref="H1044:H1049" si="86">F1044+G1044</f>
        <v>69</v>
      </c>
    </row>
    <row r="1045" ht="14.25" spans="1:8">
      <c r="A1045" s="3" t="str">
        <f>"10902103524"</f>
        <v>10902103524</v>
      </c>
      <c r="B1045" s="3">
        <v>1</v>
      </c>
      <c r="C1045" s="3">
        <v>35</v>
      </c>
      <c r="D1045" s="3">
        <v>24</v>
      </c>
      <c r="E1045" s="3" t="s">
        <v>8</v>
      </c>
      <c r="F1045" s="4">
        <v>81.5</v>
      </c>
      <c r="G1045" s="4"/>
      <c r="H1045" s="4">
        <f t="shared" si="86"/>
        <v>81.5</v>
      </c>
    </row>
    <row r="1046" ht="14.25" spans="1:8">
      <c r="A1046" s="3" t="str">
        <f>"10902103525"</f>
        <v>10902103525</v>
      </c>
      <c r="B1046" s="3">
        <v>1</v>
      </c>
      <c r="C1046" s="3">
        <v>35</v>
      </c>
      <c r="D1046" s="3">
        <v>25</v>
      </c>
      <c r="E1046" s="3" t="s">
        <v>8</v>
      </c>
      <c r="F1046" s="4">
        <v>70.5</v>
      </c>
      <c r="G1046" s="4"/>
      <c r="H1046" s="4">
        <f t="shared" si="86"/>
        <v>70.5</v>
      </c>
    </row>
    <row r="1047" ht="14.25" spans="1:8">
      <c r="A1047" s="3" t="str">
        <f>"10902103526"</f>
        <v>10902103526</v>
      </c>
      <c r="B1047" s="3">
        <v>1</v>
      </c>
      <c r="C1047" s="3">
        <v>35</v>
      </c>
      <c r="D1047" s="3">
        <v>26</v>
      </c>
      <c r="E1047" s="3" t="s">
        <v>8</v>
      </c>
      <c r="F1047" s="4">
        <v>84.5</v>
      </c>
      <c r="G1047" s="4"/>
      <c r="H1047" s="4">
        <f t="shared" si="86"/>
        <v>84.5</v>
      </c>
    </row>
    <row r="1048" ht="14.25" spans="1:8">
      <c r="A1048" s="3" t="str">
        <f>"10902103527"</f>
        <v>10902103527</v>
      </c>
      <c r="B1048" s="3">
        <v>1</v>
      </c>
      <c r="C1048" s="3">
        <v>35</v>
      </c>
      <c r="D1048" s="3">
        <v>27</v>
      </c>
      <c r="E1048" s="3" t="s">
        <v>8</v>
      </c>
      <c r="F1048" s="4">
        <v>79.5</v>
      </c>
      <c r="G1048" s="4"/>
      <c r="H1048" s="4">
        <f t="shared" si="86"/>
        <v>79.5</v>
      </c>
    </row>
    <row r="1049" ht="14.25" spans="1:8">
      <c r="A1049" s="3" t="str">
        <f>"10902103528"</f>
        <v>10902103528</v>
      </c>
      <c r="B1049" s="3">
        <v>1</v>
      </c>
      <c r="C1049" s="3">
        <v>35</v>
      </c>
      <c r="D1049" s="3">
        <v>28</v>
      </c>
      <c r="E1049" s="3" t="s">
        <v>8</v>
      </c>
      <c r="F1049" s="4">
        <v>79</v>
      </c>
      <c r="G1049" s="4"/>
      <c r="H1049" s="4">
        <f t="shared" si="86"/>
        <v>79</v>
      </c>
    </row>
    <row r="1050" ht="14.25" spans="1:8">
      <c r="A1050" s="3" t="str">
        <f>"10902103529"</f>
        <v>10902103529</v>
      </c>
      <c r="B1050" s="3">
        <v>1</v>
      </c>
      <c r="C1050" s="3">
        <v>35</v>
      </c>
      <c r="D1050" s="3">
        <v>29</v>
      </c>
      <c r="E1050" s="3" t="s">
        <v>8</v>
      </c>
      <c r="F1050" s="3">
        <v>0</v>
      </c>
      <c r="G1050" s="4"/>
      <c r="H1050" s="3">
        <v>0</v>
      </c>
    </row>
    <row r="1051" ht="14.25" spans="1:8">
      <c r="A1051" s="3" t="str">
        <f>"10902103530"</f>
        <v>10902103530</v>
      </c>
      <c r="B1051" s="3">
        <v>1</v>
      </c>
      <c r="C1051" s="3">
        <v>35</v>
      </c>
      <c r="D1051" s="3">
        <v>30</v>
      </c>
      <c r="E1051" s="3" t="s">
        <v>8</v>
      </c>
      <c r="F1051" s="3">
        <v>0</v>
      </c>
      <c r="G1051" s="4"/>
      <c r="H1051" s="3">
        <v>0</v>
      </c>
    </row>
    <row r="1052" ht="14.25" spans="1:8">
      <c r="A1052" s="3" t="str">
        <f>"10902103601"</f>
        <v>10902103601</v>
      </c>
      <c r="B1052" s="3">
        <v>1</v>
      </c>
      <c r="C1052" s="3">
        <v>36</v>
      </c>
      <c r="D1052" s="3">
        <v>1</v>
      </c>
      <c r="E1052" s="3" t="s">
        <v>8</v>
      </c>
      <c r="F1052" s="4">
        <v>85.5</v>
      </c>
      <c r="G1052" s="4"/>
      <c r="H1052" s="4">
        <f t="shared" ref="H1052:H1067" si="87">F1052+G1052</f>
        <v>85.5</v>
      </c>
    </row>
    <row r="1053" ht="14.25" spans="1:8">
      <c r="A1053" s="3" t="str">
        <f>"10902103602"</f>
        <v>10902103602</v>
      </c>
      <c r="B1053" s="3">
        <v>1</v>
      </c>
      <c r="C1053" s="3">
        <v>36</v>
      </c>
      <c r="D1053" s="3">
        <v>2</v>
      </c>
      <c r="E1053" s="3" t="s">
        <v>8</v>
      </c>
      <c r="F1053" s="4">
        <v>66</v>
      </c>
      <c r="G1053" s="4"/>
      <c r="H1053" s="4">
        <f t="shared" si="87"/>
        <v>66</v>
      </c>
    </row>
    <row r="1054" ht="14.25" spans="1:8">
      <c r="A1054" s="3" t="str">
        <f>"10902103603"</f>
        <v>10902103603</v>
      </c>
      <c r="B1054" s="3">
        <v>1</v>
      </c>
      <c r="C1054" s="3">
        <v>36</v>
      </c>
      <c r="D1054" s="3">
        <v>3</v>
      </c>
      <c r="E1054" s="3" t="s">
        <v>8</v>
      </c>
      <c r="F1054" s="3">
        <v>0</v>
      </c>
      <c r="G1054" s="4"/>
      <c r="H1054" s="3">
        <v>0</v>
      </c>
    </row>
    <row r="1055" ht="14.25" spans="1:8">
      <c r="A1055" s="3" t="str">
        <f>"10903103604"</f>
        <v>10903103604</v>
      </c>
      <c r="B1055" s="3">
        <v>1</v>
      </c>
      <c r="C1055" s="3">
        <v>36</v>
      </c>
      <c r="D1055" s="3">
        <v>4</v>
      </c>
      <c r="E1055" s="3" t="s">
        <v>8</v>
      </c>
      <c r="F1055" s="3">
        <v>0</v>
      </c>
      <c r="G1055" s="4"/>
      <c r="H1055" s="3">
        <v>0</v>
      </c>
    </row>
    <row r="1056" ht="14.25" spans="1:8">
      <c r="A1056" s="3" t="str">
        <f>"10903103605"</f>
        <v>10903103605</v>
      </c>
      <c r="B1056" s="3">
        <v>1</v>
      </c>
      <c r="C1056" s="3">
        <v>36</v>
      </c>
      <c r="D1056" s="3">
        <v>5</v>
      </c>
      <c r="E1056" s="3" t="s">
        <v>8</v>
      </c>
      <c r="F1056" s="4">
        <v>64</v>
      </c>
      <c r="G1056" s="4"/>
      <c r="H1056" s="4">
        <f t="shared" si="87"/>
        <v>64</v>
      </c>
    </row>
    <row r="1057" ht="14.25" spans="1:8">
      <c r="A1057" s="3" t="str">
        <f>"10903103606"</f>
        <v>10903103606</v>
      </c>
      <c r="B1057" s="3">
        <v>1</v>
      </c>
      <c r="C1057" s="3">
        <v>36</v>
      </c>
      <c r="D1057" s="3">
        <v>6</v>
      </c>
      <c r="E1057" s="3" t="s">
        <v>8</v>
      </c>
      <c r="F1057" s="4">
        <v>55.5</v>
      </c>
      <c r="G1057" s="4"/>
      <c r="H1057" s="4">
        <f t="shared" si="87"/>
        <v>55.5</v>
      </c>
    </row>
    <row r="1058" ht="14.25" spans="1:8">
      <c r="A1058" s="3" t="str">
        <f>"10903103607"</f>
        <v>10903103607</v>
      </c>
      <c r="B1058" s="3">
        <v>1</v>
      </c>
      <c r="C1058" s="3">
        <v>36</v>
      </c>
      <c r="D1058" s="3">
        <v>7</v>
      </c>
      <c r="E1058" s="3" t="s">
        <v>8</v>
      </c>
      <c r="F1058" s="4">
        <v>55</v>
      </c>
      <c r="G1058" s="4"/>
      <c r="H1058" s="4">
        <f t="shared" si="87"/>
        <v>55</v>
      </c>
    </row>
    <row r="1059" ht="14.25" spans="1:8">
      <c r="A1059" s="3" t="str">
        <f>"10903103608"</f>
        <v>10903103608</v>
      </c>
      <c r="B1059" s="3">
        <v>1</v>
      </c>
      <c r="C1059" s="3">
        <v>36</v>
      </c>
      <c r="D1059" s="3">
        <v>8</v>
      </c>
      <c r="E1059" s="3" t="s">
        <v>8</v>
      </c>
      <c r="F1059" s="4">
        <v>80</v>
      </c>
      <c r="G1059" s="4"/>
      <c r="H1059" s="4">
        <f t="shared" si="87"/>
        <v>80</v>
      </c>
    </row>
    <row r="1060" ht="14.25" spans="1:8">
      <c r="A1060" s="3" t="str">
        <f>"10903103609"</f>
        <v>10903103609</v>
      </c>
      <c r="B1060" s="3">
        <v>1</v>
      </c>
      <c r="C1060" s="3">
        <v>36</v>
      </c>
      <c r="D1060" s="3">
        <v>9</v>
      </c>
      <c r="E1060" s="3" t="s">
        <v>8</v>
      </c>
      <c r="F1060" s="4">
        <v>66.5</v>
      </c>
      <c r="G1060" s="4"/>
      <c r="H1060" s="4">
        <f t="shared" si="87"/>
        <v>66.5</v>
      </c>
    </row>
    <row r="1061" ht="14.25" spans="1:8">
      <c r="A1061" s="3" t="str">
        <f>"10903103610"</f>
        <v>10903103610</v>
      </c>
      <c r="B1061" s="3">
        <v>1</v>
      </c>
      <c r="C1061" s="3">
        <v>36</v>
      </c>
      <c r="D1061" s="3">
        <v>10</v>
      </c>
      <c r="E1061" s="3" t="s">
        <v>8</v>
      </c>
      <c r="F1061" s="4">
        <v>83</v>
      </c>
      <c r="G1061" s="4"/>
      <c r="H1061" s="4">
        <f t="shared" si="87"/>
        <v>83</v>
      </c>
    </row>
    <row r="1062" ht="14.25" spans="1:8">
      <c r="A1062" s="3" t="str">
        <f>"10903103611"</f>
        <v>10903103611</v>
      </c>
      <c r="B1062" s="3">
        <v>1</v>
      </c>
      <c r="C1062" s="3">
        <v>36</v>
      </c>
      <c r="D1062" s="3">
        <v>11</v>
      </c>
      <c r="E1062" s="3" t="s">
        <v>8</v>
      </c>
      <c r="F1062" s="4">
        <v>62.5</v>
      </c>
      <c r="G1062" s="4"/>
      <c r="H1062" s="4">
        <f t="shared" si="87"/>
        <v>62.5</v>
      </c>
    </row>
    <row r="1063" ht="14.25" spans="1:8">
      <c r="A1063" s="3" t="str">
        <f>"10903103612"</f>
        <v>10903103612</v>
      </c>
      <c r="B1063" s="3">
        <v>1</v>
      </c>
      <c r="C1063" s="3">
        <v>36</v>
      </c>
      <c r="D1063" s="3">
        <v>12</v>
      </c>
      <c r="E1063" s="3" t="s">
        <v>8</v>
      </c>
      <c r="F1063" s="4">
        <v>58.5</v>
      </c>
      <c r="G1063" s="4"/>
      <c r="H1063" s="4">
        <f t="shared" si="87"/>
        <v>58.5</v>
      </c>
    </row>
    <row r="1064" ht="14.25" spans="1:8">
      <c r="A1064" s="3" t="str">
        <f>"10903103613"</f>
        <v>10903103613</v>
      </c>
      <c r="B1064" s="3">
        <v>1</v>
      </c>
      <c r="C1064" s="3">
        <v>36</v>
      </c>
      <c r="D1064" s="3">
        <v>13</v>
      </c>
      <c r="E1064" s="3" t="s">
        <v>8</v>
      </c>
      <c r="F1064" s="4">
        <v>66.5</v>
      </c>
      <c r="G1064" s="4"/>
      <c r="H1064" s="4">
        <f t="shared" si="87"/>
        <v>66.5</v>
      </c>
    </row>
    <row r="1065" ht="14.25" spans="1:8">
      <c r="A1065" s="3" t="str">
        <f>"10903103614"</f>
        <v>10903103614</v>
      </c>
      <c r="B1065" s="3">
        <v>1</v>
      </c>
      <c r="C1065" s="3">
        <v>36</v>
      </c>
      <c r="D1065" s="3">
        <v>14</v>
      </c>
      <c r="E1065" s="3" t="s">
        <v>8</v>
      </c>
      <c r="F1065" s="4">
        <v>74.5</v>
      </c>
      <c r="G1065" s="4"/>
      <c r="H1065" s="4">
        <f t="shared" si="87"/>
        <v>74.5</v>
      </c>
    </row>
    <row r="1066" ht="14.25" spans="1:8">
      <c r="A1066" s="3" t="str">
        <f>"10903103615"</f>
        <v>10903103615</v>
      </c>
      <c r="B1066" s="3">
        <v>1</v>
      </c>
      <c r="C1066" s="3">
        <v>36</v>
      </c>
      <c r="D1066" s="3">
        <v>15</v>
      </c>
      <c r="E1066" s="3" t="s">
        <v>8</v>
      </c>
      <c r="F1066" s="4">
        <v>62</v>
      </c>
      <c r="G1066" s="4"/>
      <c r="H1066" s="4">
        <f t="shared" si="87"/>
        <v>62</v>
      </c>
    </row>
    <row r="1067" ht="14.25" spans="1:8">
      <c r="A1067" s="3" t="str">
        <f>"10903103616"</f>
        <v>10903103616</v>
      </c>
      <c r="B1067" s="3">
        <v>1</v>
      </c>
      <c r="C1067" s="3">
        <v>36</v>
      </c>
      <c r="D1067" s="3">
        <v>16</v>
      </c>
      <c r="E1067" s="3" t="s">
        <v>8</v>
      </c>
      <c r="F1067" s="4">
        <v>69</v>
      </c>
      <c r="G1067" s="4"/>
      <c r="H1067" s="4">
        <f t="shared" si="87"/>
        <v>69</v>
      </c>
    </row>
    <row r="1068" ht="14.25" spans="1:8">
      <c r="A1068" s="3" t="str">
        <f>"10903103617"</f>
        <v>10903103617</v>
      </c>
      <c r="B1068" s="3">
        <v>1</v>
      </c>
      <c r="C1068" s="3">
        <v>36</v>
      </c>
      <c r="D1068" s="3">
        <v>17</v>
      </c>
      <c r="E1068" s="3" t="s">
        <v>8</v>
      </c>
      <c r="F1068" s="3">
        <v>0</v>
      </c>
      <c r="G1068" s="4"/>
      <c r="H1068" s="3">
        <v>0</v>
      </c>
    </row>
    <row r="1069" ht="14.25" spans="1:8">
      <c r="A1069" s="3" t="str">
        <f>"10903103618"</f>
        <v>10903103618</v>
      </c>
      <c r="B1069" s="3">
        <v>1</v>
      </c>
      <c r="C1069" s="3">
        <v>36</v>
      </c>
      <c r="D1069" s="3">
        <v>18</v>
      </c>
      <c r="E1069" s="3" t="s">
        <v>8</v>
      </c>
      <c r="F1069" s="4">
        <v>65</v>
      </c>
      <c r="G1069" s="4"/>
      <c r="H1069" s="4">
        <f t="shared" ref="H1069:H1084" si="88">F1069+G1069</f>
        <v>65</v>
      </c>
    </row>
    <row r="1070" ht="14.25" spans="1:8">
      <c r="A1070" s="3" t="str">
        <f>"10903103619"</f>
        <v>10903103619</v>
      </c>
      <c r="B1070" s="3">
        <v>1</v>
      </c>
      <c r="C1070" s="3">
        <v>36</v>
      </c>
      <c r="D1070" s="3">
        <v>19</v>
      </c>
      <c r="E1070" s="3" t="s">
        <v>8</v>
      </c>
      <c r="F1070" s="3">
        <v>0</v>
      </c>
      <c r="G1070" s="4"/>
      <c r="H1070" s="3">
        <v>0</v>
      </c>
    </row>
    <row r="1071" ht="14.25" spans="1:8">
      <c r="A1071" s="3" t="str">
        <f>"10903103620"</f>
        <v>10903103620</v>
      </c>
      <c r="B1071" s="3">
        <v>1</v>
      </c>
      <c r="C1071" s="3">
        <v>36</v>
      </c>
      <c r="D1071" s="3">
        <v>20</v>
      </c>
      <c r="E1071" s="3" t="s">
        <v>8</v>
      </c>
      <c r="F1071" s="4">
        <v>61</v>
      </c>
      <c r="G1071" s="4"/>
      <c r="H1071" s="4">
        <f t="shared" si="88"/>
        <v>61</v>
      </c>
    </row>
    <row r="1072" ht="14.25" spans="1:8">
      <c r="A1072" s="3" t="str">
        <f>"10904522401"</f>
        <v>10904522401</v>
      </c>
      <c r="B1072" s="3">
        <v>5</v>
      </c>
      <c r="C1072" s="3">
        <v>224</v>
      </c>
      <c r="D1072" s="3">
        <v>1</v>
      </c>
      <c r="E1072" s="3" t="s">
        <v>9</v>
      </c>
      <c r="F1072" s="4">
        <v>71.5</v>
      </c>
      <c r="G1072" s="4"/>
      <c r="H1072" s="4">
        <f t="shared" si="88"/>
        <v>71.5</v>
      </c>
    </row>
    <row r="1073" ht="14.25" spans="1:8">
      <c r="A1073" s="3" t="str">
        <f>"10904522402"</f>
        <v>10904522402</v>
      </c>
      <c r="B1073" s="3">
        <v>5</v>
      </c>
      <c r="C1073" s="3">
        <v>224</v>
      </c>
      <c r="D1073" s="3">
        <v>2</v>
      </c>
      <c r="E1073" s="3" t="s">
        <v>9</v>
      </c>
      <c r="F1073" s="4">
        <v>75.5</v>
      </c>
      <c r="G1073" s="4"/>
      <c r="H1073" s="4">
        <f t="shared" si="88"/>
        <v>75.5</v>
      </c>
    </row>
    <row r="1074" ht="14.25" spans="1:8">
      <c r="A1074" s="3" t="str">
        <f>"10904522403"</f>
        <v>10904522403</v>
      </c>
      <c r="B1074" s="3">
        <v>5</v>
      </c>
      <c r="C1074" s="3">
        <v>224</v>
      </c>
      <c r="D1074" s="3">
        <v>3</v>
      </c>
      <c r="E1074" s="3" t="s">
        <v>9</v>
      </c>
      <c r="F1074" s="4">
        <v>80</v>
      </c>
      <c r="G1074" s="4"/>
      <c r="H1074" s="4">
        <f t="shared" si="88"/>
        <v>80</v>
      </c>
    </row>
    <row r="1075" ht="14.25" spans="1:8">
      <c r="A1075" s="3" t="str">
        <f>"10904522404"</f>
        <v>10904522404</v>
      </c>
      <c r="B1075" s="3">
        <v>5</v>
      </c>
      <c r="C1075" s="3">
        <v>224</v>
      </c>
      <c r="D1075" s="3">
        <v>4</v>
      </c>
      <c r="E1075" s="3" t="s">
        <v>9</v>
      </c>
      <c r="F1075" s="4">
        <v>70</v>
      </c>
      <c r="G1075" s="4"/>
      <c r="H1075" s="4">
        <f t="shared" si="88"/>
        <v>70</v>
      </c>
    </row>
    <row r="1076" ht="14.25" spans="1:8">
      <c r="A1076" s="3" t="str">
        <f>"10904522405"</f>
        <v>10904522405</v>
      </c>
      <c r="B1076" s="3">
        <v>5</v>
      </c>
      <c r="C1076" s="3">
        <v>224</v>
      </c>
      <c r="D1076" s="3">
        <v>5</v>
      </c>
      <c r="E1076" s="3" t="s">
        <v>9</v>
      </c>
      <c r="F1076" s="4">
        <v>65</v>
      </c>
      <c r="G1076" s="4"/>
      <c r="H1076" s="4">
        <f t="shared" si="88"/>
        <v>65</v>
      </c>
    </row>
    <row r="1077" ht="14.25" spans="1:8">
      <c r="A1077" s="3" t="str">
        <f>"10904522406"</f>
        <v>10904522406</v>
      </c>
      <c r="B1077" s="3">
        <v>5</v>
      </c>
      <c r="C1077" s="3">
        <v>224</v>
      </c>
      <c r="D1077" s="3">
        <v>6</v>
      </c>
      <c r="E1077" s="3" t="s">
        <v>9</v>
      </c>
      <c r="F1077" s="4">
        <v>60.5</v>
      </c>
      <c r="G1077" s="4"/>
      <c r="H1077" s="4">
        <f t="shared" si="88"/>
        <v>60.5</v>
      </c>
    </row>
    <row r="1078" ht="14.25" spans="1:8">
      <c r="A1078" s="3" t="str">
        <f>"10904522407"</f>
        <v>10904522407</v>
      </c>
      <c r="B1078" s="3">
        <v>5</v>
      </c>
      <c r="C1078" s="3">
        <v>224</v>
      </c>
      <c r="D1078" s="3">
        <v>7</v>
      </c>
      <c r="E1078" s="3" t="s">
        <v>9</v>
      </c>
      <c r="F1078" s="4">
        <v>68</v>
      </c>
      <c r="G1078" s="4"/>
      <c r="H1078" s="4">
        <f t="shared" si="88"/>
        <v>68</v>
      </c>
    </row>
    <row r="1079" ht="14.25" spans="1:8">
      <c r="A1079" s="3" t="str">
        <f>"10904522408"</f>
        <v>10904522408</v>
      </c>
      <c r="B1079" s="3">
        <v>5</v>
      </c>
      <c r="C1079" s="3">
        <v>224</v>
      </c>
      <c r="D1079" s="3">
        <v>8</v>
      </c>
      <c r="E1079" s="3" t="s">
        <v>9</v>
      </c>
      <c r="F1079" s="4">
        <v>60</v>
      </c>
      <c r="G1079" s="4"/>
      <c r="H1079" s="4">
        <f t="shared" si="88"/>
        <v>60</v>
      </c>
    </row>
    <row r="1080" ht="14.25" spans="1:8">
      <c r="A1080" s="3" t="str">
        <f>"10904522409"</f>
        <v>10904522409</v>
      </c>
      <c r="B1080" s="3">
        <v>5</v>
      </c>
      <c r="C1080" s="3">
        <v>224</v>
      </c>
      <c r="D1080" s="3">
        <v>9</v>
      </c>
      <c r="E1080" s="3" t="s">
        <v>9</v>
      </c>
      <c r="F1080" s="4">
        <v>58</v>
      </c>
      <c r="G1080" s="4"/>
      <c r="H1080" s="4">
        <f t="shared" si="88"/>
        <v>58</v>
      </c>
    </row>
    <row r="1081" ht="14.25" spans="1:8">
      <c r="A1081" s="3" t="str">
        <f>"10904522410"</f>
        <v>10904522410</v>
      </c>
      <c r="B1081" s="3">
        <v>5</v>
      </c>
      <c r="C1081" s="3">
        <v>224</v>
      </c>
      <c r="D1081" s="3">
        <v>10</v>
      </c>
      <c r="E1081" s="3" t="s">
        <v>9</v>
      </c>
      <c r="F1081" s="4">
        <v>42</v>
      </c>
      <c r="G1081" s="4"/>
      <c r="H1081" s="4">
        <f t="shared" si="88"/>
        <v>42</v>
      </c>
    </row>
    <row r="1082" ht="14.25" spans="1:8">
      <c r="A1082" s="3" t="str">
        <f>"10904522411"</f>
        <v>10904522411</v>
      </c>
      <c r="B1082" s="3">
        <v>5</v>
      </c>
      <c r="C1082" s="3">
        <v>224</v>
      </c>
      <c r="D1082" s="3">
        <v>11</v>
      </c>
      <c r="E1082" s="3" t="s">
        <v>9</v>
      </c>
      <c r="F1082" s="4">
        <v>60.5</v>
      </c>
      <c r="G1082" s="4"/>
      <c r="H1082" s="4">
        <f t="shared" si="88"/>
        <v>60.5</v>
      </c>
    </row>
    <row r="1083" ht="14.25" spans="1:8">
      <c r="A1083" s="3" t="str">
        <f>"10904522412"</f>
        <v>10904522412</v>
      </c>
      <c r="B1083" s="3">
        <v>5</v>
      </c>
      <c r="C1083" s="3">
        <v>224</v>
      </c>
      <c r="D1083" s="3">
        <v>12</v>
      </c>
      <c r="E1083" s="3" t="s">
        <v>9</v>
      </c>
      <c r="F1083" s="4">
        <v>63.5</v>
      </c>
      <c r="G1083" s="4"/>
      <c r="H1083" s="4">
        <f t="shared" si="88"/>
        <v>63.5</v>
      </c>
    </row>
    <row r="1084" ht="14.25" spans="1:8">
      <c r="A1084" s="3" t="str">
        <f>"10904522413"</f>
        <v>10904522413</v>
      </c>
      <c r="B1084" s="3">
        <v>5</v>
      </c>
      <c r="C1084" s="3">
        <v>224</v>
      </c>
      <c r="D1084" s="3">
        <v>13</v>
      </c>
      <c r="E1084" s="3" t="s">
        <v>9</v>
      </c>
      <c r="F1084" s="4">
        <v>75.5</v>
      </c>
      <c r="G1084" s="4"/>
      <c r="H1084" s="4">
        <f t="shared" si="88"/>
        <v>75.5</v>
      </c>
    </row>
    <row r="1085" ht="14.25" spans="1:8">
      <c r="A1085" s="3" t="str">
        <f>"10904522414"</f>
        <v>10904522414</v>
      </c>
      <c r="B1085" s="3">
        <v>5</v>
      </c>
      <c r="C1085" s="3">
        <v>224</v>
      </c>
      <c r="D1085" s="3">
        <v>14</v>
      </c>
      <c r="E1085" s="3" t="s">
        <v>9</v>
      </c>
      <c r="F1085" s="3">
        <v>0</v>
      </c>
      <c r="G1085" s="4"/>
      <c r="H1085" s="3">
        <v>0</v>
      </c>
    </row>
    <row r="1086" ht="14.25" spans="1:8">
      <c r="A1086" s="3" t="str">
        <f>"10904522415"</f>
        <v>10904522415</v>
      </c>
      <c r="B1086" s="3">
        <v>5</v>
      </c>
      <c r="C1086" s="3">
        <v>224</v>
      </c>
      <c r="D1086" s="3">
        <v>15</v>
      </c>
      <c r="E1086" s="3" t="s">
        <v>9</v>
      </c>
      <c r="F1086" s="3">
        <v>0</v>
      </c>
      <c r="G1086" s="4"/>
      <c r="H1086" s="3">
        <v>0</v>
      </c>
    </row>
    <row r="1087" ht="14.25" spans="1:8">
      <c r="A1087" s="3" t="str">
        <f>"10904522416"</f>
        <v>10904522416</v>
      </c>
      <c r="B1087" s="3">
        <v>5</v>
      </c>
      <c r="C1087" s="3">
        <v>224</v>
      </c>
      <c r="D1087" s="3">
        <v>16</v>
      </c>
      <c r="E1087" s="3" t="s">
        <v>9</v>
      </c>
      <c r="F1087" s="4">
        <v>58.5</v>
      </c>
      <c r="G1087" s="4"/>
      <c r="H1087" s="4">
        <f t="shared" ref="H1087:H1093" si="89">F1087+G1087</f>
        <v>58.5</v>
      </c>
    </row>
    <row r="1088" ht="14.25" spans="1:8">
      <c r="A1088" s="3" t="str">
        <f>"11001103621"</f>
        <v>11001103621</v>
      </c>
      <c r="B1088" s="3">
        <v>1</v>
      </c>
      <c r="C1088" s="3">
        <v>36</v>
      </c>
      <c r="D1088" s="3">
        <v>21</v>
      </c>
      <c r="E1088" s="3" t="s">
        <v>8</v>
      </c>
      <c r="F1088" s="4">
        <v>85.5</v>
      </c>
      <c r="G1088" s="4"/>
      <c r="H1088" s="4">
        <f t="shared" si="89"/>
        <v>85.5</v>
      </c>
    </row>
    <row r="1089" ht="14.25" spans="1:8">
      <c r="A1089" s="3" t="str">
        <f>"11001103622"</f>
        <v>11001103622</v>
      </c>
      <c r="B1089" s="3">
        <v>1</v>
      </c>
      <c r="C1089" s="3">
        <v>36</v>
      </c>
      <c r="D1089" s="3">
        <v>22</v>
      </c>
      <c r="E1089" s="3" t="s">
        <v>8</v>
      </c>
      <c r="F1089" s="4">
        <v>75.5</v>
      </c>
      <c r="G1089" s="4"/>
      <c r="H1089" s="4">
        <f t="shared" si="89"/>
        <v>75.5</v>
      </c>
    </row>
    <row r="1090" ht="14.25" spans="1:8">
      <c r="A1090" s="3" t="str">
        <f>"11001103623"</f>
        <v>11001103623</v>
      </c>
      <c r="B1090" s="3">
        <v>1</v>
      </c>
      <c r="C1090" s="3">
        <v>36</v>
      </c>
      <c r="D1090" s="3">
        <v>23</v>
      </c>
      <c r="E1090" s="3" t="s">
        <v>8</v>
      </c>
      <c r="F1090" s="4">
        <v>85.5</v>
      </c>
      <c r="G1090" s="4"/>
      <c r="H1090" s="4">
        <f t="shared" si="89"/>
        <v>85.5</v>
      </c>
    </row>
    <row r="1091" ht="14.25" spans="1:8">
      <c r="A1091" s="3" t="str">
        <f>"11001103624"</f>
        <v>11001103624</v>
      </c>
      <c r="B1091" s="3">
        <v>1</v>
      </c>
      <c r="C1091" s="3">
        <v>36</v>
      </c>
      <c r="D1091" s="3">
        <v>24</v>
      </c>
      <c r="E1091" s="3" t="s">
        <v>8</v>
      </c>
      <c r="F1091" s="4">
        <v>67.5</v>
      </c>
      <c r="G1091" s="4"/>
      <c r="H1091" s="4">
        <f t="shared" si="89"/>
        <v>67.5</v>
      </c>
    </row>
    <row r="1092" ht="14.25" spans="1:8">
      <c r="A1092" s="3" t="str">
        <f>"11001103625"</f>
        <v>11001103625</v>
      </c>
      <c r="B1092" s="3">
        <v>1</v>
      </c>
      <c r="C1092" s="3">
        <v>36</v>
      </c>
      <c r="D1092" s="3">
        <v>25</v>
      </c>
      <c r="E1092" s="3" t="s">
        <v>8</v>
      </c>
      <c r="F1092" s="4">
        <v>80.5</v>
      </c>
      <c r="G1092" s="4"/>
      <c r="H1092" s="4">
        <f t="shared" si="89"/>
        <v>80.5</v>
      </c>
    </row>
    <row r="1093" ht="14.25" spans="1:8">
      <c r="A1093" s="3" t="str">
        <f>"11001103626"</f>
        <v>11001103626</v>
      </c>
      <c r="B1093" s="3">
        <v>1</v>
      </c>
      <c r="C1093" s="3">
        <v>36</v>
      </c>
      <c r="D1093" s="3">
        <v>26</v>
      </c>
      <c r="E1093" s="3" t="s">
        <v>8</v>
      </c>
      <c r="F1093" s="4">
        <v>73.5</v>
      </c>
      <c r="G1093" s="4"/>
      <c r="H1093" s="4">
        <f t="shared" si="89"/>
        <v>73.5</v>
      </c>
    </row>
    <row r="1094" ht="14.25" spans="1:8">
      <c r="A1094" s="3" t="str">
        <f>"11001103627"</f>
        <v>11001103627</v>
      </c>
      <c r="B1094" s="3">
        <v>1</v>
      </c>
      <c r="C1094" s="3">
        <v>36</v>
      </c>
      <c r="D1094" s="3">
        <v>27</v>
      </c>
      <c r="E1094" s="3" t="s">
        <v>8</v>
      </c>
      <c r="F1094" s="3">
        <v>0</v>
      </c>
      <c r="G1094" s="4"/>
      <c r="H1094" s="3">
        <v>0</v>
      </c>
    </row>
    <row r="1095" ht="14.25" spans="1:8">
      <c r="A1095" s="3" t="str">
        <f>"11001103628"</f>
        <v>11001103628</v>
      </c>
      <c r="B1095" s="3">
        <v>1</v>
      </c>
      <c r="C1095" s="3">
        <v>36</v>
      </c>
      <c r="D1095" s="3">
        <v>28</v>
      </c>
      <c r="E1095" s="3" t="s">
        <v>8</v>
      </c>
      <c r="F1095" s="4">
        <v>60.5</v>
      </c>
      <c r="G1095" s="4"/>
      <c r="H1095" s="4">
        <f t="shared" ref="H1095:H1099" si="90">F1095+G1095</f>
        <v>60.5</v>
      </c>
    </row>
    <row r="1096" ht="14.25" spans="1:8">
      <c r="A1096" s="3" t="str">
        <f>"11001103629"</f>
        <v>11001103629</v>
      </c>
      <c r="B1096" s="3">
        <v>1</v>
      </c>
      <c r="C1096" s="3">
        <v>36</v>
      </c>
      <c r="D1096" s="3">
        <v>29</v>
      </c>
      <c r="E1096" s="3" t="s">
        <v>8</v>
      </c>
      <c r="F1096" s="4">
        <v>78</v>
      </c>
      <c r="G1096" s="4"/>
      <c r="H1096" s="4">
        <f t="shared" si="90"/>
        <v>78</v>
      </c>
    </row>
    <row r="1097" ht="14.25" spans="1:8">
      <c r="A1097" s="3" t="str">
        <f>"11001103630"</f>
        <v>11001103630</v>
      </c>
      <c r="B1097" s="3">
        <v>1</v>
      </c>
      <c r="C1097" s="3">
        <v>36</v>
      </c>
      <c r="D1097" s="3">
        <v>30</v>
      </c>
      <c r="E1097" s="3" t="s">
        <v>8</v>
      </c>
      <c r="F1097" s="4">
        <v>83</v>
      </c>
      <c r="G1097" s="4"/>
      <c r="H1097" s="4">
        <f t="shared" si="90"/>
        <v>83</v>
      </c>
    </row>
    <row r="1098" ht="14.25" spans="1:8">
      <c r="A1098" s="3" t="str">
        <f>"11001103701"</f>
        <v>11001103701</v>
      </c>
      <c r="B1098" s="3">
        <v>1</v>
      </c>
      <c r="C1098" s="3">
        <v>37</v>
      </c>
      <c r="D1098" s="3">
        <v>1</v>
      </c>
      <c r="E1098" s="3" t="s">
        <v>8</v>
      </c>
      <c r="F1098" s="4">
        <v>70.5</v>
      </c>
      <c r="G1098" s="4"/>
      <c r="H1098" s="4">
        <f t="shared" si="90"/>
        <v>70.5</v>
      </c>
    </row>
    <row r="1099" ht="14.25" spans="1:8">
      <c r="A1099" s="3" t="str">
        <f>"11001103702"</f>
        <v>11001103702</v>
      </c>
      <c r="B1099" s="3">
        <v>1</v>
      </c>
      <c r="C1099" s="3">
        <v>37</v>
      </c>
      <c r="D1099" s="3">
        <v>2</v>
      </c>
      <c r="E1099" s="3" t="s">
        <v>8</v>
      </c>
      <c r="F1099" s="4">
        <v>79.5</v>
      </c>
      <c r="G1099" s="4"/>
      <c r="H1099" s="4">
        <f t="shared" si="90"/>
        <v>79.5</v>
      </c>
    </row>
    <row r="1100" ht="14.25" spans="1:8">
      <c r="A1100" s="3" t="str">
        <f>"11001103703"</f>
        <v>11001103703</v>
      </c>
      <c r="B1100" s="3">
        <v>1</v>
      </c>
      <c r="C1100" s="3">
        <v>37</v>
      </c>
      <c r="D1100" s="3">
        <v>3</v>
      </c>
      <c r="E1100" s="3" t="s">
        <v>8</v>
      </c>
      <c r="F1100" s="3">
        <v>0</v>
      </c>
      <c r="G1100" s="4"/>
      <c r="H1100" s="3">
        <v>0</v>
      </c>
    </row>
    <row r="1101" ht="14.25" spans="1:8">
      <c r="A1101" s="3" t="str">
        <f>"11001103704"</f>
        <v>11001103704</v>
      </c>
      <c r="B1101" s="3">
        <v>1</v>
      </c>
      <c r="C1101" s="3">
        <v>37</v>
      </c>
      <c r="D1101" s="3">
        <v>4</v>
      </c>
      <c r="E1101" s="3" t="s">
        <v>8</v>
      </c>
      <c r="F1101" s="4">
        <v>79</v>
      </c>
      <c r="G1101" s="4"/>
      <c r="H1101" s="4">
        <f t="shared" ref="H1101:H1108" si="91">F1101+G1101</f>
        <v>79</v>
      </c>
    </row>
    <row r="1102" ht="14.25" spans="1:8">
      <c r="A1102" s="3" t="str">
        <f>"11001103705"</f>
        <v>11001103705</v>
      </c>
      <c r="B1102" s="3">
        <v>1</v>
      </c>
      <c r="C1102" s="3">
        <v>37</v>
      </c>
      <c r="D1102" s="3">
        <v>5</v>
      </c>
      <c r="E1102" s="3" t="s">
        <v>8</v>
      </c>
      <c r="F1102" s="4">
        <v>74</v>
      </c>
      <c r="G1102" s="4"/>
      <c r="H1102" s="4">
        <f t="shared" si="91"/>
        <v>74</v>
      </c>
    </row>
    <row r="1103" ht="14.25" spans="1:8">
      <c r="A1103" s="3" t="str">
        <f>"11001103706"</f>
        <v>11001103706</v>
      </c>
      <c r="B1103" s="3">
        <v>1</v>
      </c>
      <c r="C1103" s="3">
        <v>37</v>
      </c>
      <c r="D1103" s="3">
        <v>6</v>
      </c>
      <c r="E1103" s="3" t="s">
        <v>8</v>
      </c>
      <c r="F1103" s="4">
        <v>53.5</v>
      </c>
      <c r="G1103" s="4"/>
      <c r="H1103" s="4">
        <f t="shared" si="91"/>
        <v>53.5</v>
      </c>
    </row>
    <row r="1104" ht="14.25" spans="1:8">
      <c r="A1104" s="3" t="str">
        <f>"11001103707"</f>
        <v>11001103707</v>
      </c>
      <c r="B1104" s="3">
        <v>1</v>
      </c>
      <c r="C1104" s="3">
        <v>37</v>
      </c>
      <c r="D1104" s="3">
        <v>7</v>
      </c>
      <c r="E1104" s="3" t="s">
        <v>8</v>
      </c>
      <c r="F1104" s="4">
        <v>58.5</v>
      </c>
      <c r="G1104" s="4"/>
      <c r="H1104" s="4">
        <f t="shared" si="91"/>
        <v>58.5</v>
      </c>
    </row>
    <row r="1105" ht="14.25" spans="1:8">
      <c r="A1105" s="3" t="str">
        <f>"11001103708"</f>
        <v>11001103708</v>
      </c>
      <c r="B1105" s="3">
        <v>1</v>
      </c>
      <c r="C1105" s="3">
        <v>37</v>
      </c>
      <c r="D1105" s="3">
        <v>8</v>
      </c>
      <c r="E1105" s="3" t="s">
        <v>8</v>
      </c>
      <c r="F1105" s="4">
        <v>80</v>
      </c>
      <c r="G1105" s="4"/>
      <c r="H1105" s="4">
        <f t="shared" si="91"/>
        <v>80</v>
      </c>
    </row>
    <row r="1106" ht="14.25" spans="1:8">
      <c r="A1106" s="3" t="str">
        <f>"11001103709"</f>
        <v>11001103709</v>
      </c>
      <c r="B1106" s="3">
        <v>1</v>
      </c>
      <c r="C1106" s="3">
        <v>37</v>
      </c>
      <c r="D1106" s="3">
        <v>9</v>
      </c>
      <c r="E1106" s="3" t="s">
        <v>8</v>
      </c>
      <c r="F1106" s="4">
        <v>72.5</v>
      </c>
      <c r="G1106" s="4"/>
      <c r="H1106" s="4">
        <f t="shared" si="91"/>
        <v>72.5</v>
      </c>
    </row>
    <row r="1107" ht="14.25" spans="1:8">
      <c r="A1107" s="3" t="str">
        <f>"11001103710"</f>
        <v>11001103710</v>
      </c>
      <c r="B1107" s="3">
        <v>1</v>
      </c>
      <c r="C1107" s="3">
        <v>37</v>
      </c>
      <c r="D1107" s="3">
        <v>10</v>
      </c>
      <c r="E1107" s="3" t="s">
        <v>8</v>
      </c>
      <c r="F1107" s="4">
        <v>79.5</v>
      </c>
      <c r="G1107" s="4"/>
      <c r="H1107" s="4">
        <f t="shared" si="91"/>
        <v>79.5</v>
      </c>
    </row>
    <row r="1108" ht="14.25" spans="1:8">
      <c r="A1108" s="3" t="str">
        <f>"11001103711"</f>
        <v>11001103711</v>
      </c>
      <c r="B1108" s="3">
        <v>1</v>
      </c>
      <c r="C1108" s="3">
        <v>37</v>
      </c>
      <c r="D1108" s="3">
        <v>11</v>
      </c>
      <c r="E1108" s="3" t="s">
        <v>8</v>
      </c>
      <c r="F1108" s="4">
        <v>86.5</v>
      </c>
      <c r="G1108" s="4"/>
      <c r="H1108" s="4">
        <f t="shared" si="91"/>
        <v>86.5</v>
      </c>
    </row>
    <row r="1109" ht="14.25" spans="1:8">
      <c r="A1109" s="3" t="str">
        <f>"11001103712"</f>
        <v>11001103712</v>
      </c>
      <c r="B1109" s="3">
        <v>1</v>
      </c>
      <c r="C1109" s="3">
        <v>37</v>
      </c>
      <c r="D1109" s="3">
        <v>12</v>
      </c>
      <c r="E1109" s="3" t="s">
        <v>8</v>
      </c>
      <c r="F1109" s="3">
        <v>0</v>
      </c>
      <c r="G1109" s="4"/>
      <c r="H1109" s="3">
        <v>0</v>
      </c>
    </row>
    <row r="1110" ht="14.25" spans="1:8">
      <c r="A1110" s="3" t="str">
        <f>"11001103713"</f>
        <v>11001103713</v>
      </c>
      <c r="B1110" s="3">
        <v>1</v>
      </c>
      <c r="C1110" s="3">
        <v>37</v>
      </c>
      <c r="D1110" s="3">
        <v>13</v>
      </c>
      <c r="E1110" s="3" t="s">
        <v>8</v>
      </c>
      <c r="F1110" s="4">
        <v>80.5</v>
      </c>
      <c r="G1110" s="4"/>
      <c r="H1110" s="4">
        <f t="shared" ref="H1110:H1114" si="92">F1110+G1110</f>
        <v>80.5</v>
      </c>
    </row>
    <row r="1111" ht="14.25" spans="1:8">
      <c r="A1111" s="3" t="str">
        <f>"11001103714"</f>
        <v>11001103714</v>
      </c>
      <c r="B1111" s="3">
        <v>1</v>
      </c>
      <c r="C1111" s="3">
        <v>37</v>
      </c>
      <c r="D1111" s="3">
        <v>14</v>
      </c>
      <c r="E1111" s="3" t="s">
        <v>8</v>
      </c>
      <c r="F1111" s="4">
        <v>68.5</v>
      </c>
      <c r="G1111" s="4"/>
      <c r="H1111" s="4">
        <f t="shared" si="92"/>
        <v>68.5</v>
      </c>
    </row>
    <row r="1112" ht="14.25" spans="1:8">
      <c r="A1112" s="3" t="str">
        <f>"11001103715"</f>
        <v>11001103715</v>
      </c>
      <c r="B1112" s="3">
        <v>1</v>
      </c>
      <c r="C1112" s="3">
        <v>37</v>
      </c>
      <c r="D1112" s="3">
        <v>15</v>
      </c>
      <c r="E1112" s="3" t="s">
        <v>8</v>
      </c>
      <c r="F1112" s="4">
        <v>44.5</v>
      </c>
      <c r="G1112" s="4"/>
      <c r="H1112" s="4">
        <f t="shared" si="92"/>
        <v>44.5</v>
      </c>
    </row>
    <row r="1113" ht="14.25" spans="1:8">
      <c r="A1113" s="3" t="str">
        <f>"11001103716"</f>
        <v>11001103716</v>
      </c>
      <c r="B1113" s="3">
        <v>1</v>
      </c>
      <c r="C1113" s="3">
        <v>37</v>
      </c>
      <c r="D1113" s="3">
        <v>16</v>
      </c>
      <c r="E1113" s="3" t="s">
        <v>8</v>
      </c>
      <c r="F1113" s="4">
        <v>82.5</v>
      </c>
      <c r="G1113" s="4"/>
      <c r="H1113" s="4">
        <f t="shared" si="92"/>
        <v>82.5</v>
      </c>
    </row>
    <row r="1114" ht="14.25" spans="1:8">
      <c r="A1114" s="3" t="str">
        <f>"11001103717"</f>
        <v>11001103717</v>
      </c>
      <c r="B1114" s="3">
        <v>1</v>
      </c>
      <c r="C1114" s="3">
        <v>37</v>
      </c>
      <c r="D1114" s="3">
        <v>17</v>
      </c>
      <c r="E1114" s="3" t="s">
        <v>8</v>
      </c>
      <c r="F1114" s="4">
        <v>71</v>
      </c>
      <c r="G1114" s="4"/>
      <c r="H1114" s="4">
        <f t="shared" si="92"/>
        <v>71</v>
      </c>
    </row>
    <row r="1115" ht="14.25" spans="1:8">
      <c r="A1115" s="3" t="str">
        <f>"11001103718"</f>
        <v>11001103718</v>
      </c>
      <c r="B1115" s="3">
        <v>1</v>
      </c>
      <c r="C1115" s="3">
        <v>37</v>
      </c>
      <c r="D1115" s="3">
        <v>18</v>
      </c>
      <c r="E1115" s="3" t="s">
        <v>8</v>
      </c>
      <c r="F1115" s="3">
        <v>0</v>
      </c>
      <c r="G1115" s="4"/>
      <c r="H1115" s="3">
        <v>0</v>
      </c>
    </row>
    <row r="1116" ht="14.25" spans="1:8">
      <c r="A1116" s="3" t="str">
        <f>"11001103719"</f>
        <v>11001103719</v>
      </c>
      <c r="B1116" s="3">
        <v>1</v>
      </c>
      <c r="C1116" s="3">
        <v>37</v>
      </c>
      <c r="D1116" s="3">
        <v>19</v>
      </c>
      <c r="E1116" s="3" t="s">
        <v>8</v>
      </c>
      <c r="F1116" s="4">
        <v>77</v>
      </c>
      <c r="G1116" s="4"/>
      <c r="H1116" s="4">
        <f t="shared" ref="H1116:H1122" si="93">F1116+G1116</f>
        <v>77</v>
      </c>
    </row>
    <row r="1117" ht="14.25" spans="1:8">
      <c r="A1117" s="3" t="str">
        <f>"11001103720"</f>
        <v>11001103720</v>
      </c>
      <c r="B1117" s="3">
        <v>1</v>
      </c>
      <c r="C1117" s="3">
        <v>37</v>
      </c>
      <c r="D1117" s="3">
        <v>20</v>
      </c>
      <c r="E1117" s="3" t="s">
        <v>8</v>
      </c>
      <c r="F1117" s="4">
        <v>83.5</v>
      </c>
      <c r="G1117" s="4"/>
      <c r="H1117" s="4">
        <f t="shared" si="93"/>
        <v>83.5</v>
      </c>
    </row>
    <row r="1118" ht="14.25" spans="1:8">
      <c r="A1118" s="3" t="str">
        <f>"11001103721"</f>
        <v>11001103721</v>
      </c>
      <c r="B1118" s="3">
        <v>1</v>
      </c>
      <c r="C1118" s="3">
        <v>37</v>
      </c>
      <c r="D1118" s="3">
        <v>21</v>
      </c>
      <c r="E1118" s="3" t="s">
        <v>8</v>
      </c>
      <c r="F1118" s="4">
        <v>78.5</v>
      </c>
      <c r="G1118" s="4"/>
      <c r="H1118" s="4">
        <f t="shared" si="93"/>
        <v>78.5</v>
      </c>
    </row>
    <row r="1119" ht="14.25" spans="1:8">
      <c r="A1119" s="3" t="str">
        <f>"11001103722"</f>
        <v>11001103722</v>
      </c>
      <c r="B1119" s="3">
        <v>1</v>
      </c>
      <c r="C1119" s="3">
        <v>37</v>
      </c>
      <c r="D1119" s="3">
        <v>22</v>
      </c>
      <c r="E1119" s="3" t="s">
        <v>8</v>
      </c>
      <c r="F1119" s="4">
        <v>83.5</v>
      </c>
      <c r="G1119" s="4"/>
      <c r="H1119" s="4">
        <f t="shared" si="93"/>
        <v>83.5</v>
      </c>
    </row>
    <row r="1120" ht="14.25" spans="1:8">
      <c r="A1120" s="3" t="str">
        <f>"11001103723"</f>
        <v>11001103723</v>
      </c>
      <c r="B1120" s="3">
        <v>1</v>
      </c>
      <c r="C1120" s="3">
        <v>37</v>
      </c>
      <c r="D1120" s="3">
        <v>23</v>
      </c>
      <c r="E1120" s="3" t="s">
        <v>8</v>
      </c>
      <c r="F1120" s="4">
        <v>45.5</v>
      </c>
      <c r="G1120" s="4"/>
      <c r="H1120" s="4">
        <f t="shared" si="93"/>
        <v>45.5</v>
      </c>
    </row>
    <row r="1121" ht="14.25" spans="1:8">
      <c r="A1121" s="3" t="str">
        <f>"11001103724"</f>
        <v>11001103724</v>
      </c>
      <c r="B1121" s="3">
        <v>1</v>
      </c>
      <c r="C1121" s="3">
        <v>37</v>
      </c>
      <c r="D1121" s="3">
        <v>24</v>
      </c>
      <c r="E1121" s="3" t="s">
        <v>8</v>
      </c>
      <c r="F1121" s="4">
        <v>72</v>
      </c>
      <c r="G1121" s="4"/>
      <c r="H1121" s="4">
        <f t="shared" si="93"/>
        <v>72</v>
      </c>
    </row>
    <row r="1122" ht="14.25" spans="1:8">
      <c r="A1122" s="3" t="str">
        <f>"11001103725"</f>
        <v>11001103725</v>
      </c>
      <c r="B1122" s="3">
        <v>1</v>
      </c>
      <c r="C1122" s="3">
        <v>37</v>
      </c>
      <c r="D1122" s="3">
        <v>25</v>
      </c>
      <c r="E1122" s="3" t="s">
        <v>8</v>
      </c>
      <c r="F1122" s="4">
        <v>85</v>
      </c>
      <c r="G1122" s="4"/>
      <c r="H1122" s="4">
        <f t="shared" si="93"/>
        <v>85</v>
      </c>
    </row>
    <row r="1123" ht="14.25" spans="1:8">
      <c r="A1123" s="3" t="str">
        <f>"11001103726"</f>
        <v>11001103726</v>
      </c>
      <c r="B1123" s="3">
        <v>1</v>
      </c>
      <c r="C1123" s="3">
        <v>37</v>
      </c>
      <c r="D1123" s="3">
        <v>26</v>
      </c>
      <c r="E1123" s="3" t="s">
        <v>8</v>
      </c>
      <c r="F1123" s="3">
        <v>0</v>
      </c>
      <c r="G1123" s="4"/>
      <c r="H1123" s="3">
        <v>0</v>
      </c>
    </row>
    <row r="1124" ht="14.25" spans="1:8">
      <c r="A1124" s="3" t="str">
        <f>"11001103727"</f>
        <v>11001103727</v>
      </c>
      <c r="B1124" s="3">
        <v>1</v>
      </c>
      <c r="C1124" s="3">
        <v>37</v>
      </c>
      <c r="D1124" s="3">
        <v>27</v>
      </c>
      <c r="E1124" s="3" t="s">
        <v>8</v>
      </c>
      <c r="F1124" s="4">
        <v>69</v>
      </c>
      <c r="G1124" s="4"/>
      <c r="H1124" s="4">
        <f t="shared" ref="H1124:H1127" si="94">F1124+G1124</f>
        <v>69</v>
      </c>
    </row>
    <row r="1125" ht="14.25" spans="1:8">
      <c r="A1125" s="3" t="str">
        <f>"11002103728"</f>
        <v>11002103728</v>
      </c>
      <c r="B1125" s="3">
        <v>1</v>
      </c>
      <c r="C1125" s="3">
        <v>37</v>
      </c>
      <c r="D1125" s="3">
        <v>28</v>
      </c>
      <c r="E1125" s="3" t="s">
        <v>8</v>
      </c>
      <c r="F1125" s="4">
        <v>69</v>
      </c>
      <c r="G1125" s="4"/>
      <c r="H1125" s="4">
        <f t="shared" si="94"/>
        <v>69</v>
      </c>
    </row>
    <row r="1126" ht="14.25" spans="1:8">
      <c r="A1126" s="3" t="str">
        <f>"11002103729"</f>
        <v>11002103729</v>
      </c>
      <c r="B1126" s="3">
        <v>1</v>
      </c>
      <c r="C1126" s="3">
        <v>37</v>
      </c>
      <c r="D1126" s="3">
        <v>29</v>
      </c>
      <c r="E1126" s="3" t="s">
        <v>8</v>
      </c>
      <c r="F1126" s="4">
        <v>72.5</v>
      </c>
      <c r="G1126" s="4"/>
      <c r="H1126" s="4">
        <f t="shared" si="94"/>
        <v>72.5</v>
      </c>
    </row>
    <row r="1127" ht="14.25" spans="1:8">
      <c r="A1127" s="3" t="str">
        <f>"11002103730"</f>
        <v>11002103730</v>
      </c>
      <c r="B1127" s="3">
        <v>1</v>
      </c>
      <c r="C1127" s="3">
        <v>37</v>
      </c>
      <c r="D1127" s="3">
        <v>30</v>
      </c>
      <c r="E1127" s="3" t="s">
        <v>8</v>
      </c>
      <c r="F1127" s="4">
        <v>66.5</v>
      </c>
      <c r="G1127" s="4"/>
      <c r="H1127" s="4">
        <f t="shared" si="94"/>
        <v>66.5</v>
      </c>
    </row>
    <row r="1128" ht="14.25" spans="1:8">
      <c r="A1128" s="3" t="str">
        <f>"11002103801"</f>
        <v>11002103801</v>
      </c>
      <c r="B1128" s="3">
        <v>1</v>
      </c>
      <c r="C1128" s="3">
        <v>38</v>
      </c>
      <c r="D1128" s="3">
        <v>1</v>
      </c>
      <c r="E1128" s="3" t="s">
        <v>8</v>
      </c>
      <c r="F1128" s="3">
        <v>0</v>
      </c>
      <c r="G1128" s="4"/>
      <c r="H1128" s="3">
        <v>0</v>
      </c>
    </row>
    <row r="1129" ht="14.25" spans="1:8">
      <c r="A1129" s="3" t="str">
        <f>"11002103802"</f>
        <v>11002103802</v>
      </c>
      <c r="B1129" s="3">
        <v>1</v>
      </c>
      <c r="C1129" s="3">
        <v>38</v>
      </c>
      <c r="D1129" s="3">
        <v>2</v>
      </c>
      <c r="E1129" s="3" t="s">
        <v>8</v>
      </c>
      <c r="F1129" s="4">
        <v>77</v>
      </c>
      <c r="G1129" s="4"/>
      <c r="H1129" s="4">
        <f t="shared" ref="H1129:H1139" si="95">F1129+G1129</f>
        <v>77</v>
      </c>
    </row>
    <row r="1130" ht="14.25" spans="1:8">
      <c r="A1130" s="3" t="str">
        <f>"11002103803"</f>
        <v>11002103803</v>
      </c>
      <c r="B1130" s="3">
        <v>1</v>
      </c>
      <c r="C1130" s="3">
        <v>38</v>
      </c>
      <c r="D1130" s="3">
        <v>3</v>
      </c>
      <c r="E1130" s="3" t="s">
        <v>8</v>
      </c>
      <c r="F1130" s="4">
        <v>75.5</v>
      </c>
      <c r="G1130" s="4"/>
      <c r="H1130" s="4">
        <f t="shared" si="95"/>
        <v>75.5</v>
      </c>
    </row>
    <row r="1131" ht="14.25" spans="1:8">
      <c r="A1131" s="3" t="str">
        <f>"11002103804"</f>
        <v>11002103804</v>
      </c>
      <c r="B1131" s="3">
        <v>1</v>
      </c>
      <c r="C1131" s="3">
        <v>38</v>
      </c>
      <c r="D1131" s="3">
        <v>4</v>
      </c>
      <c r="E1131" s="3" t="s">
        <v>8</v>
      </c>
      <c r="F1131" s="4">
        <v>62</v>
      </c>
      <c r="G1131" s="4"/>
      <c r="H1131" s="4">
        <f t="shared" si="95"/>
        <v>62</v>
      </c>
    </row>
    <row r="1132" ht="14.25" spans="1:8">
      <c r="A1132" s="3" t="str">
        <f>"11002103805"</f>
        <v>11002103805</v>
      </c>
      <c r="B1132" s="3">
        <v>1</v>
      </c>
      <c r="C1132" s="3">
        <v>38</v>
      </c>
      <c r="D1132" s="3">
        <v>5</v>
      </c>
      <c r="E1132" s="3" t="s">
        <v>8</v>
      </c>
      <c r="F1132" s="4">
        <v>68</v>
      </c>
      <c r="G1132" s="4"/>
      <c r="H1132" s="4">
        <f t="shared" si="95"/>
        <v>68</v>
      </c>
    </row>
    <row r="1133" ht="14.25" spans="1:8">
      <c r="A1133" s="3" t="str">
        <f>"11002103806"</f>
        <v>11002103806</v>
      </c>
      <c r="B1133" s="3">
        <v>1</v>
      </c>
      <c r="C1133" s="3">
        <v>38</v>
      </c>
      <c r="D1133" s="3">
        <v>6</v>
      </c>
      <c r="E1133" s="3" t="s">
        <v>8</v>
      </c>
      <c r="F1133" s="4">
        <v>70.5</v>
      </c>
      <c r="G1133" s="4"/>
      <c r="H1133" s="4">
        <f t="shared" si="95"/>
        <v>70.5</v>
      </c>
    </row>
    <row r="1134" ht="14.25" spans="1:8">
      <c r="A1134" s="3" t="str">
        <f>"11002103807"</f>
        <v>11002103807</v>
      </c>
      <c r="B1134" s="3">
        <v>1</v>
      </c>
      <c r="C1134" s="3">
        <v>38</v>
      </c>
      <c r="D1134" s="3">
        <v>7</v>
      </c>
      <c r="E1134" s="3" t="s">
        <v>8</v>
      </c>
      <c r="F1134" s="4">
        <v>68</v>
      </c>
      <c r="G1134" s="4"/>
      <c r="H1134" s="4">
        <f t="shared" si="95"/>
        <v>68</v>
      </c>
    </row>
    <row r="1135" ht="14.25" spans="1:8">
      <c r="A1135" s="3" t="str">
        <f>"11002103808"</f>
        <v>11002103808</v>
      </c>
      <c r="B1135" s="3">
        <v>1</v>
      </c>
      <c r="C1135" s="3">
        <v>38</v>
      </c>
      <c r="D1135" s="3">
        <v>8</v>
      </c>
      <c r="E1135" s="3" t="s">
        <v>8</v>
      </c>
      <c r="F1135" s="4">
        <v>81.5</v>
      </c>
      <c r="G1135" s="4"/>
      <c r="H1135" s="4">
        <f t="shared" si="95"/>
        <v>81.5</v>
      </c>
    </row>
    <row r="1136" ht="14.25" spans="1:8">
      <c r="A1136" s="3" t="str">
        <f>"11002103809"</f>
        <v>11002103809</v>
      </c>
      <c r="B1136" s="3">
        <v>1</v>
      </c>
      <c r="C1136" s="3">
        <v>38</v>
      </c>
      <c r="D1136" s="3">
        <v>9</v>
      </c>
      <c r="E1136" s="3" t="s">
        <v>8</v>
      </c>
      <c r="F1136" s="4">
        <v>70.5</v>
      </c>
      <c r="G1136" s="4"/>
      <c r="H1136" s="4">
        <f t="shared" si="95"/>
        <v>70.5</v>
      </c>
    </row>
    <row r="1137" ht="14.25" spans="1:8">
      <c r="A1137" s="3" t="str">
        <f>"11002103810"</f>
        <v>11002103810</v>
      </c>
      <c r="B1137" s="3">
        <v>1</v>
      </c>
      <c r="C1137" s="3">
        <v>38</v>
      </c>
      <c r="D1137" s="3">
        <v>10</v>
      </c>
      <c r="E1137" s="3" t="s">
        <v>8</v>
      </c>
      <c r="F1137" s="4">
        <v>83.5</v>
      </c>
      <c r="G1137" s="4"/>
      <c r="H1137" s="4">
        <f t="shared" si="95"/>
        <v>83.5</v>
      </c>
    </row>
    <row r="1138" ht="14.25" spans="1:8">
      <c r="A1138" s="3" t="str">
        <f>"11002103811"</f>
        <v>11002103811</v>
      </c>
      <c r="B1138" s="3">
        <v>1</v>
      </c>
      <c r="C1138" s="3">
        <v>38</v>
      </c>
      <c r="D1138" s="3">
        <v>11</v>
      </c>
      <c r="E1138" s="3" t="s">
        <v>8</v>
      </c>
      <c r="F1138" s="4">
        <v>85.5</v>
      </c>
      <c r="G1138" s="4"/>
      <c r="H1138" s="4">
        <f t="shared" si="95"/>
        <v>85.5</v>
      </c>
    </row>
    <row r="1139" ht="14.25" spans="1:8">
      <c r="A1139" s="3" t="str">
        <f>"11002103812"</f>
        <v>11002103812</v>
      </c>
      <c r="B1139" s="3">
        <v>1</v>
      </c>
      <c r="C1139" s="3">
        <v>38</v>
      </c>
      <c r="D1139" s="3">
        <v>12</v>
      </c>
      <c r="E1139" s="3" t="s">
        <v>8</v>
      </c>
      <c r="F1139" s="4">
        <v>86</v>
      </c>
      <c r="G1139" s="4"/>
      <c r="H1139" s="4">
        <f t="shared" si="95"/>
        <v>86</v>
      </c>
    </row>
    <row r="1140" ht="14.25" spans="1:8">
      <c r="A1140" s="3" t="str">
        <f>"11002103813"</f>
        <v>11002103813</v>
      </c>
      <c r="B1140" s="3">
        <v>1</v>
      </c>
      <c r="C1140" s="3">
        <v>38</v>
      </c>
      <c r="D1140" s="3">
        <v>13</v>
      </c>
      <c r="E1140" s="3" t="s">
        <v>8</v>
      </c>
      <c r="F1140" s="3">
        <v>0</v>
      </c>
      <c r="G1140" s="4"/>
      <c r="H1140" s="3">
        <v>0</v>
      </c>
    </row>
    <row r="1141" ht="14.25" spans="1:8">
      <c r="A1141" s="3" t="str">
        <f>"11002103814"</f>
        <v>11002103814</v>
      </c>
      <c r="B1141" s="3">
        <v>1</v>
      </c>
      <c r="C1141" s="3">
        <v>38</v>
      </c>
      <c r="D1141" s="3">
        <v>14</v>
      </c>
      <c r="E1141" s="3" t="s">
        <v>8</v>
      </c>
      <c r="F1141" s="4">
        <v>86</v>
      </c>
      <c r="G1141" s="4"/>
      <c r="H1141" s="4">
        <f t="shared" ref="H1141:H1145" si="96">F1141+G1141</f>
        <v>86</v>
      </c>
    </row>
    <row r="1142" ht="14.25" spans="1:8">
      <c r="A1142" s="3" t="str">
        <f>"11002103815"</f>
        <v>11002103815</v>
      </c>
      <c r="B1142" s="3">
        <v>1</v>
      </c>
      <c r="C1142" s="3">
        <v>38</v>
      </c>
      <c r="D1142" s="3">
        <v>15</v>
      </c>
      <c r="E1142" s="3" t="s">
        <v>8</v>
      </c>
      <c r="F1142" s="3">
        <v>0</v>
      </c>
      <c r="G1142" s="4"/>
      <c r="H1142" s="3">
        <v>0</v>
      </c>
    </row>
    <row r="1143" ht="14.25" spans="1:8">
      <c r="A1143" s="3" t="str">
        <f>"11002103816"</f>
        <v>11002103816</v>
      </c>
      <c r="B1143" s="3">
        <v>1</v>
      </c>
      <c r="C1143" s="3">
        <v>38</v>
      </c>
      <c r="D1143" s="3">
        <v>16</v>
      </c>
      <c r="E1143" s="3" t="s">
        <v>8</v>
      </c>
      <c r="F1143" s="3">
        <v>0</v>
      </c>
      <c r="G1143" s="4"/>
      <c r="H1143" s="3">
        <v>0</v>
      </c>
    </row>
    <row r="1144" ht="14.25" spans="1:8">
      <c r="A1144" s="3" t="str">
        <f>"11002103817"</f>
        <v>11002103817</v>
      </c>
      <c r="B1144" s="3">
        <v>1</v>
      </c>
      <c r="C1144" s="3">
        <v>38</v>
      </c>
      <c r="D1144" s="3">
        <v>17</v>
      </c>
      <c r="E1144" s="3" t="s">
        <v>8</v>
      </c>
      <c r="F1144" s="4">
        <v>84</v>
      </c>
      <c r="G1144" s="4"/>
      <c r="H1144" s="4">
        <f t="shared" si="96"/>
        <v>84</v>
      </c>
    </row>
    <row r="1145" ht="14.25" spans="1:8">
      <c r="A1145" s="3" t="str">
        <f>"11002103818"</f>
        <v>11002103818</v>
      </c>
      <c r="B1145" s="3">
        <v>1</v>
      </c>
      <c r="C1145" s="3">
        <v>38</v>
      </c>
      <c r="D1145" s="3">
        <v>18</v>
      </c>
      <c r="E1145" s="3" t="s">
        <v>8</v>
      </c>
      <c r="F1145" s="4">
        <v>58</v>
      </c>
      <c r="G1145" s="4"/>
      <c r="H1145" s="4">
        <f t="shared" si="96"/>
        <v>58</v>
      </c>
    </row>
    <row r="1146" ht="14.25" spans="1:8">
      <c r="A1146" s="3" t="str">
        <f>"11002103819"</f>
        <v>11002103819</v>
      </c>
      <c r="B1146" s="3">
        <v>1</v>
      </c>
      <c r="C1146" s="3">
        <v>38</v>
      </c>
      <c r="D1146" s="3">
        <v>19</v>
      </c>
      <c r="E1146" s="3" t="s">
        <v>8</v>
      </c>
      <c r="F1146" s="3">
        <v>0</v>
      </c>
      <c r="G1146" s="4"/>
      <c r="H1146" s="3">
        <v>0</v>
      </c>
    </row>
    <row r="1147" ht="14.25" spans="1:8">
      <c r="A1147" s="3" t="str">
        <f>"11002103820"</f>
        <v>11002103820</v>
      </c>
      <c r="B1147" s="3">
        <v>1</v>
      </c>
      <c r="C1147" s="3">
        <v>38</v>
      </c>
      <c r="D1147" s="3">
        <v>20</v>
      </c>
      <c r="E1147" s="3" t="s">
        <v>8</v>
      </c>
      <c r="F1147" s="4">
        <v>87</v>
      </c>
      <c r="G1147" s="4"/>
      <c r="H1147" s="4">
        <f t="shared" ref="H1147:H1156" si="97">F1147+G1147</f>
        <v>87</v>
      </c>
    </row>
    <row r="1148" ht="14.25" spans="1:8">
      <c r="A1148" s="3" t="str">
        <f>"11002103821"</f>
        <v>11002103821</v>
      </c>
      <c r="B1148" s="3">
        <v>1</v>
      </c>
      <c r="C1148" s="3">
        <v>38</v>
      </c>
      <c r="D1148" s="3">
        <v>21</v>
      </c>
      <c r="E1148" s="3" t="s">
        <v>8</v>
      </c>
      <c r="F1148" s="4">
        <v>83</v>
      </c>
      <c r="G1148" s="4"/>
      <c r="H1148" s="4">
        <f t="shared" si="97"/>
        <v>83</v>
      </c>
    </row>
    <row r="1149" ht="14.25" spans="1:8">
      <c r="A1149" s="3" t="str">
        <f>"11002103822"</f>
        <v>11002103822</v>
      </c>
      <c r="B1149" s="3">
        <v>1</v>
      </c>
      <c r="C1149" s="3">
        <v>38</v>
      </c>
      <c r="D1149" s="3">
        <v>22</v>
      </c>
      <c r="E1149" s="3" t="s">
        <v>8</v>
      </c>
      <c r="F1149" s="4">
        <v>63.5</v>
      </c>
      <c r="G1149" s="4"/>
      <c r="H1149" s="4">
        <f t="shared" si="97"/>
        <v>63.5</v>
      </c>
    </row>
    <row r="1150" ht="14.25" spans="1:8">
      <c r="A1150" s="3" t="str">
        <f>"11002103823"</f>
        <v>11002103823</v>
      </c>
      <c r="B1150" s="3">
        <v>1</v>
      </c>
      <c r="C1150" s="3">
        <v>38</v>
      </c>
      <c r="D1150" s="3">
        <v>23</v>
      </c>
      <c r="E1150" s="3" t="s">
        <v>8</v>
      </c>
      <c r="F1150" s="4">
        <v>81.5</v>
      </c>
      <c r="G1150" s="4"/>
      <c r="H1150" s="4">
        <f t="shared" si="97"/>
        <v>81.5</v>
      </c>
    </row>
    <row r="1151" ht="14.25" spans="1:8">
      <c r="A1151" s="3" t="str">
        <f>"11003103824"</f>
        <v>11003103824</v>
      </c>
      <c r="B1151" s="3">
        <v>1</v>
      </c>
      <c r="C1151" s="3">
        <v>38</v>
      </c>
      <c r="D1151" s="3">
        <v>24</v>
      </c>
      <c r="E1151" s="3" t="s">
        <v>8</v>
      </c>
      <c r="F1151" s="4">
        <v>63</v>
      </c>
      <c r="G1151" s="4"/>
      <c r="H1151" s="4">
        <f t="shared" si="97"/>
        <v>63</v>
      </c>
    </row>
    <row r="1152" ht="14.25" spans="1:8">
      <c r="A1152" s="3" t="str">
        <f>"11003103825"</f>
        <v>11003103825</v>
      </c>
      <c r="B1152" s="3">
        <v>1</v>
      </c>
      <c r="C1152" s="3">
        <v>38</v>
      </c>
      <c r="D1152" s="3">
        <v>25</v>
      </c>
      <c r="E1152" s="3" t="s">
        <v>8</v>
      </c>
      <c r="F1152" s="4">
        <v>83</v>
      </c>
      <c r="G1152" s="4"/>
      <c r="H1152" s="4">
        <f t="shared" si="97"/>
        <v>83</v>
      </c>
    </row>
    <row r="1153" ht="14.25" spans="1:8">
      <c r="A1153" s="3" t="str">
        <f>"11003103826"</f>
        <v>11003103826</v>
      </c>
      <c r="B1153" s="3">
        <v>1</v>
      </c>
      <c r="C1153" s="3">
        <v>38</v>
      </c>
      <c r="D1153" s="3">
        <v>26</v>
      </c>
      <c r="E1153" s="3" t="s">
        <v>8</v>
      </c>
      <c r="F1153" s="4">
        <v>61.5</v>
      </c>
      <c r="G1153" s="4"/>
      <c r="H1153" s="4">
        <f t="shared" si="97"/>
        <v>61.5</v>
      </c>
    </row>
    <row r="1154" ht="14.25" spans="1:8">
      <c r="A1154" s="3" t="str">
        <f>"11003103827"</f>
        <v>11003103827</v>
      </c>
      <c r="B1154" s="3">
        <v>1</v>
      </c>
      <c r="C1154" s="3">
        <v>38</v>
      </c>
      <c r="D1154" s="3">
        <v>27</v>
      </c>
      <c r="E1154" s="3" t="s">
        <v>8</v>
      </c>
      <c r="F1154" s="4">
        <v>84.5</v>
      </c>
      <c r="G1154" s="4"/>
      <c r="H1154" s="4">
        <f t="shared" si="97"/>
        <v>84.5</v>
      </c>
    </row>
    <row r="1155" ht="14.25" spans="1:8">
      <c r="A1155" s="3" t="str">
        <f>"11003103828"</f>
        <v>11003103828</v>
      </c>
      <c r="B1155" s="3">
        <v>1</v>
      </c>
      <c r="C1155" s="3">
        <v>38</v>
      </c>
      <c r="D1155" s="3">
        <v>28</v>
      </c>
      <c r="E1155" s="3" t="s">
        <v>8</v>
      </c>
      <c r="F1155" s="4">
        <v>81</v>
      </c>
      <c r="G1155" s="4"/>
      <c r="H1155" s="4">
        <f t="shared" si="97"/>
        <v>81</v>
      </c>
    </row>
    <row r="1156" ht="14.25" spans="1:8">
      <c r="A1156" s="3" t="str">
        <f>"11003103829"</f>
        <v>11003103829</v>
      </c>
      <c r="B1156" s="3">
        <v>1</v>
      </c>
      <c r="C1156" s="3">
        <v>38</v>
      </c>
      <c r="D1156" s="3">
        <v>29</v>
      </c>
      <c r="E1156" s="3" t="s">
        <v>8</v>
      </c>
      <c r="F1156" s="4">
        <v>69.5</v>
      </c>
      <c r="G1156" s="4"/>
      <c r="H1156" s="4">
        <f t="shared" si="97"/>
        <v>69.5</v>
      </c>
    </row>
    <row r="1157" ht="14.25" spans="1:8">
      <c r="A1157" s="3" t="str">
        <f>"11003103830"</f>
        <v>11003103830</v>
      </c>
      <c r="B1157" s="3">
        <v>1</v>
      </c>
      <c r="C1157" s="3">
        <v>38</v>
      </c>
      <c r="D1157" s="3">
        <v>30</v>
      </c>
      <c r="E1157" s="3" t="s">
        <v>8</v>
      </c>
      <c r="F1157" s="3">
        <v>0</v>
      </c>
      <c r="G1157" s="4"/>
      <c r="H1157" s="3">
        <v>0</v>
      </c>
    </row>
    <row r="1158" ht="14.25" spans="1:8">
      <c r="A1158" s="3" t="str">
        <f>"11003103901"</f>
        <v>11003103901</v>
      </c>
      <c r="B1158" s="3">
        <v>1</v>
      </c>
      <c r="C1158" s="3">
        <v>39</v>
      </c>
      <c r="D1158" s="3">
        <v>1</v>
      </c>
      <c r="E1158" s="3" t="s">
        <v>8</v>
      </c>
      <c r="F1158" s="4">
        <v>73.5</v>
      </c>
      <c r="G1158" s="4"/>
      <c r="H1158" s="4">
        <f t="shared" ref="H1158:H1170" si="98">F1158+G1158</f>
        <v>73.5</v>
      </c>
    </row>
    <row r="1159" ht="14.25" spans="1:8">
      <c r="A1159" s="3" t="str">
        <f>"11003103902"</f>
        <v>11003103902</v>
      </c>
      <c r="B1159" s="3">
        <v>1</v>
      </c>
      <c r="C1159" s="3">
        <v>39</v>
      </c>
      <c r="D1159" s="3">
        <v>2</v>
      </c>
      <c r="E1159" s="3" t="s">
        <v>8</v>
      </c>
      <c r="F1159" s="4">
        <v>64.5</v>
      </c>
      <c r="G1159" s="4"/>
      <c r="H1159" s="4">
        <f t="shared" si="98"/>
        <v>64.5</v>
      </c>
    </row>
    <row r="1160" ht="14.25" spans="1:8">
      <c r="A1160" s="3" t="str">
        <f>"11003103903"</f>
        <v>11003103903</v>
      </c>
      <c r="B1160" s="3">
        <v>1</v>
      </c>
      <c r="C1160" s="3">
        <v>39</v>
      </c>
      <c r="D1160" s="3">
        <v>3</v>
      </c>
      <c r="E1160" s="3" t="s">
        <v>8</v>
      </c>
      <c r="F1160" s="4">
        <v>76</v>
      </c>
      <c r="G1160" s="4"/>
      <c r="H1160" s="4">
        <f t="shared" si="98"/>
        <v>76</v>
      </c>
    </row>
    <row r="1161" ht="14.25" spans="1:8">
      <c r="A1161" s="3" t="str">
        <f>"11003103904"</f>
        <v>11003103904</v>
      </c>
      <c r="B1161" s="3">
        <v>1</v>
      </c>
      <c r="C1161" s="3">
        <v>39</v>
      </c>
      <c r="D1161" s="3">
        <v>4</v>
      </c>
      <c r="E1161" s="3" t="s">
        <v>8</v>
      </c>
      <c r="F1161" s="4">
        <v>85.5</v>
      </c>
      <c r="G1161" s="4"/>
      <c r="H1161" s="4">
        <f t="shared" si="98"/>
        <v>85.5</v>
      </c>
    </row>
    <row r="1162" ht="14.25" spans="1:8">
      <c r="A1162" s="3" t="str">
        <f>"11003103905"</f>
        <v>11003103905</v>
      </c>
      <c r="B1162" s="3">
        <v>1</v>
      </c>
      <c r="C1162" s="3">
        <v>39</v>
      </c>
      <c r="D1162" s="3">
        <v>5</v>
      </c>
      <c r="E1162" s="3" t="s">
        <v>8</v>
      </c>
      <c r="F1162" s="4">
        <v>78.5</v>
      </c>
      <c r="G1162" s="4"/>
      <c r="H1162" s="4">
        <f t="shared" si="98"/>
        <v>78.5</v>
      </c>
    </row>
    <row r="1163" ht="14.25" spans="1:8">
      <c r="A1163" s="3" t="str">
        <f>"11003103906"</f>
        <v>11003103906</v>
      </c>
      <c r="B1163" s="3">
        <v>1</v>
      </c>
      <c r="C1163" s="3">
        <v>39</v>
      </c>
      <c r="D1163" s="3">
        <v>6</v>
      </c>
      <c r="E1163" s="3" t="s">
        <v>8</v>
      </c>
      <c r="F1163" s="4">
        <v>86.5</v>
      </c>
      <c r="G1163" s="4"/>
      <c r="H1163" s="4">
        <f t="shared" si="98"/>
        <v>86.5</v>
      </c>
    </row>
    <row r="1164" ht="14.25" spans="1:8">
      <c r="A1164" s="3" t="str">
        <f>"11003103907"</f>
        <v>11003103907</v>
      </c>
      <c r="B1164" s="3">
        <v>1</v>
      </c>
      <c r="C1164" s="3">
        <v>39</v>
      </c>
      <c r="D1164" s="3">
        <v>7</v>
      </c>
      <c r="E1164" s="3" t="s">
        <v>8</v>
      </c>
      <c r="F1164" s="4">
        <v>57.5</v>
      </c>
      <c r="G1164" s="4"/>
      <c r="H1164" s="4">
        <f t="shared" si="98"/>
        <v>57.5</v>
      </c>
    </row>
    <row r="1165" ht="14.25" spans="1:8">
      <c r="A1165" s="3" t="str">
        <f>"11003103908"</f>
        <v>11003103908</v>
      </c>
      <c r="B1165" s="3">
        <v>1</v>
      </c>
      <c r="C1165" s="3">
        <v>39</v>
      </c>
      <c r="D1165" s="3">
        <v>8</v>
      </c>
      <c r="E1165" s="3" t="s">
        <v>8</v>
      </c>
      <c r="F1165" s="4">
        <v>92.5</v>
      </c>
      <c r="G1165" s="4"/>
      <c r="H1165" s="4">
        <f t="shared" si="98"/>
        <v>92.5</v>
      </c>
    </row>
    <row r="1166" ht="14.25" spans="1:8">
      <c r="A1166" s="3" t="str">
        <f>"11003103909"</f>
        <v>11003103909</v>
      </c>
      <c r="B1166" s="3">
        <v>1</v>
      </c>
      <c r="C1166" s="3">
        <v>39</v>
      </c>
      <c r="D1166" s="3">
        <v>9</v>
      </c>
      <c r="E1166" s="3" t="s">
        <v>8</v>
      </c>
      <c r="F1166" s="4">
        <v>68.5</v>
      </c>
      <c r="G1166" s="4"/>
      <c r="H1166" s="4">
        <f t="shared" si="98"/>
        <v>68.5</v>
      </c>
    </row>
    <row r="1167" ht="14.25" spans="1:8">
      <c r="A1167" s="3" t="str">
        <f>"11003103910"</f>
        <v>11003103910</v>
      </c>
      <c r="B1167" s="3">
        <v>1</v>
      </c>
      <c r="C1167" s="3">
        <v>39</v>
      </c>
      <c r="D1167" s="3">
        <v>10</v>
      </c>
      <c r="E1167" s="3" t="s">
        <v>8</v>
      </c>
      <c r="F1167" s="4">
        <v>84</v>
      </c>
      <c r="G1167" s="4"/>
      <c r="H1167" s="4">
        <f t="shared" si="98"/>
        <v>84</v>
      </c>
    </row>
    <row r="1168" ht="14.25" spans="1:8">
      <c r="A1168" s="3" t="str">
        <f>"11003103911"</f>
        <v>11003103911</v>
      </c>
      <c r="B1168" s="3">
        <v>1</v>
      </c>
      <c r="C1168" s="3">
        <v>39</v>
      </c>
      <c r="D1168" s="3">
        <v>11</v>
      </c>
      <c r="E1168" s="3" t="s">
        <v>8</v>
      </c>
      <c r="F1168" s="4">
        <v>84</v>
      </c>
      <c r="G1168" s="4"/>
      <c r="H1168" s="4">
        <f t="shared" si="98"/>
        <v>84</v>
      </c>
    </row>
    <row r="1169" ht="14.25" spans="1:8">
      <c r="A1169" s="3" t="str">
        <f>"11003103912"</f>
        <v>11003103912</v>
      </c>
      <c r="B1169" s="3">
        <v>1</v>
      </c>
      <c r="C1169" s="3">
        <v>39</v>
      </c>
      <c r="D1169" s="3">
        <v>12</v>
      </c>
      <c r="E1169" s="3" t="s">
        <v>8</v>
      </c>
      <c r="F1169" s="4">
        <v>74.5</v>
      </c>
      <c r="G1169" s="4"/>
      <c r="H1169" s="4">
        <f t="shared" si="98"/>
        <v>74.5</v>
      </c>
    </row>
    <row r="1170" ht="14.25" spans="1:8">
      <c r="A1170" s="3" t="str">
        <f>"11003103913"</f>
        <v>11003103913</v>
      </c>
      <c r="B1170" s="3">
        <v>1</v>
      </c>
      <c r="C1170" s="3">
        <v>39</v>
      </c>
      <c r="D1170" s="3">
        <v>13</v>
      </c>
      <c r="E1170" s="3" t="s">
        <v>8</v>
      </c>
      <c r="F1170" s="4">
        <v>54</v>
      </c>
      <c r="G1170" s="4"/>
      <c r="H1170" s="4">
        <f t="shared" si="98"/>
        <v>54</v>
      </c>
    </row>
    <row r="1171" ht="14.25" spans="1:8">
      <c r="A1171" s="3" t="str">
        <f>"11003103914"</f>
        <v>11003103914</v>
      </c>
      <c r="B1171" s="3">
        <v>1</v>
      </c>
      <c r="C1171" s="3">
        <v>39</v>
      </c>
      <c r="D1171" s="3">
        <v>14</v>
      </c>
      <c r="E1171" s="3" t="s">
        <v>8</v>
      </c>
      <c r="F1171" s="3">
        <v>0</v>
      </c>
      <c r="G1171" s="4"/>
      <c r="H1171" s="3">
        <v>0</v>
      </c>
    </row>
    <row r="1172" ht="14.25" spans="1:8">
      <c r="A1172" s="3" t="str">
        <f>"11003103915"</f>
        <v>11003103915</v>
      </c>
      <c r="B1172" s="3">
        <v>1</v>
      </c>
      <c r="C1172" s="3">
        <v>39</v>
      </c>
      <c r="D1172" s="3">
        <v>15</v>
      </c>
      <c r="E1172" s="3" t="s">
        <v>8</v>
      </c>
      <c r="F1172" s="4">
        <v>64</v>
      </c>
      <c r="G1172" s="4"/>
      <c r="H1172" s="4">
        <f t="shared" ref="H1172:H1180" si="99">F1172+G1172</f>
        <v>64</v>
      </c>
    </row>
    <row r="1173" ht="14.25" spans="1:8">
      <c r="A1173" s="3" t="str">
        <f>"11003103916"</f>
        <v>11003103916</v>
      </c>
      <c r="B1173" s="3">
        <v>1</v>
      </c>
      <c r="C1173" s="3">
        <v>39</v>
      </c>
      <c r="D1173" s="3">
        <v>16</v>
      </c>
      <c r="E1173" s="3" t="s">
        <v>8</v>
      </c>
      <c r="F1173" s="3">
        <v>0</v>
      </c>
      <c r="G1173" s="4"/>
      <c r="H1173" s="3">
        <v>0</v>
      </c>
    </row>
    <row r="1174" ht="14.25" spans="1:8">
      <c r="A1174" s="3" t="str">
        <f>"11003103917"</f>
        <v>11003103917</v>
      </c>
      <c r="B1174" s="3">
        <v>1</v>
      </c>
      <c r="C1174" s="3">
        <v>39</v>
      </c>
      <c r="D1174" s="3">
        <v>17</v>
      </c>
      <c r="E1174" s="3" t="s">
        <v>8</v>
      </c>
      <c r="F1174" s="4">
        <v>67.5</v>
      </c>
      <c r="G1174" s="4"/>
      <c r="H1174" s="4">
        <f t="shared" si="99"/>
        <v>67.5</v>
      </c>
    </row>
    <row r="1175" ht="14.25" spans="1:8">
      <c r="A1175" s="3" t="str">
        <f>"11003103918"</f>
        <v>11003103918</v>
      </c>
      <c r="B1175" s="3">
        <v>1</v>
      </c>
      <c r="C1175" s="3">
        <v>39</v>
      </c>
      <c r="D1175" s="3">
        <v>18</v>
      </c>
      <c r="E1175" s="3" t="s">
        <v>8</v>
      </c>
      <c r="F1175" s="4">
        <v>85.5</v>
      </c>
      <c r="G1175" s="4"/>
      <c r="H1175" s="4">
        <f t="shared" si="99"/>
        <v>85.5</v>
      </c>
    </row>
    <row r="1176" ht="14.25" spans="1:8">
      <c r="A1176" s="3" t="str">
        <f>"11003103919"</f>
        <v>11003103919</v>
      </c>
      <c r="B1176" s="3">
        <v>1</v>
      </c>
      <c r="C1176" s="3">
        <v>39</v>
      </c>
      <c r="D1176" s="3">
        <v>19</v>
      </c>
      <c r="E1176" s="3" t="s">
        <v>8</v>
      </c>
      <c r="F1176" s="4">
        <v>55</v>
      </c>
      <c r="G1176" s="4"/>
      <c r="H1176" s="4">
        <f t="shared" si="99"/>
        <v>55</v>
      </c>
    </row>
    <row r="1177" ht="14.25" spans="1:8">
      <c r="A1177" s="3" t="str">
        <f>"11003103920"</f>
        <v>11003103920</v>
      </c>
      <c r="B1177" s="3">
        <v>1</v>
      </c>
      <c r="C1177" s="3">
        <v>39</v>
      </c>
      <c r="D1177" s="3">
        <v>20</v>
      </c>
      <c r="E1177" s="3" t="s">
        <v>8</v>
      </c>
      <c r="F1177" s="4">
        <v>74.5</v>
      </c>
      <c r="G1177" s="4"/>
      <c r="H1177" s="4">
        <f t="shared" si="99"/>
        <v>74.5</v>
      </c>
    </row>
    <row r="1178" ht="14.25" spans="1:8">
      <c r="A1178" s="3" t="str">
        <f>"11003103921"</f>
        <v>11003103921</v>
      </c>
      <c r="B1178" s="3">
        <v>1</v>
      </c>
      <c r="C1178" s="3">
        <v>39</v>
      </c>
      <c r="D1178" s="3">
        <v>21</v>
      </c>
      <c r="E1178" s="3" t="s">
        <v>8</v>
      </c>
      <c r="F1178" s="4">
        <v>72.5</v>
      </c>
      <c r="G1178" s="4"/>
      <c r="H1178" s="4">
        <f t="shared" si="99"/>
        <v>72.5</v>
      </c>
    </row>
    <row r="1179" ht="14.25" spans="1:8">
      <c r="A1179" s="3" t="str">
        <f>"11004103922"</f>
        <v>11004103922</v>
      </c>
      <c r="B1179" s="3">
        <v>1</v>
      </c>
      <c r="C1179" s="3">
        <v>39</v>
      </c>
      <c r="D1179" s="3">
        <v>22</v>
      </c>
      <c r="E1179" s="3" t="s">
        <v>8</v>
      </c>
      <c r="F1179" s="4">
        <v>87</v>
      </c>
      <c r="G1179" s="4"/>
      <c r="H1179" s="4">
        <f t="shared" si="99"/>
        <v>87</v>
      </c>
    </row>
    <row r="1180" ht="14.25" spans="1:8">
      <c r="A1180" s="3" t="str">
        <f>"11004103923"</f>
        <v>11004103923</v>
      </c>
      <c r="B1180" s="3">
        <v>1</v>
      </c>
      <c r="C1180" s="3">
        <v>39</v>
      </c>
      <c r="D1180" s="3">
        <v>23</v>
      </c>
      <c r="E1180" s="3" t="s">
        <v>8</v>
      </c>
      <c r="F1180" s="4">
        <v>80</v>
      </c>
      <c r="G1180" s="4"/>
      <c r="H1180" s="4">
        <f t="shared" si="99"/>
        <v>80</v>
      </c>
    </row>
    <row r="1181" ht="14.25" spans="1:8">
      <c r="A1181" s="3" t="str">
        <f>"11004103924"</f>
        <v>11004103924</v>
      </c>
      <c r="B1181" s="3">
        <v>1</v>
      </c>
      <c r="C1181" s="3">
        <v>39</v>
      </c>
      <c r="D1181" s="3">
        <v>24</v>
      </c>
      <c r="E1181" s="3" t="s">
        <v>8</v>
      </c>
      <c r="F1181" s="3">
        <v>0</v>
      </c>
      <c r="G1181" s="4"/>
      <c r="H1181" s="3">
        <v>0</v>
      </c>
    </row>
    <row r="1182" ht="14.25" spans="1:8">
      <c r="A1182" s="3" t="str">
        <f>"11004103925"</f>
        <v>11004103925</v>
      </c>
      <c r="B1182" s="3">
        <v>1</v>
      </c>
      <c r="C1182" s="3">
        <v>39</v>
      </c>
      <c r="D1182" s="3">
        <v>25</v>
      </c>
      <c r="E1182" s="3" t="s">
        <v>8</v>
      </c>
      <c r="F1182" s="4">
        <v>68.5</v>
      </c>
      <c r="G1182" s="4"/>
      <c r="H1182" s="4">
        <f t="shared" ref="H1182:H1189" si="100">F1182+G1182</f>
        <v>68.5</v>
      </c>
    </row>
    <row r="1183" ht="14.25" spans="1:8">
      <c r="A1183" s="3" t="str">
        <f>"11005103926"</f>
        <v>11005103926</v>
      </c>
      <c r="B1183" s="3">
        <v>1</v>
      </c>
      <c r="C1183" s="3">
        <v>39</v>
      </c>
      <c r="D1183" s="3">
        <v>26</v>
      </c>
      <c r="E1183" s="3" t="s">
        <v>8</v>
      </c>
      <c r="F1183" s="4">
        <v>54</v>
      </c>
      <c r="G1183" s="4"/>
      <c r="H1183" s="4">
        <f t="shared" si="100"/>
        <v>54</v>
      </c>
    </row>
    <row r="1184" ht="14.25" spans="1:8">
      <c r="A1184" s="3" t="str">
        <f>"11005103927"</f>
        <v>11005103927</v>
      </c>
      <c r="B1184" s="3">
        <v>1</v>
      </c>
      <c r="C1184" s="3">
        <v>39</v>
      </c>
      <c r="D1184" s="3">
        <v>27</v>
      </c>
      <c r="E1184" s="3" t="s">
        <v>8</v>
      </c>
      <c r="F1184" s="3">
        <v>0</v>
      </c>
      <c r="G1184" s="4"/>
      <c r="H1184" s="3">
        <v>0</v>
      </c>
    </row>
    <row r="1185" ht="14.25" spans="1:8">
      <c r="A1185" s="3" t="str">
        <f>"11005103928"</f>
        <v>11005103928</v>
      </c>
      <c r="B1185" s="3">
        <v>1</v>
      </c>
      <c r="C1185" s="3">
        <v>39</v>
      </c>
      <c r="D1185" s="3">
        <v>28</v>
      </c>
      <c r="E1185" s="3" t="s">
        <v>8</v>
      </c>
      <c r="F1185" s="4">
        <v>79.5</v>
      </c>
      <c r="G1185" s="4"/>
      <c r="H1185" s="4">
        <f t="shared" si="100"/>
        <v>79.5</v>
      </c>
    </row>
    <row r="1186" ht="14.25" spans="1:8">
      <c r="A1186" s="3" t="str">
        <f>"11005103929"</f>
        <v>11005103929</v>
      </c>
      <c r="B1186" s="3">
        <v>1</v>
      </c>
      <c r="C1186" s="3">
        <v>39</v>
      </c>
      <c r="D1186" s="3">
        <v>29</v>
      </c>
      <c r="E1186" s="3" t="s">
        <v>8</v>
      </c>
      <c r="F1186" s="4">
        <v>52</v>
      </c>
      <c r="G1186" s="4"/>
      <c r="H1186" s="4">
        <f t="shared" si="100"/>
        <v>52</v>
      </c>
    </row>
    <row r="1187" ht="14.25" spans="1:8">
      <c r="A1187" s="3" t="str">
        <f>"11005103930"</f>
        <v>11005103930</v>
      </c>
      <c r="B1187" s="3">
        <v>1</v>
      </c>
      <c r="C1187" s="3">
        <v>39</v>
      </c>
      <c r="D1187" s="3">
        <v>30</v>
      </c>
      <c r="E1187" s="3" t="s">
        <v>8</v>
      </c>
      <c r="F1187" s="4">
        <v>85</v>
      </c>
      <c r="G1187" s="4"/>
      <c r="H1187" s="4">
        <f t="shared" si="100"/>
        <v>85</v>
      </c>
    </row>
    <row r="1188" ht="14.25" spans="1:8">
      <c r="A1188" s="3" t="str">
        <f>"11005104001"</f>
        <v>11005104001</v>
      </c>
      <c r="B1188" s="3">
        <v>1</v>
      </c>
      <c r="C1188" s="3">
        <v>40</v>
      </c>
      <c r="D1188" s="3">
        <v>1</v>
      </c>
      <c r="E1188" s="3" t="s">
        <v>8</v>
      </c>
      <c r="F1188" s="4">
        <v>48</v>
      </c>
      <c r="G1188" s="4"/>
      <c r="H1188" s="4">
        <f t="shared" si="100"/>
        <v>48</v>
      </c>
    </row>
    <row r="1189" ht="14.25" spans="1:8">
      <c r="A1189" s="3" t="str">
        <f>"11101104002"</f>
        <v>11101104002</v>
      </c>
      <c r="B1189" s="3">
        <v>1</v>
      </c>
      <c r="C1189" s="3">
        <v>40</v>
      </c>
      <c r="D1189" s="3">
        <v>2</v>
      </c>
      <c r="E1189" s="3" t="s">
        <v>8</v>
      </c>
      <c r="F1189" s="4">
        <v>56</v>
      </c>
      <c r="G1189" s="4"/>
      <c r="H1189" s="4">
        <f t="shared" si="100"/>
        <v>56</v>
      </c>
    </row>
    <row r="1190" ht="14.25" spans="1:8">
      <c r="A1190" s="3" t="str">
        <f>"11101104003"</f>
        <v>11101104003</v>
      </c>
      <c r="B1190" s="3">
        <v>1</v>
      </c>
      <c r="C1190" s="3">
        <v>40</v>
      </c>
      <c r="D1190" s="3">
        <v>3</v>
      </c>
      <c r="E1190" s="3" t="s">
        <v>8</v>
      </c>
      <c r="F1190" s="3">
        <v>0</v>
      </c>
      <c r="G1190" s="4"/>
      <c r="H1190" s="3">
        <v>0</v>
      </c>
    </row>
    <row r="1191" ht="14.25" spans="1:8">
      <c r="A1191" s="3" t="str">
        <f>"11101104004"</f>
        <v>11101104004</v>
      </c>
      <c r="B1191" s="3">
        <v>1</v>
      </c>
      <c r="C1191" s="3">
        <v>40</v>
      </c>
      <c r="D1191" s="3">
        <v>4</v>
      </c>
      <c r="E1191" s="3" t="s">
        <v>8</v>
      </c>
      <c r="F1191" s="4">
        <v>75</v>
      </c>
      <c r="G1191" s="4"/>
      <c r="H1191" s="4">
        <f t="shared" ref="H1191:H1207" si="101">F1191+G1191</f>
        <v>75</v>
      </c>
    </row>
    <row r="1192" ht="14.25" spans="1:8">
      <c r="A1192" s="3" t="str">
        <f>"11101104005"</f>
        <v>11101104005</v>
      </c>
      <c r="B1192" s="3">
        <v>1</v>
      </c>
      <c r="C1192" s="3">
        <v>40</v>
      </c>
      <c r="D1192" s="3">
        <v>5</v>
      </c>
      <c r="E1192" s="3" t="s">
        <v>8</v>
      </c>
      <c r="F1192" s="4">
        <v>86</v>
      </c>
      <c r="G1192" s="4"/>
      <c r="H1192" s="4">
        <f t="shared" si="101"/>
        <v>86</v>
      </c>
    </row>
    <row r="1193" ht="14.25" spans="1:8">
      <c r="A1193" s="3" t="str">
        <f>"11101104006"</f>
        <v>11101104006</v>
      </c>
      <c r="B1193" s="3">
        <v>1</v>
      </c>
      <c r="C1193" s="3">
        <v>40</v>
      </c>
      <c r="D1193" s="3">
        <v>6</v>
      </c>
      <c r="E1193" s="3" t="s">
        <v>8</v>
      </c>
      <c r="F1193" s="4">
        <v>72.5</v>
      </c>
      <c r="G1193" s="4"/>
      <c r="H1193" s="4">
        <f t="shared" si="101"/>
        <v>72.5</v>
      </c>
    </row>
    <row r="1194" ht="14.25" spans="1:8">
      <c r="A1194" s="3" t="str">
        <f>"11101104007"</f>
        <v>11101104007</v>
      </c>
      <c r="B1194" s="3">
        <v>1</v>
      </c>
      <c r="C1194" s="3">
        <v>40</v>
      </c>
      <c r="D1194" s="3">
        <v>7</v>
      </c>
      <c r="E1194" s="3" t="s">
        <v>8</v>
      </c>
      <c r="F1194" s="4">
        <v>73</v>
      </c>
      <c r="G1194" s="4"/>
      <c r="H1194" s="4">
        <f t="shared" si="101"/>
        <v>73</v>
      </c>
    </row>
    <row r="1195" ht="14.25" spans="1:8">
      <c r="A1195" s="3" t="str">
        <f>"11101104008"</f>
        <v>11101104008</v>
      </c>
      <c r="B1195" s="3">
        <v>1</v>
      </c>
      <c r="C1195" s="3">
        <v>40</v>
      </c>
      <c r="D1195" s="3">
        <v>8</v>
      </c>
      <c r="E1195" s="3" t="s">
        <v>8</v>
      </c>
      <c r="F1195" s="4">
        <v>72</v>
      </c>
      <c r="G1195" s="4"/>
      <c r="H1195" s="4">
        <f t="shared" si="101"/>
        <v>72</v>
      </c>
    </row>
    <row r="1196" ht="14.25" spans="1:8">
      <c r="A1196" s="3" t="str">
        <f>"11101104009"</f>
        <v>11101104009</v>
      </c>
      <c r="B1196" s="3">
        <v>1</v>
      </c>
      <c r="C1196" s="3">
        <v>40</v>
      </c>
      <c r="D1196" s="3">
        <v>9</v>
      </c>
      <c r="E1196" s="3" t="s">
        <v>8</v>
      </c>
      <c r="F1196" s="4">
        <v>84</v>
      </c>
      <c r="G1196" s="4"/>
      <c r="H1196" s="4">
        <f t="shared" si="101"/>
        <v>84</v>
      </c>
    </row>
    <row r="1197" ht="14.25" spans="1:8">
      <c r="A1197" s="3" t="str">
        <f>"11101104010"</f>
        <v>11101104010</v>
      </c>
      <c r="B1197" s="3">
        <v>1</v>
      </c>
      <c r="C1197" s="3">
        <v>40</v>
      </c>
      <c r="D1197" s="3">
        <v>10</v>
      </c>
      <c r="E1197" s="3" t="s">
        <v>8</v>
      </c>
      <c r="F1197" s="4">
        <v>79.5</v>
      </c>
      <c r="G1197" s="4"/>
      <c r="H1197" s="4">
        <f t="shared" si="101"/>
        <v>79.5</v>
      </c>
    </row>
    <row r="1198" ht="14.25" spans="1:8">
      <c r="A1198" s="3" t="str">
        <f>"11101104011"</f>
        <v>11101104011</v>
      </c>
      <c r="B1198" s="3">
        <v>1</v>
      </c>
      <c r="C1198" s="3">
        <v>40</v>
      </c>
      <c r="D1198" s="3">
        <v>11</v>
      </c>
      <c r="E1198" s="3" t="s">
        <v>8</v>
      </c>
      <c r="F1198" s="4">
        <v>89.5</v>
      </c>
      <c r="G1198" s="4"/>
      <c r="H1198" s="4">
        <f t="shared" si="101"/>
        <v>89.5</v>
      </c>
    </row>
    <row r="1199" ht="14.25" spans="1:8">
      <c r="A1199" s="3" t="str">
        <f>"11101104012"</f>
        <v>11101104012</v>
      </c>
      <c r="B1199" s="3">
        <v>1</v>
      </c>
      <c r="C1199" s="3">
        <v>40</v>
      </c>
      <c r="D1199" s="3">
        <v>12</v>
      </c>
      <c r="E1199" s="3" t="s">
        <v>8</v>
      </c>
      <c r="F1199" s="4">
        <v>82</v>
      </c>
      <c r="G1199" s="4"/>
      <c r="H1199" s="4">
        <f t="shared" si="101"/>
        <v>82</v>
      </c>
    </row>
    <row r="1200" ht="14.25" spans="1:8">
      <c r="A1200" s="3" t="str">
        <f>"11101104013"</f>
        <v>11101104013</v>
      </c>
      <c r="B1200" s="3">
        <v>1</v>
      </c>
      <c r="C1200" s="3">
        <v>40</v>
      </c>
      <c r="D1200" s="3">
        <v>13</v>
      </c>
      <c r="E1200" s="3" t="s">
        <v>8</v>
      </c>
      <c r="F1200" s="4">
        <v>74.5</v>
      </c>
      <c r="G1200" s="4"/>
      <c r="H1200" s="4">
        <f t="shared" si="101"/>
        <v>74.5</v>
      </c>
    </row>
    <row r="1201" ht="14.25" spans="1:8">
      <c r="A1201" s="3" t="str">
        <f>"11101104014"</f>
        <v>11101104014</v>
      </c>
      <c r="B1201" s="3">
        <v>1</v>
      </c>
      <c r="C1201" s="3">
        <v>40</v>
      </c>
      <c r="D1201" s="3">
        <v>14</v>
      </c>
      <c r="E1201" s="3" t="s">
        <v>8</v>
      </c>
      <c r="F1201" s="4">
        <v>61</v>
      </c>
      <c r="G1201" s="4"/>
      <c r="H1201" s="4">
        <f t="shared" si="101"/>
        <v>61</v>
      </c>
    </row>
    <row r="1202" ht="14.25" spans="1:8">
      <c r="A1202" s="3" t="str">
        <f>"11101104015"</f>
        <v>11101104015</v>
      </c>
      <c r="B1202" s="3">
        <v>1</v>
      </c>
      <c r="C1202" s="3">
        <v>40</v>
      </c>
      <c r="D1202" s="3">
        <v>15</v>
      </c>
      <c r="E1202" s="3" t="s">
        <v>8</v>
      </c>
      <c r="F1202" s="4">
        <v>75</v>
      </c>
      <c r="G1202" s="4"/>
      <c r="H1202" s="4">
        <f t="shared" si="101"/>
        <v>75</v>
      </c>
    </row>
    <row r="1203" ht="14.25" spans="1:8">
      <c r="A1203" s="3" t="str">
        <f>"11101104016"</f>
        <v>11101104016</v>
      </c>
      <c r="B1203" s="3">
        <v>1</v>
      </c>
      <c r="C1203" s="3">
        <v>40</v>
      </c>
      <c r="D1203" s="3">
        <v>16</v>
      </c>
      <c r="E1203" s="3" t="s">
        <v>8</v>
      </c>
      <c r="F1203" s="4">
        <v>81.5</v>
      </c>
      <c r="G1203" s="4"/>
      <c r="H1203" s="4">
        <f t="shared" si="101"/>
        <v>81.5</v>
      </c>
    </row>
    <row r="1204" ht="14.25" spans="1:8">
      <c r="A1204" s="3" t="str">
        <f>"11101104017"</f>
        <v>11101104017</v>
      </c>
      <c r="B1204" s="3">
        <v>1</v>
      </c>
      <c r="C1204" s="3">
        <v>40</v>
      </c>
      <c r="D1204" s="3">
        <v>17</v>
      </c>
      <c r="E1204" s="3" t="s">
        <v>8</v>
      </c>
      <c r="F1204" s="4">
        <v>82.5</v>
      </c>
      <c r="G1204" s="4"/>
      <c r="H1204" s="4">
        <f t="shared" si="101"/>
        <v>82.5</v>
      </c>
    </row>
    <row r="1205" ht="14.25" spans="1:8">
      <c r="A1205" s="3" t="str">
        <f>"11101104018"</f>
        <v>11101104018</v>
      </c>
      <c r="B1205" s="3">
        <v>1</v>
      </c>
      <c r="C1205" s="3">
        <v>40</v>
      </c>
      <c r="D1205" s="3">
        <v>18</v>
      </c>
      <c r="E1205" s="3" t="s">
        <v>8</v>
      </c>
      <c r="F1205" s="4">
        <v>60.5</v>
      </c>
      <c r="G1205" s="4"/>
      <c r="H1205" s="4">
        <f t="shared" si="101"/>
        <v>60.5</v>
      </c>
    </row>
    <row r="1206" ht="14.25" spans="1:8">
      <c r="A1206" s="3" t="str">
        <f>"11101104019"</f>
        <v>11101104019</v>
      </c>
      <c r="B1206" s="3">
        <v>1</v>
      </c>
      <c r="C1206" s="3">
        <v>40</v>
      </c>
      <c r="D1206" s="3">
        <v>19</v>
      </c>
      <c r="E1206" s="3" t="s">
        <v>8</v>
      </c>
      <c r="F1206" s="4">
        <v>90</v>
      </c>
      <c r="G1206" s="4"/>
      <c r="H1206" s="4">
        <f t="shared" si="101"/>
        <v>90</v>
      </c>
    </row>
    <row r="1207" ht="14.25" spans="1:8">
      <c r="A1207" s="3" t="str">
        <f>"11101104020"</f>
        <v>11101104020</v>
      </c>
      <c r="B1207" s="3">
        <v>1</v>
      </c>
      <c r="C1207" s="3">
        <v>40</v>
      </c>
      <c r="D1207" s="3">
        <v>20</v>
      </c>
      <c r="E1207" s="3" t="s">
        <v>8</v>
      </c>
      <c r="F1207" s="4">
        <v>76.5</v>
      </c>
      <c r="G1207" s="4"/>
      <c r="H1207" s="4">
        <f t="shared" si="101"/>
        <v>76.5</v>
      </c>
    </row>
    <row r="1208" ht="14.25" spans="1:8">
      <c r="A1208" s="3" t="str">
        <f>"11101104021"</f>
        <v>11101104021</v>
      </c>
      <c r="B1208" s="3">
        <v>1</v>
      </c>
      <c r="C1208" s="3">
        <v>40</v>
      </c>
      <c r="D1208" s="3">
        <v>21</v>
      </c>
      <c r="E1208" s="3" t="s">
        <v>8</v>
      </c>
      <c r="F1208" s="3">
        <v>0</v>
      </c>
      <c r="G1208" s="4"/>
      <c r="H1208" s="3">
        <v>0</v>
      </c>
    </row>
    <row r="1209" ht="14.25" spans="1:8">
      <c r="A1209" s="3" t="str">
        <f>"11101104022"</f>
        <v>11101104022</v>
      </c>
      <c r="B1209" s="3">
        <v>1</v>
      </c>
      <c r="C1209" s="3">
        <v>40</v>
      </c>
      <c r="D1209" s="3">
        <v>22</v>
      </c>
      <c r="E1209" s="3" t="s">
        <v>8</v>
      </c>
      <c r="F1209" s="4">
        <v>71.5</v>
      </c>
      <c r="G1209" s="4"/>
      <c r="H1209" s="4">
        <f t="shared" ref="H1209:H1224" si="102">F1209+G1209</f>
        <v>71.5</v>
      </c>
    </row>
    <row r="1210" ht="14.25" spans="1:8">
      <c r="A1210" s="3" t="str">
        <f>"11101104023"</f>
        <v>11101104023</v>
      </c>
      <c r="B1210" s="3">
        <v>1</v>
      </c>
      <c r="C1210" s="3">
        <v>40</v>
      </c>
      <c r="D1210" s="3">
        <v>23</v>
      </c>
      <c r="E1210" s="3" t="s">
        <v>8</v>
      </c>
      <c r="F1210" s="3">
        <v>0</v>
      </c>
      <c r="G1210" s="4"/>
      <c r="H1210" s="3">
        <v>0</v>
      </c>
    </row>
    <row r="1211" ht="14.25" spans="1:8">
      <c r="A1211" s="3" t="str">
        <f>"11101104024"</f>
        <v>11101104024</v>
      </c>
      <c r="B1211" s="3">
        <v>1</v>
      </c>
      <c r="C1211" s="3">
        <v>40</v>
      </c>
      <c r="D1211" s="3">
        <v>24</v>
      </c>
      <c r="E1211" s="3" t="s">
        <v>8</v>
      </c>
      <c r="F1211" s="4">
        <v>61.5</v>
      </c>
      <c r="G1211" s="4"/>
      <c r="H1211" s="4">
        <f t="shared" si="102"/>
        <v>61.5</v>
      </c>
    </row>
    <row r="1212" ht="14.25" spans="1:8">
      <c r="A1212" s="3" t="str">
        <f>"11101104025"</f>
        <v>11101104025</v>
      </c>
      <c r="B1212" s="3">
        <v>1</v>
      </c>
      <c r="C1212" s="3">
        <v>40</v>
      </c>
      <c r="D1212" s="3">
        <v>25</v>
      </c>
      <c r="E1212" s="3" t="s">
        <v>8</v>
      </c>
      <c r="F1212" s="4">
        <v>85</v>
      </c>
      <c r="G1212" s="4"/>
      <c r="H1212" s="4">
        <f t="shared" si="102"/>
        <v>85</v>
      </c>
    </row>
    <row r="1213" ht="14.25" spans="1:8">
      <c r="A1213" s="3" t="str">
        <f>"11101104026"</f>
        <v>11101104026</v>
      </c>
      <c r="B1213" s="3">
        <v>1</v>
      </c>
      <c r="C1213" s="3">
        <v>40</v>
      </c>
      <c r="D1213" s="3">
        <v>26</v>
      </c>
      <c r="E1213" s="3" t="s">
        <v>8</v>
      </c>
      <c r="F1213" s="4">
        <v>78.5</v>
      </c>
      <c r="G1213" s="4"/>
      <c r="H1213" s="4">
        <f t="shared" si="102"/>
        <v>78.5</v>
      </c>
    </row>
    <row r="1214" ht="14.25" spans="1:8">
      <c r="A1214" s="3" t="str">
        <f>"11101104027"</f>
        <v>11101104027</v>
      </c>
      <c r="B1214" s="3">
        <v>1</v>
      </c>
      <c r="C1214" s="3">
        <v>40</v>
      </c>
      <c r="D1214" s="3">
        <v>27</v>
      </c>
      <c r="E1214" s="3" t="s">
        <v>8</v>
      </c>
      <c r="F1214" s="4">
        <v>66</v>
      </c>
      <c r="G1214" s="4"/>
      <c r="H1214" s="4">
        <f t="shared" si="102"/>
        <v>66</v>
      </c>
    </row>
    <row r="1215" ht="14.25" spans="1:8">
      <c r="A1215" s="3" t="str">
        <f>"11101104028"</f>
        <v>11101104028</v>
      </c>
      <c r="B1215" s="3">
        <v>1</v>
      </c>
      <c r="C1215" s="3">
        <v>40</v>
      </c>
      <c r="D1215" s="3">
        <v>28</v>
      </c>
      <c r="E1215" s="3" t="s">
        <v>8</v>
      </c>
      <c r="F1215" s="4">
        <v>76</v>
      </c>
      <c r="G1215" s="4"/>
      <c r="H1215" s="4">
        <f t="shared" si="102"/>
        <v>76</v>
      </c>
    </row>
    <row r="1216" ht="14.25" spans="1:8">
      <c r="A1216" s="3" t="str">
        <f>"11101104029"</f>
        <v>11101104029</v>
      </c>
      <c r="B1216" s="3">
        <v>1</v>
      </c>
      <c r="C1216" s="3">
        <v>40</v>
      </c>
      <c r="D1216" s="3">
        <v>29</v>
      </c>
      <c r="E1216" s="3" t="s">
        <v>8</v>
      </c>
      <c r="F1216" s="4">
        <v>65.5</v>
      </c>
      <c r="G1216" s="4"/>
      <c r="H1216" s="4">
        <f t="shared" si="102"/>
        <v>65.5</v>
      </c>
    </row>
    <row r="1217" ht="14.25" spans="1:8">
      <c r="A1217" s="3" t="str">
        <f>"11101104030"</f>
        <v>11101104030</v>
      </c>
      <c r="B1217" s="3">
        <v>1</v>
      </c>
      <c r="C1217" s="3">
        <v>40</v>
      </c>
      <c r="D1217" s="3">
        <v>30</v>
      </c>
      <c r="E1217" s="3" t="s">
        <v>8</v>
      </c>
      <c r="F1217" s="4">
        <v>88.5</v>
      </c>
      <c r="G1217" s="4"/>
      <c r="H1217" s="4">
        <f t="shared" si="102"/>
        <v>88.5</v>
      </c>
    </row>
    <row r="1218" ht="14.25" spans="1:8">
      <c r="A1218" s="3" t="str">
        <f>"11101104101"</f>
        <v>11101104101</v>
      </c>
      <c r="B1218" s="3">
        <v>1</v>
      </c>
      <c r="C1218" s="3">
        <v>41</v>
      </c>
      <c r="D1218" s="3">
        <v>1</v>
      </c>
      <c r="E1218" s="3" t="s">
        <v>8</v>
      </c>
      <c r="F1218" s="4">
        <v>77</v>
      </c>
      <c r="G1218" s="4"/>
      <c r="H1218" s="4">
        <f t="shared" si="102"/>
        <v>77</v>
      </c>
    </row>
    <row r="1219" ht="14.25" spans="1:8">
      <c r="A1219" s="3" t="str">
        <f>"11101104102"</f>
        <v>11101104102</v>
      </c>
      <c r="B1219" s="3">
        <v>1</v>
      </c>
      <c r="C1219" s="3">
        <v>41</v>
      </c>
      <c r="D1219" s="3">
        <v>2</v>
      </c>
      <c r="E1219" s="3" t="s">
        <v>8</v>
      </c>
      <c r="F1219" s="4">
        <v>73</v>
      </c>
      <c r="G1219" s="4"/>
      <c r="H1219" s="4">
        <f t="shared" si="102"/>
        <v>73</v>
      </c>
    </row>
    <row r="1220" ht="14.25" spans="1:8">
      <c r="A1220" s="3" t="str">
        <f>"11101104103"</f>
        <v>11101104103</v>
      </c>
      <c r="B1220" s="3">
        <v>1</v>
      </c>
      <c r="C1220" s="3">
        <v>41</v>
      </c>
      <c r="D1220" s="3">
        <v>3</v>
      </c>
      <c r="E1220" s="3" t="s">
        <v>8</v>
      </c>
      <c r="F1220" s="4">
        <v>39.5</v>
      </c>
      <c r="G1220" s="4"/>
      <c r="H1220" s="4">
        <f t="shared" si="102"/>
        <v>39.5</v>
      </c>
    </row>
    <row r="1221" ht="14.25" spans="1:8">
      <c r="A1221" s="3" t="str">
        <f>"11101104104"</f>
        <v>11101104104</v>
      </c>
      <c r="B1221" s="3">
        <v>1</v>
      </c>
      <c r="C1221" s="3">
        <v>41</v>
      </c>
      <c r="D1221" s="3">
        <v>4</v>
      </c>
      <c r="E1221" s="3" t="s">
        <v>8</v>
      </c>
      <c r="F1221" s="4">
        <v>74.5</v>
      </c>
      <c r="G1221" s="4"/>
      <c r="H1221" s="4">
        <f t="shared" si="102"/>
        <v>74.5</v>
      </c>
    </row>
    <row r="1222" ht="14.25" spans="1:8">
      <c r="A1222" s="3" t="str">
        <f>"11101104105"</f>
        <v>11101104105</v>
      </c>
      <c r="B1222" s="3">
        <v>1</v>
      </c>
      <c r="C1222" s="3">
        <v>41</v>
      </c>
      <c r="D1222" s="3">
        <v>5</v>
      </c>
      <c r="E1222" s="3" t="s">
        <v>8</v>
      </c>
      <c r="F1222" s="4">
        <v>80</v>
      </c>
      <c r="G1222" s="4"/>
      <c r="H1222" s="4">
        <f t="shared" si="102"/>
        <v>80</v>
      </c>
    </row>
    <row r="1223" ht="14.25" spans="1:8">
      <c r="A1223" s="3" t="str">
        <f>"11101104106"</f>
        <v>11101104106</v>
      </c>
      <c r="B1223" s="3">
        <v>1</v>
      </c>
      <c r="C1223" s="3">
        <v>41</v>
      </c>
      <c r="D1223" s="3">
        <v>6</v>
      </c>
      <c r="E1223" s="3" t="s">
        <v>8</v>
      </c>
      <c r="F1223" s="4">
        <v>87</v>
      </c>
      <c r="G1223" s="4"/>
      <c r="H1223" s="4">
        <f t="shared" si="102"/>
        <v>87</v>
      </c>
    </row>
    <row r="1224" ht="14.25" spans="1:8">
      <c r="A1224" s="3" t="str">
        <f>"11101104107"</f>
        <v>11101104107</v>
      </c>
      <c r="B1224" s="3">
        <v>1</v>
      </c>
      <c r="C1224" s="3">
        <v>41</v>
      </c>
      <c r="D1224" s="3">
        <v>7</v>
      </c>
      <c r="E1224" s="3" t="s">
        <v>8</v>
      </c>
      <c r="F1224" s="4">
        <v>83</v>
      </c>
      <c r="G1224" s="4"/>
      <c r="H1224" s="4">
        <f t="shared" si="102"/>
        <v>83</v>
      </c>
    </row>
    <row r="1225" ht="14.25" spans="1:8">
      <c r="A1225" s="3" t="str">
        <f>"11101104108"</f>
        <v>11101104108</v>
      </c>
      <c r="B1225" s="3">
        <v>1</v>
      </c>
      <c r="C1225" s="3">
        <v>41</v>
      </c>
      <c r="D1225" s="3">
        <v>8</v>
      </c>
      <c r="E1225" s="3" t="s">
        <v>8</v>
      </c>
      <c r="F1225" s="3">
        <v>0</v>
      </c>
      <c r="G1225" s="4"/>
      <c r="H1225" s="3">
        <v>0</v>
      </c>
    </row>
    <row r="1226" ht="14.25" spans="1:8">
      <c r="A1226" s="3" t="str">
        <f>"11101104109"</f>
        <v>11101104109</v>
      </c>
      <c r="B1226" s="3">
        <v>1</v>
      </c>
      <c r="C1226" s="3">
        <v>41</v>
      </c>
      <c r="D1226" s="3">
        <v>9</v>
      </c>
      <c r="E1226" s="3" t="s">
        <v>8</v>
      </c>
      <c r="F1226" s="4">
        <v>59</v>
      </c>
      <c r="G1226" s="4"/>
      <c r="H1226" s="4">
        <f t="shared" ref="H1226:H1230" si="103">F1226+G1226</f>
        <v>59</v>
      </c>
    </row>
    <row r="1227" ht="14.25" spans="1:8">
      <c r="A1227" s="3" t="str">
        <f>"11101104110"</f>
        <v>11101104110</v>
      </c>
      <c r="B1227" s="3">
        <v>1</v>
      </c>
      <c r="C1227" s="3">
        <v>41</v>
      </c>
      <c r="D1227" s="3">
        <v>10</v>
      </c>
      <c r="E1227" s="3" t="s">
        <v>8</v>
      </c>
      <c r="F1227" s="4">
        <v>74.5</v>
      </c>
      <c r="G1227" s="4"/>
      <c r="H1227" s="4">
        <f t="shared" si="103"/>
        <v>74.5</v>
      </c>
    </row>
    <row r="1228" ht="14.25" spans="1:8">
      <c r="A1228" s="3" t="str">
        <f>"11101104111"</f>
        <v>11101104111</v>
      </c>
      <c r="B1228" s="3">
        <v>1</v>
      </c>
      <c r="C1228" s="3">
        <v>41</v>
      </c>
      <c r="D1228" s="3">
        <v>11</v>
      </c>
      <c r="E1228" s="3" t="s">
        <v>8</v>
      </c>
      <c r="F1228" s="4">
        <v>77</v>
      </c>
      <c r="G1228" s="4"/>
      <c r="H1228" s="4">
        <f t="shared" si="103"/>
        <v>77</v>
      </c>
    </row>
    <row r="1229" ht="14.25" spans="1:8">
      <c r="A1229" s="3" t="str">
        <f>"11101104112"</f>
        <v>11101104112</v>
      </c>
      <c r="B1229" s="3">
        <v>1</v>
      </c>
      <c r="C1229" s="3">
        <v>41</v>
      </c>
      <c r="D1229" s="3">
        <v>12</v>
      </c>
      <c r="E1229" s="3" t="s">
        <v>8</v>
      </c>
      <c r="F1229" s="4">
        <v>76.5</v>
      </c>
      <c r="G1229" s="4"/>
      <c r="H1229" s="4">
        <f t="shared" si="103"/>
        <v>76.5</v>
      </c>
    </row>
    <row r="1230" ht="14.25" spans="1:8">
      <c r="A1230" s="3" t="str">
        <f>"11101104113"</f>
        <v>11101104113</v>
      </c>
      <c r="B1230" s="3">
        <v>1</v>
      </c>
      <c r="C1230" s="3">
        <v>41</v>
      </c>
      <c r="D1230" s="3">
        <v>13</v>
      </c>
      <c r="E1230" s="3" t="s">
        <v>8</v>
      </c>
      <c r="F1230" s="4">
        <v>76</v>
      </c>
      <c r="G1230" s="4"/>
      <c r="H1230" s="4">
        <f t="shared" si="103"/>
        <v>76</v>
      </c>
    </row>
    <row r="1231" ht="14.25" spans="1:8">
      <c r="A1231" s="3" t="str">
        <f>"11101104114"</f>
        <v>11101104114</v>
      </c>
      <c r="B1231" s="3">
        <v>1</v>
      </c>
      <c r="C1231" s="3">
        <v>41</v>
      </c>
      <c r="D1231" s="3">
        <v>14</v>
      </c>
      <c r="E1231" s="3" t="s">
        <v>8</v>
      </c>
      <c r="F1231" s="3">
        <v>0</v>
      </c>
      <c r="G1231" s="4"/>
      <c r="H1231" s="3">
        <v>0</v>
      </c>
    </row>
    <row r="1232" ht="14.25" spans="1:8">
      <c r="A1232" s="3" t="str">
        <f>"11101104115"</f>
        <v>11101104115</v>
      </c>
      <c r="B1232" s="3">
        <v>1</v>
      </c>
      <c r="C1232" s="3">
        <v>41</v>
      </c>
      <c r="D1232" s="3">
        <v>15</v>
      </c>
      <c r="E1232" s="3" t="s">
        <v>8</v>
      </c>
      <c r="F1232" s="4">
        <v>63</v>
      </c>
      <c r="G1232" s="4"/>
      <c r="H1232" s="4">
        <f t="shared" ref="H1232:H1234" si="104">F1232+G1232</f>
        <v>63</v>
      </c>
    </row>
    <row r="1233" ht="14.25" spans="1:8">
      <c r="A1233" s="3" t="str">
        <f>"11101104116"</f>
        <v>11101104116</v>
      </c>
      <c r="B1233" s="3">
        <v>1</v>
      </c>
      <c r="C1233" s="3">
        <v>41</v>
      </c>
      <c r="D1233" s="3">
        <v>16</v>
      </c>
      <c r="E1233" s="3" t="s">
        <v>8</v>
      </c>
      <c r="F1233" s="4">
        <v>82.5</v>
      </c>
      <c r="G1233" s="4"/>
      <c r="H1233" s="4">
        <f t="shared" si="104"/>
        <v>82.5</v>
      </c>
    </row>
    <row r="1234" ht="14.25" spans="1:8">
      <c r="A1234" s="3" t="str">
        <f>"11101104117"</f>
        <v>11101104117</v>
      </c>
      <c r="B1234" s="3">
        <v>1</v>
      </c>
      <c r="C1234" s="3">
        <v>41</v>
      </c>
      <c r="D1234" s="3">
        <v>17</v>
      </c>
      <c r="E1234" s="3" t="s">
        <v>8</v>
      </c>
      <c r="F1234" s="4">
        <v>78.5</v>
      </c>
      <c r="G1234" s="4"/>
      <c r="H1234" s="4">
        <f t="shared" si="104"/>
        <v>78.5</v>
      </c>
    </row>
    <row r="1235" ht="14.25" spans="1:8">
      <c r="A1235" s="3" t="str">
        <f>"11101104118"</f>
        <v>11101104118</v>
      </c>
      <c r="B1235" s="3">
        <v>1</v>
      </c>
      <c r="C1235" s="3">
        <v>41</v>
      </c>
      <c r="D1235" s="3">
        <v>18</v>
      </c>
      <c r="E1235" s="3" t="s">
        <v>8</v>
      </c>
      <c r="F1235" s="3">
        <v>0</v>
      </c>
      <c r="G1235" s="4"/>
      <c r="H1235" s="3">
        <v>0</v>
      </c>
    </row>
    <row r="1236" ht="14.25" spans="1:8">
      <c r="A1236" s="3" t="str">
        <f>"11101104119"</f>
        <v>11101104119</v>
      </c>
      <c r="B1236" s="3">
        <v>1</v>
      </c>
      <c r="C1236" s="3">
        <v>41</v>
      </c>
      <c r="D1236" s="3">
        <v>19</v>
      </c>
      <c r="E1236" s="3" t="s">
        <v>8</v>
      </c>
      <c r="F1236" s="4">
        <v>63</v>
      </c>
      <c r="G1236" s="4"/>
      <c r="H1236" s="4">
        <f t="shared" ref="H1236:H1240" si="105">F1236+G1236</f>
        <v>63</v>
      </c>
    </row>
    <row r="1237" ht="14.25" spans="1:8">
      <c r="A1237" s="3" t="str">
        <f>"11101104120"</f>
        <v>11101104120</v>
      </c>
      <c r="B1237" s="3">
        <v>1</v>
      </c>
      <c r="C1237" s="3">
        <v>41</v>
      </c>
      <c r="D1237" s="3">
        <v>20</v>
      </c>
      <c r="E1237" s="3" t="s">
        <v>8</v>
      </c>
      <c r="F1237" s="4">
        <v>85</v>
      </c>
      <c r="G1237" s="4"/>
      <c r="H1237" s="4">
        <f t="shared" si="105"/>
        <v>85</v>
      </c>
    </row>
    <row r="1238" ht="14.25" spans="1:8">
      <c r="A1238" s="3" t="str">
        <f>"11101104121"</f>
        <v>11101104121</v>
      </c>
      <c r="B1238" s="3">
        <v>1</v>
      </c>
      <c r="C1238" s="3">
        <v>41</v>
      </c>
      <c r="D1238" s="3">
        <v>21</v>
      </c>
      <c r="E1238" s="3" t="s">
        <v>8</v>
      </c>
      <c r="F1238" s="3">
        <v>0</v>
      </c>
      <c r="G1238" s="4"/>
      <c r="H1238" s="3">
        <v>0</v>
      </c>
    </row>
    <row r="1239" ht="14.25" spans="1:8">
      <c r="A1239" s="3" t="str">
        <f>"11101104122"</f>
        <v>11101104122</v>
      </c>
      <c r="B1239" s="3">
        <v>1</v>
      </c>
      <c r="C1239" s="3">
        <v>41</v>
      </c>
      <c r="D1239" s="3">
        <v>22</v>
      </c>
      <c r="E1239" s="3" t="s">
        <v>8</v>
      </c>
      <c r="F1239" s="3">
        <v>0</v>
      </c>
      <c r="G1239" s="4"/>
      <c r="H1239" s="3">
        <v>0</v>
      </c>
    </row>
    <row r="1240" ht="14.25" spans="1:8">
      <c r="A1240" s="3" t="str">
        <f>"11101104123"</f>
        <v>11101104123</v>
      </c>
      <c r="B1240" s="3">
        <v>1</v>
      </c>
      <c r="C1240" s="3">
        <v>41</v>
      </c>
      <c r="D1240" s="3">
        <v>23</v>
      </c>
      <c r="E1240" s="3" t="s">
        <v>8</v>
      </c>
      <c r="F1240" s="4">
        <v>77.5</v>
      </c>
      <c r="G1240" s="4"/>
      <c r="H1240" s="4">
        <f t="shared" si="105"/>
        <v>77.5</v>
      </c>
    </row>
    <row r="1241" ht="14.25" spans="1:8">
      <c r="A1241" s="3" t="str">
        <f>"11101104124"</f>
        <v>11101104124</v>
      </c>
      <c r="B1241" s="3">
        <v>1</v>
      </c>
      <c r="C1241" s="3">
        <v>41</v>
      </c>
      <c r="D1241" s="3">
        <v>24</v>
      </c>
      <c r="E1241" s="3" t="s">
        <v>8</v>
      </c>
      <c r="F1241" s="3">
        <v>0</v>
      </c>
      <c r="G1241" s="4"/>
      <c r="H1241" s="3">
        <v>0</v>
      </c>
    </row>
    <row r="1242" ht="14.25" spans="1:8">
      <c r="A1242" s="3" t="str">
        <f>"11101104125"</f>
        <v>11101104125</v>
      </c>
      <c r="B1242" s="3">
        <v>1</v>
      </c>
      <c r="C1242" s="3">
        <v>41</v>
      </c>
      <c r="D1242" s="3">
        <v>25</v>
      </c>
      <c r="E1242" s="3" t="s">
        <v>8</v>
      </c>
      <c r="F1242" s="4">
        <v>74</v>
      </c>
      <c r="G1242" s="4"/>
      <c r="H1242" s="4">
        <f t="shared" ref="H1242:H1244" si="106">F1242+G1242</f>
        <v>74</v>
      </c>
    </row>
    <row r="1243" ht="14.25" spans="1:8">
      <c r="A1243" s="3" t="str">
        <f>"11101104126"</f>
        <v>11101104126</v>
      </c>
      <c r="B1243" s="3">
        <v>1</v>
      </c>
      <c r="C1243" s="3">
        <v>41</v>
      </c>
      <c r="D1243" s="3">
        <v>26</v>
      </c>
      <c r="E1243" s="3" t="s">
        <v>8</v>
      </c>
      <c r="F1243" s="4">
        <v>79.5</v>
      </c>
      <c r="G1243" s="4"/>
      <c r="H1243" s="4">
        <f t="shared" si="106"/>
        <v>79.5</v>
      </c>
    </row>
    <row r="1244" ht="14.25" spans="1:8">
      <c r="A1244" s="3" t="str">
        <f>"11101104127"</f>
        <v>11101104127</v>
      </c>
      <c r="B1244" s="3">
        <v>1</v>
      </c>
      <c r="C1244" s="3">
        <v>41</v>
      </c>
      <c r="D1244" s="3">
        <v>27</v>
      </c>
      <c r="E1244" s="3" t="s">
        <v>8</v>
      </c>
      <c r="F1244" s="4">
        <v>58</v>
      </c>
      <c r="G1244" s="4"/>
      <c r="H1244" s="4">
        <f t="shared" si="106"/>
        <v>58</v>
      </c>
    </row>
    <row r="1245" ht="14.25" spans="1:8">
      <c r="A1245" s="3" t="str">
        <f>"11101104128"</f>
        <v>11101104128</v>
      </c>
      <c r="B1245" s="3">
        <v>1</v>
      </c>
      <c r="C1245" s="3">
        <v>41</v>
      </c>
      <c r="D1245" s="3">
        <v>28</v>
      </c>
      <c r="E1245" s="3" t="s">
        <v>8</v>
      </c>
      <c r="F1245" s="3">
        <v>0</v>
      </c>
      <c r="G1245" s="4"/>
      <c r="H1245" s="3">
        <v>0</v>
      </c>
    </row>
    <row r="1246" ht="14.25" spans="1:8">
      <c r="A1246" s="3" t="str">
        <f>"11101104129"</f>
        <v>11101104129</v>
      </c>
      <c r="B1246" s="3">
        <v>1</v>
      </c>
      <c r="C1246" s="3">
        <v>41</v>
      </c>
      <c r="D1246" s="3">
        <v>29</v>
      </c>
      <c r="E1246" s="3" t="s">
        <v>8</v>
      </c>
      <c r="F1246" s="4">
        <v>44</v>
      </c>
      <c r="G1246" s="4"/>
      <c r="H1246" s="4">
        <f t="shared" ref="H1246:H1248" si="107">F1246+G1246</f>
        <v>44</v>
      </c>
    </row>
    <row r="1247" ht="14.25" spans="1:8">
      <c r="A1247" s="3" t="str">
        <f>"11101104130"</f>
        <v>11101104130</v>
      </c>
      <c r="B1247" s="3">
        <v>1</v>
      </c>
      <c r="C1247" s="3">
        <v>41</v>
      </c>
      <c r="D1247" s="3">
        <v>30</v>
      </c>
      <c r="E1247" s="3" t="s">
        <v>8</v>
      </c>
      <c r="F1247" s="4">
        <v>83.5</v>
      </c>
      <c r="G1247" s="4"/>
      <c r="H1247" s="4">
        <f t="shared" si="107"/>
        <v>83.5</v>
      </c>
    </row>
    <row r="1248" ht="14.25" spans="1:8">
      <c r="A1248" s="3" t="str">
        <f>"11101104201"</f>
        <v>11101104201</v>
      </c>
      <c r="B1248" s="3">
        <v>1</v>
      </c>
      <c r="C1248" s="3">
        <v>42</v>
      </c>
      <c r="D1248" s="3">
        <v>1</v>
      </c>
      <c r="E1248" s="3" t="s">
        <v>8</v>
      </c>
      <c r="F1248" s="4">
        <v>81.5</v>
      </c>
      <c r="G1248" s="4"/>
      <c r="H1248" s="4">
        <f t="shared" si="107"/>
        <v>81.5</v>
      </c>
    </row>
    <row r="1249" ht="14.25" spans="1:8">
      <c r="A1249" s="3" t="str">
        <f>"11101104202"</f>
        <v>11101104202</v>
      </c>
      <c r="B1249" s="3">
        <v>1</v>
      </c>
      <c r="C1249" s="3">
        <v>42</v>
      </c>
      <c r="D1249" s="3">
        <v>2</v>
      </c>
      <c r="E1249" s="3" t="s">
        <v>8</v>
      </c>
      <c r="F1249" s="3">
        <v>0</v>
      </c>
      <c r="G1249" s="4"/>
      <c r="H1249" s="3">
        <v>0</v>
      </c>
    </row>
    <row r="1250" ht="14.25" spans="1:8">
      <c r="A1250" s="3" t="str">
        <f>"11101104203"</f>
        <v>11101104203</v>
      </c>
      <c r="B1250" s="3">
        <v>1</v>
      </c>
      <c r="C1250" s="3">
        <v>42</v>
      </c>
      <c r="D1250" s="3">
        <v>3</v>
      </c>
      <c r="E1250" s="3" t="s">
        <v>8</v>
      </c>
      <c r="F1250" s="4">
        <v>82</v>
      </c>
      <c r="G1250" s="4"/>
      <c r="H1250" s="4">
        <f t="shared" ref="H1250:H1256" si="108">F1250+G1250</f>
        <v>82</v>
      </c>
    </row>
    <row r="1251" ht="14.25" spans="1:8">
      <c r="A1251" s="3" t="str">
        <f>"11101104204"</f>
        <v>11101104204</v>
      </c>
      <c r="B1251" s="3">
        <v>1</v>
      </c>
      <c r="C1251" s="3">
        <v>42</v>
      </c>
      <c r="D1251" s="3">
        <v>4</v>
      </c>
      <c r="E1251" s="3" t="s">
        <v>8</v>
      </c>
      <c r="F1251" s="4">
        <v>68</v>
      </c>
      <c r="G1251" s="4"/>
      <c r="H1251" s="4">
        <f t="shared" si="108"/>
        <v>68</v>
      </c>
    </row>
    <row r="1252" ht="14.25" spans="1:8">
      <c r="A1252" s="3" t="str">
        <f>"11101104205"</f>
        <v>11101104205</v>
      </c>
      <c r="B1252" s="3">
        <v>1</v>
      </c>
      <c r="C1252" s="3">
        <v>42</v>
      </c>
      <c r="D1252" s="3">
        <v>5</v>
      </c>
      <c r="E1252" s="3" t="s">
        <v>8</v>
      </c>
      <c r="F1252" s="4">
        <v>78</v>
      </c>
      <c r="G1252" s="4"/>
      <c r="H1252" s="4">
        <f t="shared" si="108"/>
        <v>78</v>
      </c>
    </row>
    <row r="1253" ht="14.25" spans="1:8">
      <c r="A1253" s="3" t="str">
        <f>"11101104206"</f>
        <v>11101104206</v>
      </c>
      <c r="B1253" s="3">
        <v>1</v>
      </c>
      <c r="C1253" s="3">
        <v>42</v>
      </c>
      <c r="D1253" s="3">
        <v>6</v>
      </c>
      <c r="E1253" s="3" t="s">
        <v>8</v>
      </c>
      <c r="F1253" s="4">
        <v>77</v>
      </c>
      <c r="G1253" s="4"/>
      <c r="H1253" s="4">
        <f t="shared" si="108"/>
        <v>77</v>
      </c>
    </row>
    <row r="1254" ht="14.25" spans="1:8">
      <c r="A1254" s="3" t="str">
        <f>"11101104207"</f>
        <v>11101104207</v>
      </c>
      <c r="B1254" s="3">
        <v>1</v>
      </c>
      <c r="C1254" s="3">
        <v>42</v>
      </c>
      <c r="D1254" s="3">
        <v>7</v>
      </c>
      <c r="E1254" s="3" t="s">
        <v>8</v>
      </c>
      <c r="F1254" s="4">
        <v>76</v>
      </c>
      <c r="G1254" s="4"/>
      <c r="H1254" s="4">
        <f t="shared" si="108"/>
        <v>76</v>
      </c>
    </row>
    <row r="1255" ht="14.25" spans="1:8">
      <c r="A1255" s="3" t="str">
        <f>"11101104208"</f>
        <v>11101104208</v>
      </c>
      <c r="B1255" s="3">
        <v>1</v>
      </c>
      <c r="C1255" s="3">
        <v>42</v>
      </c>
      <c r="D1255" s="3">
        <v>8</v>
      </c>
      <c r="E1255" s="3" t="s">
        <v>8</v>
      </c>
      <c r="F1255" s="4">
        <v>85</v>
      </c>
      <c r="G1255" s="4"/>
      <c r="H1255" s="4">
        <f t="shared" si="108"/>
        <v>85</v>
      </c>
    </row>
    <row r="1256" ht="14.25" spans="1:8">
      <c r="A1256" s="3" t="str">
        <f>"11101104209"</f>
        <v>11101104209</v>
      </c>
      <c r="B1256" s="3">
        <v>1</v>
      </c>
      <c r="C1256" s="3">
        <v>42</v>
      </c>
      <c r="D1256" s="3">
        <v>9</v>
      </c>
      <c r="E1256" s="3" t="s">
        <v>8</v>
      </c>
      <c r="F1256" s="4">
        <v>69.5</v>
      </c>
      <c r="G1256" s="4"/>
      <c r="H1256" s="4">
        <f t="shared" si="108"/>
        <v>69.5</v>
      </c>
    </row>
    <row r="1257" ht="14.25" spans="1:8">
      <c r="A1257" s="3" t="str">
        <f>"11101104210"</f>
        <v>11101104210</v>
      </c>
      <c r="B1257" s="3">
        <v>1</v>
      </c>
      <c r="C1257" s="3">
        <v>42</v>
      </c>
      <c r="D1257" s="3">
        <v>10</v>
      </c>
      <c r="E1257" s="3" t="s">
        <v>8</v>
      </c>
      <c r="F1257" s="3">
        <v>0</v>
      </c>
      <c r="G1257" s="4"/>
      <c r="H1257" s="3">
        <v>0</v>
      </c>
    </row>
    <row r="1258" ht="14.25" spans="1:8">
      <c r="A1258" s="3" t="str">
        <f>"11101104211"</f>
        <v>11101104211</v>
      </c>
      <c r="B1258" s="3">
        <v>1</v>
      </c>
      <c r="C1258" s="3">
        <v>42</v>
      </c>
      <c r="D1258" s="3">
        <v>11</v>
      </c>
      <c r="E1258" s="3" t="s">
        <v>8</v>
      </c>
      <c r="F1258" s="4">
        <v>76.5</v>
      </c>
      <c r="G1258" s="4"/>
      <c r="H1258" s="4">
        <f t="shared" ref="H1258:H1262" si="109">F1258+G1258</f>
        <v>76.5</v>
      </c>
    </row>
    <row r="1259" ht="14.25" spans="1:8">
      <c r="A1259" s="3" t="str">
        <f>"11101104212"</f>
        <v>11101104212</v>
      </c>
      <c r="B1259" s="3">
        <v>1</v>
      </c>
      <c r="C1259" s="3">
        <v>42</v>
      </c>
      <c r="D1259" s="3">
        <v>12</v>
      </c>
      <c r="E1259" s="3" t="s">
        <v>8</v>
      </c>
      <c r="F1259" s="4">
        <v>81</v>
      </c>
      <c r="G1259" s="4"/>
      <c r="H1259" s="4">
        <f t="shared" si="109"/>
        <v>81</v>
      </c>
    </row>
    <row r="1260" ht="14.25" spans="1:8">
      <c r="A1260" s="3" t="str">
        <f>"11101104213"</f>
        <v>11101104213</v>
      </c>
      <c r="B1260" s="3">
        <v>1</v>
      </c>
      <c r="C1260" s="3">
        <v>42</v>
      </c>
      <c r="D1260" s="3">
        <v>13</v>
      </c>
      <c r="E1260" s="3" t="s">
        <v>8</v>
      </c>
      <c r="F1260" s="4">
        <v>78.5</v>
      </c>
      <c r="G1260" s="4"/>
      <c r="H1260" s="4">
        <f t="shared" si="109"/>
        <v>78.5</v>
      </c>
    </row>
    <row r="1261" ht="14.25" spans="1:8">
      <c r="A1261" s="3" t="str">
        <f>"11101104214"</f>
        <v>11101104214</v>
      </c>
      <c r="B1261" s="3">
        <v>1</v>
      </c>
      <c r="C1261" s="3">
        <v>42</v>
      </c>
      <c r="D1261" s="3">
        <v>14</v>
      </c>
      <c r="E1261" s="3" t="s">
        <v>8</v>
      </c>
      <c r="F1261" s="4">
        <v>79.5</v>
      </c>
      <c r="G1261" s="4"/>
      <c r="H1261" s="4">
        <f t="shared" si="109"/>
        <v>79.5</v>
      </c>
    </row>
    <row r="1262" ht="14.25" spans="1:8">
      <c r="A1262" s="3" t="str">
        <f>"11101104215"</f>
        <v>11101104215</v>
      </c>
      <c r="B1262" s="3">
        <v>1</v>
      </c>
      <c r="C1262" s="3">
        <v>42</v>
      </c>
      <c r="D1262" s="3">
        <v>15</v>
      </c>
      <c r="E1262" s="3" t="s">
        <v>8</v>
      </c>
      <c r="F1262" s="4">
        <v>85</v>
      </c>
      <c r="G1262" s="4"/>
      <c r="H1262" s="4">
        <f t="shared" si="109"/>
        <v>85</v>
      </c>
    </row>
    <row r="1263" ht="14.25" spans="1:8">
      <c r="A1263" s="3" t="str">
        <f>"11101104216"</f>
        <v>11101104216</v>
      </c>
      <c r="B1263" s="3">
        <v>1</v>
      </c>
      <c r="C1263" s="3">
        <v>42</v>
      </c>
      <c r="D1263" s="3">
        <v>16</v>
      </c>
      <c r="E1263" s="3" t="s">
        <v>8</v>
      </c>
      <c r="F1263" s="3">
        <v>0</v>
      </c>
      <c r="G1263" s="4"/>
      <c r="H1263" s="3">
        <v>0</v>
      </c>
    </row>
    <row r="1264" ht="14.25" spans="1:8">
      <c r="A1264" s="3" t="str">
        <f>"11101104217"</f>
        <v>11101104217</v>
      </c>
      <c r="B1264" s="3">
        <v>1</v>
      </c>
      <c r="C1264" s="3">
        <v>42</v>
      </c>
      <c r="D1264" s="3">
        <v>17</v>
      </c>
      <c r="E1264" s="3" t="s">
        <v>8</v>
      </c>
      <c r="F1264" s="4">
        <v>42</v>
      </c>
      <c r="G1264" s="4"/>
      <c r="H1264" s="4">
        <f t="shared" ref="H1264:H1272" si="110">F1264+G1264</f>
        <v>42</v>
      </c>
    </row>
    <row r="1265" ht="14.25" spans="1:8">
      <c r="A1265" s="3" t="str">
        <f>"11101104218"</f>
        <v>11101104218</v>
      </c>
      <c r="B1265" s="3">
        <v>1</v>
      </c>
      <c r="C1265" s="3">
        <v>42</v>
      </c>
      <c r="D1265" s="3">
        <v>18</v>
      </c>
      <c r="E1265" s="3" t="s">
        <v>8</v>
      </c>
      <c r="F1265" s="3">
        <v>0</v>
      </c>
      <c r="G1265" s="4"/>
      <c r="H1265" s="3">
        <v>0</v>
      </c>
    </row>
    <row r="1266" ht="14.25" spans="1:8">
      <c r="A1266" s="3" t="str">
        <f>"11101104219"</f>
        <v>11101104219</v>
      </c>
      <c r="B1266" s="3">
        <v>1</v>
      </c>
      <c r="C1266" s="3">
        <v>42</v>
      </c>
      <c r="D1266" s="3">
        <v>19</v>
      </c>
      <c r="E1266" s="3" t="s">
        <v>8</v>
      </c>
      <c r="F1266" s="3">
        <v>0</v>
      </c>
      <c r="G1266" s="4"/>
      <c r="H1266" s="3">
        <v>0</v>
      </c>
    </row>
    <row r="1267" ht="14.25" spans="1:8">
      <c r="A1267" s="3" t="str">
        <f>"11101104220"</f>
        <v>11101104220</v>
      </c>
      <c r="B1267" s="3">
        <v>1</v>
      </c>
      <c r="C1267" s="3">
        <v>42</v>
      </c>
      <c r="D1267" s="3">
        <v>20</v>
      </c>
      <c r="E1267" s="3" t="s">
        <v>8</v>
      </c>
      <c r="F1267" s="3">
        <v>0</v>
      </c>
      <c r="G1267" s="4"/>
      <c r="H1267" s="3">
        <v>0</v>
      </c>
    </row>
    <row r="1268" ht="14.25" spans="1:8">
      <c r="A1268" s="3" t="str">
        <f>"11101104221"</f>
        <v>11101104221</v>
      </c>
      <c r="B1268" s="3">
        <v>1</v>
      </c>
      <c r="C1268" s="3">
        <v>42</v>
      </c>
      <c r="D1268" s="3">
        <v>21</v>
      </c>
      <c r="E1268" s="3" t="s">
        <v>8</v>
      </c>
      <c r="F1268" s="4">
        <v>83</v>
      </c>
      <c r="G1268" s="4"/>
      <c r="H1268" s="4">
        <f t="shared" si="110"/>
        <v>83</v>
      </c>
    </row>
    <row r="1269" ht="14.25" spans="1:8">
      <c r="A1269" s="3" t="str">
        <f>"11101104222"</f>
        <v>11101104222</v>
      </c>
      <c r="B1269" s="3">
        <v>1</v>
      </c>
      <c r="C1269" s="3">
        <v>42</v>
      </c>
      <c r="D1269" s="3">
        <v>22</v>
      </c>
      <c r="E1269" s="3" t="s">
        <v>8</v>
      </c>
      <c r="F1269" s="4">
        <v>62.5</v>
      </c>
      <c r="G1269" s="4"/>
      <c r="H1269" s="4">
        <f t="shared" si="110"/>
        <v>62.5</v>
      </c>
    </row>
    <row r="1270" ht="14.25" spans="1:8">
      <c r="A1270" s="3" t="str">
        <f>"11101104223"</f>
        <v>11101104223</v>
      </c>
      <c r="B1270" s="3">
        <v>1</v>
      </c>
      <c r="C1270" s="3">
        <v>42</v>
      </c>
      <c r="D1270" s="3">
        <v>23</v>
      </c>
      <c r="E1270" s="3" t="s">
        <v>8</v>
      </c>
      <c r="F1270" s="4">
        <v>88</v>
      </c>
      <c r="G1270" s="4"/>
      <c r="H1270" s="4">
        <f t="shared" si="110"/>
        <v>88</v>
      </c>
    </row>
    <row r="1271" ht="14.25" spans="1:8">
      <c r="A1271" s="3" t="str">
        <f>"11101104224"</f>
        <v>11101104224</v>
      </c>
      <c r="B1271" s="3">
        <v>1</v>
      </c>
      <c r="C1271" s="3">
        <v>42</v>
      </c>
      <c r="D1271" s="3">
        <v>24</v>
      </c>
      <c r="E1271" s="3" t="s">
        <v>8</v>
      </c>
      <c r="F1271" s="4">
        <v>74.5</v>
      </c>
      <c r="G1271" s="4"/>
      <c r="H1271" s="4">
        <f t="shared" si="110"/>
        <v>74.5</v>
      </c>
    </row>
    <row r="1272" ht="14.25" spans="1:8">
      <c r="A1272" s="3" t="str">
        <f>"11101104225"</f>
        <v>11101104225</v>
      </c>
      <c r="B1272" s="3">
        <v>1</v>
      </c>
      <c r="C1272" s="3">
        <v>42</v>
      </c>
      <c r="D1272" s="3">
        <v>25</v>
      </c>
      <c r="E1272" s="3" t="s">
        <v>8</v>
      </c>
      <c r="F1272" s="4">
        <v>78.5</v>
      </c>
      <c r="G1272" s="4"/>
      <c r="H1272" s="4">
        <f t="shared" si="110"/>
        <v>78.5</v>
      </c>
    </row>
    <row r="1273" ht="14.25" spans="1:8">
      <c r="A1273" s="3" t="str">
        <f>"11101104226"</f>
        <v>11101104226</v>
      </c>
      <c r="B1273" s="3">
        <v>1</v>
      </c>
      <c r="C1273" s="3">
        <v>42</v>
      </c>
      <c r="D1273" s="3">
        <v>26</v>
      </c>
      <c r="E1273" s="3" t="s">
        <v>8</v>
      </c>
      <c r="F1273" s="3">
        <v>0</v>
      </c>
      <c r="G1273" s="4"/>
      <c r="H1273" s="3">
        <v>0</v>
      </c>
    </row>
    <row r="1274" ht="14.25" spans="1:8">
      <c r="A1274" s="3" t="str">
        <f>"11101104227"</f>
        <v>11101104227</v>
      </c>
      <c r="B1274" s="3">
        <v>1</v>
      </c>
      <c r="C1274" s="3">
        <v>42</v>
      </c>
      <c r="D1274" s="3">
        <v>27</v>
      </c>
      <c r="E1274" s="3" t="s">
        <v>8</v>
      </c>
      <c r="F1274" s="4">
        <v>72</v>
      </c>
      <c r="G1274" s="4"/>
      <c r="H1274" s="4">
        <f t="shared" ref="H1274:H1285" si="111">F1274+G1274</f>
        <v>72</v>
      </c>
    </row>
    <row r="1275" ht="14.25" spans="1:8">
      <c r="A1275" s="3" t="str">
        <f>"11101104228"</f>
        <v>11101104228</v>
      </c>
      <c r="B1275" s="3">
        <v>1</v>
      </c>
      <c r="C1275" s="3">
        <v>42</v>
      </c>
      <c r="D1275" s="3">
        <v>28</v>
      </c>
      <c r="E1275" s="3" t="s">
        <v>8</v>
      </c>
      <c r="F1275" s="4">
        <v>76.5</v>
      </c>
      <c r="G1275" s="4"/>
      <c r="H1275" s="4">
        <f t="shared" si="111"/>
        <v>76.5</v>
      </c>
    </row>
    <row r="1276" ht="14.25" spans="1:8">
      <c r="A1276" s="3" t="str">
        <f>"11101104229"</f>
        <v>11101104229</v>
      </c>
      <c r="B1276" s="3">
        <v>1</v>
      </c>
      <c r="C1276" s="3">
        <v>42</v>
      </c>
      <c r="D1276" s="3">
        <v>29</v>
      </c>
      <c r="E1276" s="3" t="s">
        <v>8</v>
      </c>
      <c r="F1276" s="3">
        <v>0</v>
      </c>
      <c r="G1276" s="4"/>
      <c r="H1276" s="3">
        <v>0</v>
      </c>
    </row>
    <row r="1277" ht="14.25" spans="1:8">
      <c r="A1277" s="3" t="str">
        <f>"11101104230"</f>
        <v>11101104230</v>
      </c>
      <c r="B1277" s="3">
        <v>1</v>
      </c>
      <c r="C1277" s="3">
        <v>42</v>
      </c>
      <c r="D1277" s="3">
        <v>30</v>
      </c>
      <c r="E1277" s="3" t="s">
        <v>8</v>
      </c>
      <c r="F1277" s="4">
        <v>81.5</v>
      </c>
      <c r="G1277" s="4"/>
      <c r="H1277" s="4">
        <f t="shared" si="111"/>
        <v>81.5</v>
      </c>
    </row>
    <row r="1278" ht="14.25" spans="1:8">
      <c r="A1278" s="3" t="str">
        <f>"11101104301"</f>
        <v>11101104301</v>
      </c>
      <c r="B1278" s="3">
        <v>1</v>
      </c>
      <c r="C1278" s="3">
        <v>43</v>
      </c>
      <c r="D1278" s="3">
        <v>1</v>
      </c>
      <c r="E1278" s="3" t="s">
        <v>8</v>
      </c>
      <c r="F1278" s="4">
        <v>59</v>
      </c>
      <c r="G1278" s="4"/>
      <c r="H1278" s="4">
        <f t="shared" si="111"/>
        <v>59</v>
      </c>
    </row>
    <row r="1279" ht="14.25" spans="1:8">
      <c r="A1279" s="3" t="str">
        <f>"11101104302"</f>
        <v>11101104302</v>
      </c>
      <c r="B1279" s="3">
        <v>1</v>
      </c>
      <c r="C1279" s="3">
        <v>43</v>
      </c>
      <c r="D1279" s="3">
        <v>2</v>
      </c>
      <c r="E1279" s="3" t="s">
        <v>8</v>
      </c>
      <c r="F1279" s="4">
        <v>75</v>
      </c>
      <c r="G1279" s="4"/>
      <c r="H1279" s="4">
        <f t="shared" si="111"/>
        <v>75</v>
      </c>
    </row>
    <row r="1280" ht="14.25" spans="1:8">
      <c r="A1280" s="3" t="str">
        <f>"11101104303"</f>
        <v>11101104303</v>
      </c>
      <c r="B1280" s="3">
        <v>1</v>
      </c>
      <c r="C1280" s="3">
        <v>43</v>
      </c>
      <c r="D1280" s="3">
        <v>3</v>
      </c>
      <c r="E1280" s="3" t="s">
        <v>8</v>
      </c>
      <c r="F1280" s="4">
        <v>79</v>
      </c>
      <c r="G1280" s="4"/>
      <c r="H1280" s="4">
        <f t="shared" si="111"/>
        <v>79</v>
      </c>
    </row>
    <row r="1281" ht="14.25" spans="1:8">
      <c r="A1281" s="3" t="str">
        <f>"11101104304"</f>
        <v>11101104304</v>
      </c>
      <c r="B1281" s="3">
        <v>1</v>
      </c>
      <c r="C1281" s="3">
        <v>43</v>
      </c>
      <c r="D1281" s="3">
        <v>4</v>
      </c>
      <c r="E1281" s="3" t="s">
        <v>8</v>
      </c>
      <c r="F1281" s="4">
        <v>54</v>
      </c>
      <c r="G1281" s="4"/>
      <c r="H1281" s="4">
        <f t="shared" si="111"/>
        <v>54</v>
      </c>
    </row>
    <row r="1282" ht="14.25" spans="1:8">
      <c r="A1282" s="3" t="str">
        <f>"11101104305"</f>
        <v>11101104305</v>
      </c>
      <c r="B1282" s="3">
        <v>1</v>
      </c>
      <c r="C1282" s="3">
        <v>43</v>
      </c>
      <c r="D1282" s="3">
        <v>5</v>
      </c>
      <c r="E1282" s="3" t="s">
        <v>8</v>
      </c>
      <c r="F1282" s="4">
        <v>73.5</v>
      </c>
      <c r="G1282" s="4"/>
      <c r="H1282" s="4">
        <f t="shared" si="111"/>
        <v>73.5</v>
      </c>
    </row>
    <row r="1283" ht="14.25" spans="1:8">
      <c r="A1283" s="3" t="str">
        <f>"11101104306"</f>
        <v>11101104306</v>
      </c>
      <c r="B1283" s="3">
        <v>1</v>
      </c>
      <c r="C1283" s="3">
        <v>43</v>
      </c>
      <c r="D1283" s="3">
        <v>6</v>
      </c>
      <c r="E1283" s="3" t="s">
        <v>8</v>
      </c>
      <c r="F1283" s="4">
        <v>79.5</v>
      </c>
      <c r="G1283" s="4"/>
      <c r="H1283" s="4">
        <f t="shared" si="111"/>
        <v>79.5</v>
      </c>
    </row>
    <row r="1284" ht="14.25" spans="1:8">
      <c r="A1284" s="3" t="str">
        <f>"11101104307"</f>
        <v>11101104307</v>
      </c>
      <c r="B1284" s="3">
        <v>1</v>
      </c>
      <c r="C1284" s="3">
        <v>43</v>
      </c>
      <c r="D1284" s="3">
        <v>7</v>
      </c>
      <c r="E1284" s="3" t="s">
        <v>8</v>
      </c>
      <c r="F1284" s="4">
        <v>71</v>
      </c>
      <c r="G1284" s="4"/>
      <c r="H1284" s="4">
        <f t="shared" si="111"/>
        <v>71</v>
      </c>
    </row>
    <row r="1285" ht="14.25" spans="1:8">
      <c r="A1285" s="3" t="str">
        <f>"11101104308"</f>
        <v>11101104308</v>
      </c>
      <c r="B1285" s="3">
        <v>1</v>
      </c>
      <c r="C1285" s="3">
        <v>43</v>
      </c>
      <c r="D1285" s="3">
        <v>8</v>
      </c>
      <c r="E1285" s="3" t="s">
        <v>8</v>
      </c>
      <c r="F1285" s="4">
        <v>67.5</v>
      </c>
      <c r="G1285" s="4"/>
      <c r="H1285" s="4">
        <f t="shared" si="111"/>
        <v>67.5</v>
      </c>
    </row>
    <row r="1286" ht="14.25" spans="1:8">
      <c r="A1286" s="3" t="str">
        <f>"11101104309"</f>
        <v>11101104309</v>
      </c>
      <c r="B1286" s="3">
        <v>1</v>
      </c>
      <c r="C1286" s="3">
        <v>43</v>
      </c>
      <c r="D1286" s="3">
        <v>9</v>
      </c>
      <c r="E1286" s="3" t="s">
        <v>8</v>
      </c>
      <c r="F1286" s="3">
        <v>0</v>
      </c>
      <c r="G1286" s="4"/>
      <c r="H1286" s="3">
        <v>0</v>
      </c>
    </row>
    <row r="1287" ht="14.25" spans="1:8">
      <c r="A1287" s="3" t="str">
        <f>"11101104310"</f>
        <v>11101104310</v>
      </c>
      <c r="B1287" s="3">
        <v>1</v>
      </c>
      <c r="C1287" s="3">
        <v>43</v>
      </c>
      <c r="D1287" s="3">
        <v>10</v>
      </c>
      <c r="E1287" s="3" t="s">
        <v>8</v>
      </c>
      <c r="F1287" s="4">
        <v>80.5</v>
      </c>
      <c r="G1287" s="4"/>
      <c r="H1287" s="4">
        <f t="shared" ref="H1287:H1293" si="112">F1287+G1287</f>
        <v>80.5</v>
      </c>
    </row>
    <row r="1288" ht="14.25" spans="1:8">
      <c r="A1288" s="3" t="str">
        <f>"11101104311"</f>
        <v>11101104311</v>
      </c>
      <c r="B1288" s="3">
        <v>1</v>
      </c>
      <c r="C1288" s="3">
        <v>43</v>
      </c>
      <c r="D1288" s="3">
        <v>11</v>
      </c>
      <c r="E1288" s="3" t="s">
        <v>8</v>
      </c>
      <c r="F1288" s="3">
        <v>0</v>
      </c>
      <c r="G1288" s="4"/>
      <c r="H1288" s="3">
        <v>0</v>
      </c>
    </row>
    <row r="1289" ht="14.25" spans="1:8">
      <c r="A1289" s="3" t="str">
        <f>"11101104312"</f>
        <v>11101104312</v>
      </c>
      <c r="B1289" s="3">
        <v>1</v>
      </c>
      <c r="C1289" s="3">
        <v>43</v>
      </c>
      <c r="D1289" s="3">
        <v>12</v>
      </c>
      <c r="E1289" s="3" t="s">
        <v>8</v>
      </c>
      <c r="F1289" s="4">
        <v>77</v>
      </c>
      <c r="G1289" s="4"/>
      <c r="H1289" s="4">
        <f t="shared" si="112"/>
        <v>77</v>
      </c>
    </row>
    <row r="1290" ht="14.25" spans="1:8">
      <c r="A1290" s="3" t="str">
        <f>"11101104313"</f>
        <v>11101104313</v>
      </c>
      <c r="B1290" s="3">
        <v>1</v>
      </c>
      <c r="C1290" s="3">
        <v>43</v>
      </c>
      <c r="D1290" s="3">
        <v>13</v>
      </c>
      <c r="E1290" s="3" t="s">
        <v>8</v>
      </c>
      <c r="F1290" s="3">
        <v>0</v>
      </c>
      <c r="G1290" s="4"/>
      <c r="H1290" s="3">
        <v>0</v>
      </c>
    </row>
    <row r="1291" ht="14.25" spans="1:8">
      <c r="A1291" s="3" t="str">
        <f>"11101104314"</f>
        <v>11101104314</v>
      </c>
      <c r="B1291" s="3">
        <v>1</v>
      </c>
      <c r="C1291" s="3">
        <v>43</v>
      </c>
      <c r="D1291" s="3">
        <v>14</v>
      </c>
      <c r="E1291" s="3" t="s">
        <v>8</v>
      </c>
      <c r="F1291" s="4">
        <v>76.5</v>
      </c>
      <c r="G1291" s="4"/>
      <c r="H1291" s="4">
        <f t="shared" si="112"/>
        <v>76.5</v>
      </c>
    </row>
    <row r="1292" ht="14.25" spans="1:8">
      <c r="A1292" s="3" t="str">
        <f>"11101104315"</f>
        <v>11101104315</v>
      </c>
      <c r="B1292" s="3">
        <v>1</v>
      </c>
      <c r="C1292" s="3">
        <v>43</v>
      </c>
      <c r="D1292" s="3">
        <v>15</v>
      </c>
      <c r="E1292" s="3" t="s">
        <v>8</v>
      </c>
      <c r="F1292" s="4">
        <v>90.5</v>
      </c>
      <c r="G1292" s="4"/>
      <c r="H1292" s="4">
        <f t="shared" si="112"/>
        <v>90.5</v>
      </c>
    </row>
    <row r="1293" ht="14.25" spans="1:8">
      <c r="A1293" s="3" t="str">
        <f>"11101104316"</f>
        <v>11101104316</v>
      </c>
      <c r="B1293" s="3">
        <v>1</v>
      </c>
      <c r="C1293" s="3">
        <v>43</v>
      </c>
      <c r="D1293" s="3">
        <v>16</v>
      </c>
      <c r="E1293" s="3" t="s">
        <v>8</v>
      </c>
      <c r="F1293" s="4">
        <v>57</v>
      </c>
      <c r="G1293" s="4"/>
      <c r="H1293" s="4">
        <f t="shared" si="112"/>
        <v>57</v>
      </c>
    </row>
    <row r="1294" ht="14.25" spans="1:8">
      <c r="A1294" s="3" t="str">
        <f>"11101104317"</f>
        <v>11101104317</v>
      </c>
      <c r="B1294" s="3">
        <v>1</v>
      </c>
      <c r="C1294" s="3">
        <v>43</v>
      </c>
      <c r="D1294" s="3">
        <v>17</v>
      </c>
      <c r="E1294" s="3" t="s">
        <v>8</v>
      </c>
      <c r="F1294" s="3">
        <v>0</v>
      </c>
      <c r="G1294" s="4"/>
      <c r="H1294" s="3">
        <v>0</v>
      </c>
    </row>
    <row r="1295" ht="14.25" spans="1:8">
      <c r="A1295" s="3" t="str">
        <f>"11101104318"</f>
        <v>11101104318</v>
      </c>
      <c r="B1295" s="3">
        <v>1</v>
      </c>
      <c r="C1295" s="3">
        <v>43</v>
      </c>
      <c r="D1295" s="3">
        <v>18</v>
      </c>
      <c r="E1295" s="3" t="s">
        <v>8</v>
      </c>
      <c r="F1295" s="4">
        <v>48</v>
      </c>
      <c r="G1295" s="4"/>
      <c r="H1295" s="4">
        <f t="shared" ref="H1295:H1297" si="113">F1295+G1295</f>
        <v>48</v>
      </c>
    </row>
    <row r="1296" ht="14.25" spans="1:8">
      <c r="A1296" s="3" t="str">
        <f>"11101104319"</f>
        <v>11101104319</v>
      </c>
      <c r="B1296" s="3">
        <v>1</v>
      </c>
      <c r="C1296" s="3">
        <v>43</v>
      </c>
      <c r="D1296" s="3">
        <v>19</v>
      </c>
      <c r="E1296" s="3" t="s">
        <v>8</v>
      </c>
      <c r="F1296" s="4">
        <v>71</v>
      </c>
      <c r="G1296" s="4"/>
      <c r="H1296" s="4">
        <f t="shared" si="113"/>
        <v>71</v>
      </c>
    </row>
    <row r="1297" ht="14.25" spans="1:8">
      <c r="A1297" s="3" t="str">
        <f>"11101104320"</f>
        <v>11101104320</v>
      </c>
      <c r="B1297" s="3">
        <v>1</v>
      </c>
      <c r="C1297" s="3">
        <v>43</v>
      </c>
      <c r="D1297" s="3">
        <v>20</v>
      </c>
      <c r="E1297" s="3" t="s">
        <v>8</v>
      </c>
      <c r="F1297" s="4">
        <v>83.5</v>
      </c>
      <c r="G1297" s="4"/>
      <c r="H1297" s="4">
        <f t="shared" si="113"/>
        <v>83.5</v>
      </c>
    </row>
    <row r="1298" ht="14.25" spans="1:8">
      <c r="A1298" s="3" t="str">
        <f>"11101104321"</f>
        <v>11101104321</v>
      </c>
      <c r="B1298" s="3">
        <v>1</v>
      </c>
      <c r="C1298" s="3">
        <v>43</v>
      </c>
      <c r="D1298" s="3">
        <v>21</v>
      </c>
      <c r="E1298" s="3" t="s">
        <v>8</v>
      </c>
      <c r="F1298" s="3">
        <v>0</v>
      </c>
      <c r="G1298" s="4"/>
      <c r="H1298" s="3">
        <v>0</v>
      </c>
    </row>
    <row r="1299" ht="14.25" spans="1:8">
      <c r="A1299" s="3" t="str">
        <f>"11101104322"</f>
        <v>11101104322</v>
      </c>
      <c r="B1299" s="3">
        <v>1</v>
      </c>
      <c r="C1299" s="3">
        <v>43</v>
      </c>
      <c r="D1299" s="3">
        <v>22</v>
      </c>
      <c r="E1299" s="3" t="s">
        <v>8</v>
      </c>
      <c r="F1299" s="4">
        <v>85.5</v>
      </c>
      <c r="G1299" s="4"/>
      <c r="H1299" s="4">
        <f t="shared" ref="H1299:H1304" si="114">F1299+G1299</f>
        <v>85.5</v>
      </c>
    </row>
    <row r="1300" ht="14.25" spans="1:8">
      <c r="A1300" s="3" t="str">
        <f>"11101104323"</f>
        <v>11101104323</v>
      </c>
      <c r="B1300" s="3">
        <v>1</v>
      </c>
      <c r="C1300" s="3">
        <v>43</v>
      </c>
      <c r="D1300" s="3">
        <v>23</v>
      </c>
      <c r="E1300" s="3" t="s">
        <v>8</v>
      </c>
      <c r="F1300" s="4">
        <v>83.5</v>
      </c>
      <c r="G1300" s="4"/>
      <c r="H1300" s="4">
        <f t="shared" si="114"/>
        <v>83.5</v>
      </c>
    </row>
    <row r="1301" ht="14.25" spans="1:8">
      <c r="A1301" s="3" t="str">
        <f>"11101104324"</f>
        <v>11101104324</v>
      </c>
      <c r="B1301" s="3">
        <v>1</v>
      </c>
      <c r="C1301" s="3">
        <v>43</v>
      </c>
      <c r="D1301" s="3">
        <v>24</v>
      </c>
      <c r="E1301" s="3" t="s">
        <v>8</v>
      </c>
      <c r="F1301" s="4">
        <v>71</v>
      </c>
      <c r="G1301" s="4"/>
      <c r="H1301" s="4">
        <f t="shared" si="114"/>
        <v>71</v>
      </c>
    </row>
    <row r="1302" ht="14.25" spans="1:8">
      <c r="A1302" s="3" t="str">
        <f>"11101104325"</f>
        <v>11101104325</v>
      </c>
      <c r="B1302" s="3">
        <v>1</v>
      </c>
      <c r="C1302" s="3">
        <v>43</v>
      </c>
      <c r="D1302" s="3">
        <v>25</v>
      </c>
      <c r="E1302" s="3" t="s">
        <v>8</v>
      </c>
      <c r="F1302" s="4">
        <v>81.5</v>
      </c>
      <c r="G1302" s="4"/>
      <c r="H1302" s="4">
        <f t="shared" si="114"/>
        <v>81.5</v>
      </c>
    </row>
    <row r="1303" ht="14.25" spans="1:8">
      <c r="A1303" s="3" t="str">
        <f>"11101104326"</f>
        <v>11101104326</v>
      </c>
      <c r="B1303" s="3">
        <v>1</v>
      </c>
      <c r="C1303" s="3">
        <v>43</v>
      </c>
      <c r="D1303" s="3">
        <v>26</v>
      </c>
      <c r="E1303" s="3" t="s">
        <v>8</v>
      </c>
      <c r="F1303" s="4">
        <v>69</v>
      </c>
      <c r="G1303" s="4"/>
      <c r="H1303" s="4">
        <f t="shared" si="114"/>
        <v>69</v>
      </c>
    </row>
    <row r="1304" ht="14.25" spans="1:8">
      <c r="A1304" s="3" t="str">
        <f>"11101104327"</f>
        <v>11101104327</v>
      </c>
      <c r="B1304" s="3">
        <v>1</v>
      </c>
      <c r="C1304" s="3">
        <v>43</v>
      </c>
      <c r="D1304" s="3">
        <v>27</v>
      </c>
      <c r="E1304" s="3" t="s">
        <v>8</v>
      </c>
      <c r="F1304" s="4">
        <v>87</v>
      </c>
      <c r="G1304" s="4"/>
      <c r="H1304" s="4">
        <f t="shared" si="114"/>
        <v>87</v>
      </c>
    </row>
    <row r="1305" ht="14.25" spans="1:8">
      <c r="A1305" s="3" t="str">
        <f>"11101104328"</f>
        <v>11101104328</v>
      </c>
      <c r="B1305" s="3">
        <v>1</v>
      </c>
      <c r="C1305" s="3">
        <v>43</v>
      </c>
      <c r="D1305" s="3">
        <v>28</v>
      </c>
      <c r="E1305" s="3" t="s">
        <v>8</v>
      </c>
      <c r="F1305" s="3">
        <v>0</v>
      </c>
      <c r="G1305" s="4"/>
      <c r="H1305" s="3">
        <v>0</v>
      </c>
    </row>
    <row r="1306" ht="14.25" spans="1:8">
      <c r="A1306" s="3" t="str">
        <f>"11101104329"</f>
        <v>11101104329</v>
      </c>
      <c r="B1306" s="3">
        <v>1</v>
      </c>
      <c r="C1306" s="3">
        <v>43</v>
      </c>
      <c r="D1306" s="3">
        <v>29</v>
      </c>
      <c r="E1306" s="3" t="s">
        <v>8</v>
      </c>
      <c r="F1306" s="4">
        <v>78</v>
      </c>
      <c r="G1306" s="4"/>
      <c r="H1306" s="4">
        <f t="shared" ref="H1306:H1338" si="115">F1306+G1306</f>
        <v>78</v>
      </c>
    </row>
    <row r="1307" ht="14.25" spans="1:8">
      <c r="A1307" s="3" t="str">
        <f>"11101104330"</f>
        <v>11101104330</v>
      </c>
      <c r="B1307" s="3">
        <v>1</v>
      </c>
      <c r="C1307" s="3">
        <v>43</v>
      </c>
      <c r="D1307" s="3">
        <v>30</v>
      </c>
      <c r="E1307" s="3" t="s">
        <v>8</v>
      </c>
      <c r="F1307" s="4">
        <v>79</v>
      </c>
      <c r="G1307" s="4"/>
      <c r="H1307" s="4">
        <f t="shared" si="115"/>
        <v>79</v>
      </c>
    </row>
    <row r="1308" ht="14.25" spans="1:8">
      <c r="A1308" s="3" t="str">
        <f>"11101104401"</f>
        <v>11101104401</v>
      </c>
      <c r="B1308" s="3">
        <v>1</v>
      </c>
      <c r="C1308" s="3">
        <v>44</v>
      </c>
      <c r="D1308" s="3">
        <v>1</v>
      </c>
      <c r="E1308" s="3" t="s">
        <v>8</v>
      </c>
      <c r="F1308" s="4">
        <v>84</v>
      </c>
      <c r="G1308" s="4">
        <v>10</v>
      </c>
      <c r="H1308" s="4">
        <f t="shared" si="115"/>
        <v>94</v>
      </c>
    </row>
    <row r="1309" ht="14.25" spans="1:8">
      <c r="A1309" s="3" t="str">
        <f>"11101104402"</f>
        <v>11101104402</v>
      </c>
      <c r="B1309" s="3">
        <v>1</v>
      </c>
      <c r="C1309" s="3">
        <v>44</v>
      </c>
      <c r="D1309" s="3">
        <v>2</v>
      </c>
      <c r="E1309" s="3" t="s">
        <v>8</v>
      </c>
      <c r="F1309" s="4">
        <v>78.5</v>
      </c>
      <c r="G1309" s="4"/>
      <c r="H1309" s="4">
        <f t="shared" si="115"/>
        <v>78.5</v>
      </c>
    </row>
    <row r="1310" ht="14.25" spans="1:8">
      <c r="A1310" s="3" t="str">
        <f>"11101104403"</f>
        <v>11101104403</v>
      </c>
      <c r="B1310" s="3">
        <v>1</v>
      </c>
      <c r="C1310" s="3">
        <v>44</v>
      </c>
      <c r="D1310" s="3">
        <v>3</v>
      </c>
      <c r="E1310" s="3" t="s">
        <v>8</v>
      </c>
      <c r="F1310" s="4">
        <v>80</v>
      </c>
      <c r="G1310" s="4"/>
      <c r="H1310" s="4">
        <f t="shared" si="115"/>
        <v>80</v>
      </c>
    </row>
    <row r="1311" ht="14.25" spans="1:8">
      <c r="A1311" s="3" t="str">
        <f>"11101104404"</f>
        <v>11101104404</v>
      </c>
      <c r="B1311" s="3">
        <v>1</v>
      </c>
      <c r="C1311" s="3">
        <v>44</v>
      </c>
      <c r="D1311" s="3">
        <v>4</v>
      </c>
      <c r="E1311" s="3" t="s">
        <v>8</v>
      </c>
      <c r="F1311" s="4">
        <v>59</v>
      </c>
      <c r="G1311" s="4"/>
      <c r="H1311" s="4">
        <f t="shared" si="115"/>
        <v>59</v>
      </c>
    </row>
    <row r="1312" ht="14.25" spans="1:8">
      <c r="A1312" s="3" t="str">
        <f>"11101104405"</f>
        <v>11101104405</v>
      </c>
      <c r="B1312" s="3">
        <v>1</v>
      </c>
      <c r="C1312" s="3">
        <v>44</v>
      </c>
      <c r="D1312" s="3">
        <v>5</v>
      </c>
      <c r="E1312" s="3" t="s">
        <v>8</v>
      </c>
      <c r="F1312" s="4">
        <v>83</v>
      </c>
      <c r="G1312" s="4"/>
      <c r="H1312" s="4">
        <f t="shared" si="115"/>
        <v>83</v>
      </c>
    </row>
    <row r="1313" ht="14.25" spans="1:8">
      <c r="A1313" s="3" t="str">
        <f>"11101104406"</f>
        <v>11101104406</v>
      </c>
      <c r="B1313" s="3">
        <v>1</v>
      </c>
      <c r="C1313" s="3">
        <v>44</v>
      </c>
      <c r="D1313" s="3">
        <v>6</v>
      </c>
      <c r="E1313" s="3" t="s">
        <v>8</v>
      </c>
      <c r="F1313" s="4">
        <v>59.5</v>
      </c>
      <c r="G1313" s="4"/>
      <c r="H1313" s="4">
        <f t="shared" si="115"/>
        <v>59.5</v>
      </c>
    </row>
    <row r="1314" ht="14.25" spans="1:8">
      <c r="A1314" s="3" t="str">
        <f>"11101104407"</f>
        <v>11101104407</v>
      </c>
      <c r="B1314" s="3">
        <v>1</v>
      </c>
      <c r="C1314" s="3">
        <v>44</v>
      </c>
      <c r="D1314" s="3">
        <v>7</v>
      </c>
      <c r="E1314" s="3" t="s">
        <v>8</v>
      </c>
      <c r="F1314" s="4">
        <v>76</v>
      </c>
      <c r="G1314" s="4"/>
      <c r="H1314" s="4">
        <f t="shared" si="115"/>
        <v>76</v>
      </c>
    </row>
    <row r="1315" ht="14.25" spans="1:8">
      <c r="A1315" s="3" t="str">
        <f>"11101104408"</f>
        <v>11101104408</v>
      </c>
      <c r="B1315" s="3">
        <v>1</v>
      </c>
      <c r="C1315" s="3">
        <v>44</v>
      </c>
      <c r="D1315" s="3">
        <v>8</v>
      </c>
      <c r="E1315" s="3" t="s">
        <v>8</v>
      </c>
      <c r="F1315" s="4">
        <v>87</v>
      </c>
      <c r="G1315" s="4"/>
      <c r="H1315" s="4">
        <f t="shared" si="115"/>
        <v>87</v>
      </c>
    </row>
    <row r="1316" ht="14.25" spans="1:8">
      <c r="A1316" s="3" t="str">
        <f>"11101104409"</f>
        <v>11101104409</v>
      </c>
      <c r="B1316" s="3">
        <v>1</v>
      </c>
      <c r="C1316" s="3">
        <v>44</v>
      </c>
      <c r="D1316" s="3">
        <v>9</v>
      </c>
      <c r="E1316" s="3" t="s">
        <v>8</v>
      </c>
      <c r="F1316" s="4">
        <v>81</v>
      </c>
      <c r="G1316" s="4"/>
      <c r="H1316" s="4">
        <f t="shared" si="115"/>
        <v>81</v>
      </c>
    </row>
    <row r="1317" ht="14.25" spans="1:8">
      <c r="A1317" s="3" t="str">
        <f>"11101104410"</f>
        <v>11101104410</v>
      </c>
      <c r="B1317" s="3">
        <v>1</v>
      </c>
      <c r="C1317" s="3">
        <v>44</v>
      </c>
      <c r="D1317" s="3">
        <v>10</v>
      </c>
      <c r="E1317" s="3" t="s">
        <v>8</v>
      </c>
      <c r="F1317" s="4">
        <v>64</v>
      </c>
      <c r="G1317" s="4"/>
      <c r="H1317" s="4">
        <f t="shared" si="115"/>
        <v>64</v>
      </c>
    </row>
    <row r="1318" ht="14.25" spans="1:8">
      <c r="A1318" s="3" t="str">
        <f>"11101104411"</f>
        <v>11101104411</v>
      </c>
      <c r="B1318" s="3">
        <v>1</v>
      </c>
      <c r="C1318" s="3">
        <v>44</v>
      </c>
      <c r="D1318" s="3">
        <v>11</v>
      </c>
      <c r="E1318" s="3" t="s">
        <v>8</v>
      </c>
      <c r="F1318" s="4">
        <v>61</v>
      </c>
      <c r="G1318" s="4"/>
      <c r="H1318" s="4">
        <f t="shared" si="115"/>
        <v>61</v>
      </c>
    </row>
    <row r="1319" ht="14.25" spans="1:8">
      <c r="A1319" s="3" t="str">
        <f>"11101104412"</f>
        <v>11101104412</v>
      </c>
      <c r="B1319" s="3">
        <v>1</v>
      </c>
      <c r="C1319" s="3">
        <v>44</v>
      </c>
      <c r="D1319" s="3">
        <v>12</v>
      </c>
      <c r="E1319" s="3" t="s">
        <v>8</v>
      </c>
      <c r="F1319" s="4">
        <v>75.5</v>
      </c>
      <c r="G1319" s="4"/>
      <c r="H1319" s="4">
        <f t="shared" si="115"/>
        <v>75.5</v>
      </c>
    </row>
    <row r="1320" ht="14.25" spans="1:8">
      <c r="A1320" s="3" t="str">
        <f>"11101104413"</f>
        <v>11101104413</v>
      </c>
      <c r="B1320" s="3">
        <v>1</v>
      </c>
      <c r="C1320" s="3">
        <v>44</v>
      </c>
      <c r="D1320" s="3">
        <v>13</v>
      </c>
      <c r="E1320" s="3" t="s">
        <v>8</v>
      </c>
      <c r="F1320" s="4">
        <v>81</v>
      </c>
      <c r="G1320" s="4"/>
      <c r="H1320" s="4">
        <f t="shared" si="115"/>
        <v>81</v>
      </c>
    </row>
    <row r="1321" ht="14.25" spans="1:8">
      <c r="A1321" s="3" t="str">
        <f>"11101104414"</f>
        <v>11101104414</v>
      </c>
      <c r="B1321" s="3">
        <v>1</v>
      </c>
      <c r="C1321" s="3">
        <v>44</v>
      </c>
      <c r="D1321" s="3">
        <v>14</v>
      </c>
      <c r="E1321" s="3" t="s">
        <v>8</v>
      </c>
      <c r="F1321" s="4">
        <v>85.5</v>
      </c>
      <c r="G1321" s="4"/>
      <c r="H1321" s="4">
        <f t="shared" si="115"/>
        <v>85.5</v>
      </c>
    </row>
    <row r="1322" ht="14.25" spans="1:8">
      <c r="A1322" s="3" t="str">
        <f>"11101104415"</f>
        <v>11101104415</v>
      </c>
      <c r="B1322" s="3">
        <v>1</v>
      </c>
      <c r="C1322" s="3">
        <v>44</v>
      </c>
      <c r="D1322" s="3">
        <v>15</v>
      </c>
      <c r="E1322" s="3" t="s">
        <v>8</v>
      </c>
      <c r="F1322" s="4">
        <v>79.5</v>
      </c>
      <c r="G1322" s="4"/>
      <c r="H1322" s="4">
        <f t="shared" si="115"/>
        <v>79.5</v>
      </c>
    </row>
    <row r="1323" ht="14.25" spans="1:8">
      <c r="A1323" s="3" t="str">
        <f>"11101104416"</f>
        <v>11101104416</v>
      </c>
      <c r="B1323" s="3">
        <v>1</v>
      </c>
      <c r="C1323" s="3">
        <v>44</v>
      </c>
      <c r="D1323" s="3">
        <v>16</v>
      </c>
      <c r="E1323" s="3" t="s">
        <v>8</v>
      </c>
      <c r="F1323" s="4">
        <v>84.5</v>
      </c>
      <c r="G1323" s="4"/>
      <c r="H1323" s="4">
        <f t="shared" si="115"/>
        <v>84.5</v>
      </c>
    </row>
    <row r="1324" ht="14.25" spans="1:8">
      <c r="A1324" s="3" t="str">
        <f>"11101104417"</f>
        <v>11101104417</v>
      </c>
      <c r="B1324" s="3">
        <v>1</v>
      </c>
      <c r="C1324" s="3">
        <v>44</v>
      </c>
      <c r="D1324" s="3">
        <v>17</v>
      </c>
      <c r="E1324" s="3" t="s">
        <v>8</v>
      </c>
      <c r="F1324" s="4">
        <v>72</v>
      </c>
      <c r="G1324" s="4"/>
      <c r="H1324" s="4">
        <f t="shared" si="115"/>
        <v>72</v>
      </c>
    </row>
    <row r="1325" ht="14.25" spans="1:8">
      <c r="A1325" s="3" t="str">
        <f>"11101104418"</f>
        <v>11101104418</v>
      </c>
      <c r="B1325" s="3">
        <v>1</v>
      </c>
      <c r="C1325" s="3">
        <v>44</v>
      </c>
      <c r="D1325" s="3">
        <v>18</v>
      </c>
      <c r="E1325" s="3" t="s">
        <v>8</v>
      </c>
      <c r="F1325" s="4">
        <v>83.5</v>
      </c>
      <c r="G1325" s="4"/>
      <c r="H1325" s="4">
        <f t="shared" si="115"/>
        <v>83.5</v>
      </c>
    </row>
    <row r="1326" ht="14.25" spans="1:8">
      <c r="A1326" s="3" t="str">
        <f>"11101104419"</f>
        <v>11101104419</v>
      </c>
      <c r="B1326" s="3">
        <v>1</v>
      </c>
      <c r="C1326" s="3">
        <v>44</v>
      </c>
      <c r="D1326" s="3">
        <v>19</v>
      </c>
      <c r="E1326" s="3" t="s">
        <v>8</v>
      </c>
      <c r="F1326" s="4">
        <v>58.5</v>
      </c>
      <c r="G1326" s="4"/>
      <c r="H1326" s="4">
        <f t="shared" si="115"/>
        <v>58.5</v>
      </c>
    </row>
    <row r="1327" ht="14.25" spans="1:8">
      <c r="A1327" s="3" t="str">
        <f>"11101104420"</f>
        <v>11101104420</v>
      </c>
      <c r="B1327" s="3">
        <v>1</v>
      </c>
      <c r="C1327" s="3">
        <v>44</v>
      </c>
      <c r="D1327" s="3">
        <v>20</v>
      </c>
      <c r="E1327" s="3" t="s">
        <v>8</v>
      </c>
      <c r="F1327" s="4">
        <v>76.5</v>
      </c>
      <c r="G1327" s="4"/>
      <c r="H1327" s="4">
        <f t="shared" si="115"/>
        <v>76.5</v>
      </c>
    </row>
    <row r="1328" ht="14.25" spans="1:8">
      <c r="A1328" s="3" t="str">
        <f>"11101104421"</f>
        <v>11101104421</v>
      </c>
      <c r="B1328" s="3">
        <v>1</v>
      </c>
      <c r="C1328" s="3">
        <v>44</v>
      </c>
      <c r="D1328" s="3">
        <v>21</v>
      </c>
      <c r="E1328" s="3" t="s">
        <v>8</v>
      </c>
      <c r="F1328" s="4">
        <v>71.5</v>
      </c>
      <c r="G1328" s="4"/>
      <c r="H1328" s="4">
        <f t="shared" si="115"/>
        <v>71.5</v>
      </c>
    </row>
    <row r="1329" ht="14.25" spans="1:8">
      <c r="A1329" s="3" t="str">
        <f>"11101104422"</f>
        <v>11101104422</v>
      </c>
      <c r="B1329" s="3">
        <v>1</v>
      </c>
      <c r="C1329" s="3">
        <v>44</v>
      </c>
      <c r="D1329" s="3">
        <v>22</v>
      </c>
      <c r="E1329" s="3" t="s">
        <v>8</v>
      </c>
      <c r="F1329" s="4">
        <v>77.5</v>
      </c>
      <c r="G1329" s="4"/>
      <c r="H1329" s="4">
        <f t="shared" si="115"/>
        <v>77.5</v>
      </c>
    </row>
    <row r="1330" ht="14.25" spans="1:8">
      <c r="A1330" s="3" t="str">
        <f>"11101104423"</f>
        <v>11101104423</v>
      </c>
      <c r="B1330" s="3">
        <v>1</v>
      </c>
      <c r="C1330" s="3">
        <v>44</v>
      </c>
      <c r="D1330" s="3">
        <v>23</v>
      </c>
      <c r="E1330" s="3" t="s">
        <v>8</v>
      </c>
      <c r="F1330" s="4">
        <v>62.5</v>
      </c>
      <c r="G1330" s="4"/>
      <c r="H1330" s="4">
        <f t="shared" si="115"/>
        <v>62.5</v>
      </c>
    </row>
    <row r="1331" ht="14.25" spans="1:8">
      <c r="A1331" s="3" t="str">
        <f>"11101104424"</f>
        <v>11101104424</v>
      </c>
      <c r="B1331" s="3">
        <v>1</v>
      </c>
      <c r="C1331" s="3">
        <v>44</v>
      </c>
      <c r="D1331" s="3">
        <v>24</v>
      </c>
      <c r="E1331" s="3" t="s">
        <v>8</v>
      </c>
      <c r="F1331" s="4">
        <v>81.5</v>
      </c>
      <c r="G1331" s="4"/>
      <c r="H1331" s="4">
        <f t="shared" si="115"/>
        <v>81.5</v>
      </c>
    </row>
    <row r="1332" ht="14.25" spans="1:8">
      <c r="A1332" s="3" t="str">
        <f>"11101104425"</f>
        <v>11101104425</v>
      </c>
      <c r="B1332" s="3">
        <v>1</v>
      </c>
      <c r="C1332" s="3">
        <v>44</v>
      </c>
      <c r="D1332" s="3">
        <v>25</v>
      </c>
      <c r="E1332" s="3" t="s">
        <v>8</v>
      </c>
      <c r="F1332" s="4">
        <v>75</v>
      </c>
      <c r="G1332" s="4"/>
      <c r="H1332" s="4">
        <f t="shared" si="115"/>
        <v>75</v>
      </c>
    </row>
    <row r="1333" ht="14.25" spans="1:8">
      <c r="A1333" s="3" t="str">
        <f>"11101104426"</f>
        <v>11101104426</v>
      </c>
      <c r="B1333" s="3">
        <v>1</v>
      </c>
      <c r="C1333" s="3">
        <v>44</v>
      </c>
      <c r="D1333" s="3">
        <v>26</v>
      </c>
      <c r="E1333" s="3" t="s">
        <v>8</v>
      </c>
      <c r="F1333" s="4">
        <v>69</v>
      </c>
      <c r="G1333" s="4"/>
      <c r="H1333" s="4">
        <f t="shared" si="115"/>
        <v>69</v>
      </c>
    </row>
    <row r="1334" ht="14.25" spans="1:8">
      <c r="A1334" s="3" t="str">
        <f>"11101104427"</f>
        <v>11101104427</v>
      </c>
      <c r="B1334" s="3">
        <v>1</v>
      </c>
      <c r="C1334" s="3">
        <v>44</v>
      </c>
      <c r="D1334" s="3">
        <v>27</v>
      </c>
      <c r="E1334" s="3" t="s">
        <v>8</v>
      </c>
      <c r="F1334" s="4">
        <v>60.5</v>
      </c>
      <c r="G1334" s="4"/>
      <c r="H1334" s="4">
        <f t="shared" si="115"/>
        <v>60.5</v>
      </c>
    </row>
    <row r="1335" ht="14.25" spans="1:8">
      <c r="A1335" s="3" t="str">
        <f>"11101104428"</f>
        <v>11101104428</v>
      </c>
      <c r="B1335" s="3">
        <v>1</v>
      </c>
      <c r="C1335" s="3">
        <v>44</v>
      </c>
      <c r="D1335" s="3">
        <v>28</v>
      </c>
      <c r="E1335" s="3" t="s">
        <v>8</v>
      </c>
      <c r="F1335" s="4">
        <v>85</v>
      </c>
      <c r="G1335" s="4"/>
      <c r="H1335" s="4">
        <f t="shared" si="115"/>
        <v>85</v>
      </c>
    </row>
    <row r="1336" ht="14.25" spans="1:8">
      <c r="A1336" s="3" t="str">
        <f>"11101104429"</f>
        <v>11101104429</v>
      </c>
      <c r="B1336" s="3">
        <v>1</v>
      </c>
      <c r="C1336" s="3">
        <v>44</v>
      </c>
      <c r="D1336" s="3">
        <v>29</v>
      </c>
      <c r="E1336" s="3" t="s">
        <v>8</v>
      </c>
      <c r="F1336" s="4">
        <v>86.5</v>
      </c>
      <c r="G1336" s="4"/>
      <c r="H1336" s="4">
        <f t="shared" si="115"/>
        <v>86.5</v>
      </c>
    </row>
    <row r="1337" ht="14.25" spans="1:8">
      <c r="A1337" s="3" t="str">
        <f>"11101104430"</f>
        <v>11101104430</v>
      </c>
      <c r="B1337" s="3">
        <v>1</v>
      </c>
      <c r="C1337" s="3">
        <v>44</v>
      </c>
      <c r="D1337" s="3">
        <v>30</v>
      </c>
      <c r="E1337" s="3" t="s">
        <v>8</v>
      </c>
      <c r="F1337" s="4">
        <v>85</v>
      </c>
      <c r="G1337" s="4"/>
      <c r="H1337" s="4">
        <f t="shared" si="115"/>
        <v>85</v>
      </c>
    </row>
    <row r="1338" ht="14.25" spans="1:8">
      <c r="A1338" s="3" t="str">
        <f>"11101104501"</f>
        <v>11101104501</v>
      </c>
      <c r="B1338" s="3">
        <v>1</v>
      </c>
      <c r="C1338" s="3">
        <v>45</v>
      </c>
      <c r="D1338" s="3">
        <v>1</v>
      </c>
      <c r="E1338" s="3" t="s">
        <v>8</v>
      </c>
      <c r="F1338" s="4">
        <v>80</v>
      </c>
      <c r="G1338" s="4"/>
      <c r="H1338" s="4">
        <f t="shared" si="115"/>
        <v>80</v>
      </c>
    </row>
    <row r="1339" ht="14.25" spans="1:8">
      <c r="A1339" s="3" t="str">
        <f>"11101104502"</f>
        <v>11101104502</v>
      </c>
      <c r="B1339" s="3">
        <v>1</v>
      </c>
      <c r="C1339" s="3">
        <v>45</v>
      </c>
      <c r="D1339" s="3">
        <v>2</v>
      </c>
      <c r="E1339" s="3" t="s">
        <v>8</v>
      </c>
      <c r="F1339" s="3">
        <v>0</v>
      </c>
      <c r="G1339" s="4"/>
      <c r="H1339" s="3">
        <v>0</v>
      </c>
    </row>
    <row r="1340" ht="14.25" spans="1:8">
      <c r="A1340" s="3" t="str">
        <f>"11101104503"</f>
        <v>11101104503</v>
      </c>
      <c r="B1340" s="3">
        <v>1</v>
      </c>
      <c r="C1340" s="3">
        <v>45</v>
      </c>
      <c r="D1340" s="3">
        <v>3</v>
      </c>
      <c r="E1340" s="3" t="s">
        <v>8</v>
      </c>
      <c r="F1340" s="3">
        <v>0</v>
      </c>
      <c r="G1340" s="4"/>
      <c r="H1340" s="3">
        <v>0</v>
      </c>
    </row>
    <row r="1341" ht="14.25" spans="1:8">
      <c r="A1341" s="3" t="str">
        <f>"11101104504"</f>
        <v>11101104504</v>
      </c>
      <c r="B1341" s="3">
        <v>1</v>
      </c>
      <c r="C1341" s="3">
        <v>45</v>
      </c>
      <c r="D1341" s="3">
        <v>4</v>
      </c>
      <c r="E1341" s="3" t="s">
        <v>8</v>
      </c>
      <c r="F1341" s="4">
        <v>79</v>
      </c>
      <c r="G1341" s="4"/>
      <c r="H1341" s="4">
        <f t="shared" ref="H1341:H1343" si="116">F1341+G1341</f>
        <v>79</v>
      </c>
    </row>
    <row r="1342" ht="14.25" spans="1:8">
      <c r="A1342" s="3" t="str">
        <f>"11101104505"</f>
        <v>11101104505</v>
      </c>
      <c r="B1342" s="3">
        <v>1</v>
      </c>
      <c r="C1342" s="3">
        <v>45</v>
      </c>
      <c r="D1342" s="3">
        <v>5</v>
      </c>
      <c r="E1342" s="3" t="s">
        <v>8</v>
      </c>
      <c r="F1342" s="4">
        <v>81</v>
      </c>
      <c r="G1342" s="4"/>
      <c r="H1342" s="4">
        <f t="shared" si="116"/>
        <v>81</v>
      </c>
    </row>
    <row r="1343" ht="14.25" spans="1:8">
      <c r="A1343" s="3" t="str">
        <f>"11101104506"</f>
        <v>11101104506</v>
      </c>
      <c r="B1343" s="3">
        <v>1</v>
      </c>
      <c r="C1343" s="3">
        <v>45</v>
      </c>
      <c r="D1343" s="3">
        <v>6</v>
      </c>
      <c r="E1343" s="3" t="s">
        <v>8</v>
      </c>
      <c r="F1343" s="4">
        <v>79.5</v>
      </c>
      <c r="G1343" s="4"/>
      <c r="H1343" s="4">
        <f t="shared" si="116"/>
        <v>79.5</v>
      </c>
    </row>
    <row r="1344" ht="14.25" spans="1:8">
      <c r="A1344" s="3" t="str">
        <f>"11101104507"</f>
        <v>11101104507</v>
      </c>
      <c r="B1344" s="3">
        <v>1</v>
      </c>
      <c r="C1344" s="3">
        <v>45</v>
      </c>
      <c r="D1344" s="3">
        <v>7</v>
      </c>
      <c r="E1344" s="3" t="s">
        <v>8</v>
      </c>
      <c r="F1344" s="3">
        <v>0</v>
      </c>
      <c r="G1344" s="4"/>
      <c r="H1344" s="3">
        <v>0</v>
      </c>
    </row>
    <row r="1345" ht="14.25" spans="1:8">
      <c r="A1345" s="3" t="str">
        <f>"11101104508"</f>
        <v>11101104508</v>
      </c>
      <c r="B1345" s="3">
        <v>1</v>
      </c>
      <c r="C1345" s="3">
        <v>45</v>
      </c>
      <c r="D1345" s="3">
        <v>8</v>
      </c>
      <c r="E1345" s="3" t="s">
        <v>8</v>
      </c>
      <c r="F1345" s="4">
        <v>83</v>
      </c>
      <c r="G1345" s="4"/>
      <c r="H1345" s="4">
        <f t="shared" ref="H1345:H1348" si="117">F1345+G1345</f>
        <v>83</v>
      </c>
    </row>
    <row r="1346" ht="14.25" spans="1:8">
      <c r="A1346" s="3" t="str">
        <f>"11101104509"</f>
        <v>11101104509</v>
      </c>
      <c r="B1346" s="3">
        <v>1</v>
      </c>
      <c r="C1346" s="3">
        <v>45</v>
      </c>
      <c r="D1346" s="3">
        <v>9</v>
      </c>
      <c r="E1346" s="3" t="s">
        <v>8</v>
      </c>
      <c r="F1346" s="4">
        <v>48</v>
      </c>
      <c r="G1346" s="4"/>
      <c r="H1346" s="4">
        <f t="shared" si="117"/>
        <v>48</v>
      </c>
    </row>
    <row r="1347" ht="14.25" spans="1:8">
      <c r="A1347" s="3" t="str">
        <f>"11101104510"</f>
        <v>11101104510</v>
      </c>
      <c r="B1347" s="3">
        <v>1</v>
      </c>
      <c r="C1347" s="3">
        <v>45</v>
      </c>
      <c r="D1347" s="3">
        <v>10</v>
      </c>
      <c r="E1347" s="3" t="s">
        <v>8</v>
      </c>
      <c r="F1347" s="4">
        <v>73</v>
      </c>
      <c r="G1347" s="4"/>
      <c r="H1347" s="4">
        <f t="shared" si="117"/>
        <v>73</v>
      </c>
    </row>
    <row r="1348" ht="14.25" spans="1:8">
      <c r="A1348" s="3" t="str">
        <f>"11101104511"</f>
        <v>11101104511</v>
      </c>
      <c r="B1348" s="3">
        <v>1</v>
      </c>
      <c r="C1348" s="3">
        <v>45</v>
      </c>
      <c r="D1348" s="3">
        <v>11</v>
      </c>
      <c r="E1348" s="3" t="s">
        <v>8</v>
      </c>
      <c r="F1348" s="4">
        <v>66</v>
      </c>
      <c r="G1348" s="4"/>
      <c r="H1348" s="4">
        <f t="shared" si="117"/>
        <v>66</v>
      </c>
    </row>
    <row r="1349" ht="14.25" spans="1:8">
      <c r="A1349" s="3" t="str">
        <f>"11101104512"</f>
        <v>11101104512</v>
      </c>
      <c r="B1349" s="3">
        <v>1</v>
      </c>
      <c r="C1349" s="3">
        <v>45</v>
      </c>
      <c r="D1349" s="3">
        <v>12</v>
      </c>
      <c r="E1349" s="3" t="s">
        <v>8</v>
      </c>
      <c r="F1349" s="3">
        <v>0</v>
      </c>
      <c r="G1349" s="4"/>
      <c r="H1349" s="3">
        <v>0</v>
      </c>
    </row>
    <row r="1350" ht="14.25" spans="1:8">
      <c r="A1350" s="3" t="str">
        <f>"11101104513"</f>
        <v>11101104513</v>
      </c>
      <c r="B1350" s="3">
        <v>1</v>
      </c>
      <c r="C1350" s="3">
        <v>45</v>
      </c>
      <c r="D1350" s="3">
        <v>13</v>
      </c>
      <c r="E1350" s="3" t="s">
        <v>8</v>
      </c>
      <c r="F1350" s="4">
        <v>82</v>
      </c>
      <c r="G1350" s="4"/>
      <c r="H1350" s="4">
        <f t="shared" ref="H1350:H1354" si="118">F1350+G1350</f>
        <v>82</v>
      </c>
    </row>
    <row r="1351" ht="14.25" spans="1:8">
      <c r="A1351" s="3" t="str">
        <f>"11101104514"</f>
        <v>11101104514</v>
      </c>
      <c r="B1351" s="3">
        <v>1</v>
      </c>
      <c r="C1351" s="3">
        <v>45</v>
      </c>
      <c r="D1351" s="3">
        <v>14</v>
      </c>
      <c r="E1351" s="3" t="s">
        <v>8</v>
      </c>
      <c r="F1351" s="3">
        <v>0</v>
      </c>
      <c r="G1351" s="4"/>
      <c r="H1351" s="3">
        <v>0</v>
      </c>
    </row>
    <row r="1352" ht="14.25" spans="1:8">
      <c r="A1352" s="3" t="str">
        <f>"11101104515"</f>
        <v>11101104515</v>
      </c>
      <c r="B1352" s="3">
        <v>1</v>
      </c>
      <c r="C1352" s="3">
        <v>45</v>
      </c>
      <c r="D1352" s="3">
        <v>15</v>
      </c>
      <c r="E1352" s="3" t="s">
        <v>8</v>
      </c>
      <c r="F1352" s="4">
        <v>72</v>
      </c>
      <c r="G1352" s="4"/>
      <c r="H1352" s="4">
        <f t="shared" si="118"/>
        <v>72</v>
      </c>
    </row>
    <row r="1353" ht="14.25" spans="1:8">
      <c r="A1353" s="3" t="str">
        <f>"11101104516"</f>
        <v>11101104516</v>
      </c>
      <c r="B1353" s="3">
        <v>1</v>
      </c>
      <c r="C1353" s="3">
        <v>45</v>
      </c>
      <c r="D1353" s="3">
        <v>16</v>
      </c>
      <c r="E1353" s="3" t="s">
        <v>8</v>
      </c>
      <c r="F1353" s="3">
        <v>0</v>
      </c>
      <c r="G1353" s="4"/>
      <c r="H1353" s="3">
        <v>0</v>
      </c>
    </row>
    <row r="1354" ht="14.25" spans="1:8">
      <c r="A1354" s="3" t="str">
        <f>"11101104517"</f>
        <v>11101104517</v>
      </c>
      <c r="B1354" s="3">
        <v>1</v>
      </c>
      <c r="C1354" s="3">
        <v>45</v>
      </c>
      <c r="D1354" s="3">
        <v>17</v>
      </c>
      <c r="E1354" s="3" t="s">
        <v>8</v>
      </c>
      <c r="F1354" s="4">
        <v>78</v>
      </c>
      <c r="G1354" s="4"/>
      <c r="H1354" s="4">
        <f t="shared" si="118"/>
        <v>78</v>
      </c>
    </row>
    <row r="1355" ht="14.25" spans="1:8">
      <c r="A1355" s="3" t="str">
        <f>"11101104518"</f>
        <v>11101104518</v>
      </c>
      <c r="B1355" s="3">
        <v>1</v>
      </c>
      <c r="C1355" s="3">
        <v>45</v>
      </c>
      <c r="D1355" s="3">
        <v>18</v>
      </c>
      <c r="E1355" s="3" t="s">
        <v>8</v>
      </c>
      <c r="F1355" s="3">
        <v>0</v>
      </c>
      <c r="G1355" s="4"/>
      <c r="H1355" s="3">
        <v>0</v>
      </c>
    </row>
    <row r="1356" ht="14.25" spans="1:8">
      <c r="A1356" s="3" t="str">
        <f>"11101104519"</f>
        <v>11101104519</v>
      </c>
      <c r="B1356" s="3">
        <v>1</v>
      </c>
      <c r="C1356" s="3">
        <v>45</v>
      </c>
      <c r="D1356" s="3">
        <v>19</v>
      </c>
      <c r="E1356" s="3" t="s">
        <v>8</v>
      </c>
      <c r="F1356" s="3">
        <v>0</v>
      </c>
      <c r="G1356" s="4"/>
      <c r="H1356" s="3">
        <v>0</v>
      </c>
    </row>
    <row r="1357" ht="14.25" spans="1:8">
      <c r="A1357" s="3" t="str">
        <f>"11101104520"</f>
        <v>11101104520</v>
      </c>
      <c r="B1357" s="3">
        <v>1</v>
      </c>
      <c r="C1357" s="3">
        <v>45</v>
      </c>
      <c r="D1357" s="3">
        <v>20</v>
      </c>
      <c r="E1357" s="3" t="s">
        <v>8</v>
      </c>
      <c r="F1357" s="4">
        <v>78</v>
      </c>
      <c r="G1357" s="4"/>
      <c r="H1357" s="4">
        <f t="shared" ref="H1357:H1367" si="119">F1357+G1357</f>
        <v>78</v>
      </c>
    </row>
    <row r="1358" ht="14.25" spans="1:8">
      <c r="A1358" s="3" t="str">
        <f>"11101104521"</f>
        <v>11101104521</v>
      </c>
      <c r="B1358" s="3">
        <v>1</v>
      </c>
      <c r="C1358" s="3">
        <v>45</v>
      </c>
      <c r="D1358" s="3">
        <v>21</v>
      </c>
      <c r="E1358" s="3" t="s">
        <v>8</v>
      </c>
      <c r="F1358" s="4">
        <v>77.5</v>
      </c>
      <c r="G1358" s="4"/>
      <c r="H1358" s="4">
        <f t="shared" si="119"/>
        <v>77.5</v>
      </c>
    </row>
    <row r="1359" ht="14.25" spans="1:8">
      <c r="A1359" s="3" t="str">
        <f>"11101104522"</f>
        <v>11101104522</v>
      </c>
      <c r="B1359" s="3">
        <v>1</v>
      </c>
      <c r="C1359" s="3">
        <v>45</v>
      </c>
      <c r="D1359" s="3">
        <v>22</v>
      </c>
      <c r="E1359" s="3" t="s">
        <v>8</v>
      </c>
      <c r="F1359" s="4">
        <v>82</v>
      </c>
      <c r="G1359" s="4"/>
      <c r="H1359" s="4">
        <f t="shared" si="119"/>
        <v>82</v>
      </c>
    </row>
    <row r="1360" ht="14.25" spans="1:8">
      <c r="A1360" s="3" t="str">
        <f>"11101104523"</f>
        <v>11101104523</v>
      </c>
      <c r="B1360" s="3">
        <v>1</v>
      </c>
      <c r="C1360" s="3">
        <v>45</v>
      </c>
      <c r="D1360" s="3">
        <v>23</v>
      </c>
      <c r="E1360" s="3" t="s">
        <v>8</v>
      </c>
      <c r="F1360" s="4">
        <v>87</v>
      </c>
      <c r="G1360" s="4"/>
      <c r="H1360" s="4">
        <f t="shared" si="119"/>
        <v>87</v>
      </c>
    </row>
    <row r="1361" ht="14.25" spans="1:8">
      <c r="A1361" s="3" t="str">
        <f>"11101104524"</f>
        <v>11101104524</v>
      </c>
      <c r="B1361" s="3">
        <v>1</v>
      </c>
      <c r="C1361" s="3">
        <v>45</v>
      </c>
      <c r="D1361" s="3">
        <v>24</v>
      </c>
      <c r="E1361" s="3" t="s">
        <v>8</v>
      </c>
      <c r="F1361" s="4">
        <v>81.5</v>
      </c>
      <c r="G1361" s="4"/>
      <c r="H1361" s="4">
        <f t="shared" si="119"/>
        <v>81.5</v>
      </c>
    </row>
    <row r="1362" ht="14.25" spans="1:8">
      <c r="A1362" s="3" t="str">
        <f>"11101104525"</f>
        <v>11101104525</v>
      </c>
      <c r="B1362" s="3">
        <v>1</v>
      </c>
      <c r="C1362" s="3">
        <v>45</v>
      </c>
      <c r="D1362" s="3">
        <v>25</v>
      </c>
      <c r="E1362" s="3" t="s">
        <v>8</v>
      </c>
      <c r="F1362" s="4">
        <v>74</v>
      </c>
      <c r="G1362" s="4"/>
      <c r="H1362" s="4">
        <f t="shared" si="119"/>
        <v>74</v>
      </c>
    </row>
    <row r="1363" ht="14.25" spans="1:8">
      <c r="A1363" s="3" t="str">
        <f>"11101104526"</f>
        <v>11101104526</v>
      </c>
      <c r="B1363" s="3">
        <v>1</v>
      </c>
      <c r="C1363" s="3">
        <v>45</v>
      </c>
      <c r="D1363" s="3">
        <v>26</v>
      </c>
      <c r="E1363" s="3" t="s">
        <v>8</v>
      </c>
      <c r="F1363" s="4">
        <v>89</v>
      </c>
      <c r="G1363" s="4"/>
      <c r="H1363" s="4">
        <f t="shared" si="119"/>
        <v>89</v>
      </c>
    </row>
    <row r="1364" ht="14.25" spans="1:8">
      <c r="A1364" s="3" t="str">
        <f>"11101104527"</f>
        <v>11101104527</v>
      </c>
      <c r="B1364" s="3">
        <v>1</v>
      </c>
      <c r="C1364" s="3">
        <v>45</v>
      </c>
      <c r="D1364" s="3">
        <v>27</v>
      </c>
      <c r="E1364" s="3" t="s">
        <v>8</v>
      </c>
      <c r="F1364" s="4">
        <v>87</v>
      </c>
      <c r="G1364" s="4"/>
      <c r="H1364" s="4">
        <f t="shared" si="119"/>
        <v>87</v>
      </c>
    </row>
    <row r="1365" ht="14.25" spans="1:8">
      <c r="A1365" s="3" t="str">
        <f>"11101104528"</f>
        <v>11101104528</v>
      </c>
      <c r="B1365" s="3">
        <v>1</v>
      </c>
      <c r="C1365" s="3">
        <v>45</v>
      </c>
      <c r="D1365" s="3">
        <v>28</v>
      </c>
      <c r="E1365" s="3" t="s">
        <v>8</v>
      </c>
      <c r="F1365" s="4">
        <v>51.5</v>
      </c>
      <c r="G1365" s="4"/>
      <c r="H1365" s="4">
        <f t="shared" si="119"/>
        <v>51.5</v>
      </c>
    </row>
    <row r="1366" ht="14.25" spans="1:8">
      <c r="A1366" s="3" t="str">
        <f>"11101104529"</f>
        <v>11101104529</v>
      </c>
      <c r="B1366" s="3">
        <v>1</v>
      </c>
      <c r="C1366" s="3">
        <v>45</v>
      </c>
      <c r="D1366" s="3">
        <v>29</v>
      </c>
      <c r="E1366" s="3" t="s">
        <v>8</v>
      </c>
      <c r="F1366" s="4">
        <v>64.5</v>
      </c>
      <c r="G1366" s="4"/>
      <c r="H1366" s="4">
        <f t="shared" si="119"/>
        <v>64.5</v>
      </c>
    </row>
    <row r="1367" ht="14.25" spans="1:8">
      <c r="A1367" s="3" t="str">
        <f>"11102104530"</f>
        <v>11102104530</v>
      </c>
      <c r="B1367" s="3">
        <v>1</v>
      </c>
      <c r="C1367" s="3">
        <v>45</v>
      </c>
      <c r="D1367" s="3">
        <v>30</v>
      </c>
      <c r="E1367" s="3" t="s">
        <v>8</v>
      </c>
      <c r="F1367" s="4">
        <v>85.5</v>
      </c>
      <c r="G1367" s="4"/>
      <c r="H1367" s="4">
        <f t="shared" si="119"/>
        <v>85.5</v>
      </c>
    </row>
    <row r="1368" ht="14.25" spans="1:8">
      <c r="A1368" s="3" t="str">
        <f>"11102104601"</f>
        <v>11102104601</v>
      </c>
      <c r="B1368" s="3">
        <v>1</v>
      </c>
      <c r="C1368" s="3">
        <v>46</v>
      </c>
      <c r="D1368" s="3">
        <v>1</v>
      </c>
      <c r="E1368" s="3" t="s">
        <v>8</v>
      </c>
      <c r="F1368" s="3">
        <v>0</v>
      </c>
      <c r="G1368" s="4"/>
      <c r="H1368" s="3">
        <v>0</v>
      </c>
    </row>
    <row r="1369" ht="14.25" spans="1:8">
      <c r="A1369" s="3" t="str">
        <f>"11102104602"</f>
        <v>11102104602</v>
      </c>
      <c r="B1369" s="3">
        <v>1</v>
      </c>
      <c r="C1369" s="3">
        <v>46</v>
      </c>
      <c r="D1369" s="3">
        <v>2</v>
      </c>
      <c r="E1369" s="3" t="s">
        <v>8</v>
      </c>
      <c r="F1369" s="4">
        <v>60</v>
      </c>
      <c r="G1369" s="4"/>
      <c r="H1369" s="4">
        <f t="shared" ref="H1369:H1374" si="120">F1369+G1369</f>
        <v>60</v>
      </c>
    </row>
    <row r="1370" ht="14.25" spans="1:8">
      <c r="A1370" s="3" t="str">
        <f>"11102104603"</f>
        <v>11102104603</v>
      </c>
      <c r="B1370" s="3">
        <v>1</v>
      </c>
      <c r="C1370" s="3">
        <v>46</v>
      </c>
      <c r="D1370" s="3">
        <v>3</v>
      </c>
      <c r="E1370" s="3" t="s">
        <v>8</v>
      </c>
      <c r="F1370" s="4">
        <v>70.5</v>
      </c>
      <c r="G1370" s="4"/>
      <c r="H1370" s="4">
        <f t="shared" si="120"/>
        <v>70.5</v>
      </c>
    </row>
    <row r="1371" ht="14.25" spans="1:8">
      <c r="A1371" s="3" t="str">
        <f>"11102104604"</f>
        <v>11102104604</v>
      </c>
      <c r="B1371" s="3">
        <v>1</v>
      </c>
      <c r="C1371" s="3">
        <v>46</v>
      </c>
      <c r="D1371" s="3">
        <v>4</v>
      </c>
      <c r="E1371" s="3" t="s">
        <v>8</v>
      </c>
      <c r="F1371" s="4">
        <v>82.5</v>
      </c>
      <c r="G1371" s="4"/>
      <c r="H1371" s="4">
        <f t="shared" si="120"/>
        <v>82.5</v>
      </c>
    </row>
    <row r="1372" ht="14.25" spans="1:8">
      <c r="A1372" s="3" t="str">
        <f>"11102104605"</f>
        <v>11102104605</v>
      </c>
      <c r="B1372" s="3">
        <v>1</v>
      </c>
      <c r="C1372" s="3">
        <v>46</v>
      </c>
      <c r="D1372" s="3">
        <v>5</v>
      </c>
      <c r="E1372" s="3" t="s">
        <v>8</v>
      </c>
      <c r="F1372" s="4">
        <v>74.5</v>
      </c>
      <c r="G1372" s="4"/>
      <c r="H1372" s="4">
        <f t="shared" si="120"/>
        <v>74.5</v>
      </c>
    </row>
    <row r="1373" ht="14.25" spans="1:8">
      <c r="A1373" s="3" t="str">
        <f>"11102104606"</f>
        <v>11102104606</v>
      </c>
      <c r="B1373" s="3">
        <v>1</v>
      </c>
      <c r="C1373" s="3">
        <v>46</v>
      </c>
      <c r="D1373" s="3">
        <v>6</v>
      </c>
      <c r="E1373" s="3" t="s">
        <v>8</v>
      </c>
      <c r="F1373" s="4">
        <v>77.5</v>
      </c>
      <c r="G1373" s="4"/>
      <c r="H1373" s="4">
        <f t="shared" si="120"/>
        <v>77.5</v>
      </c>
    </row>
    <row r="1374" ht="14.25" spans="1:8">
      <c r="A1374" s="3" t="str">
        <f>"11102104607"</f>
        <v>11102104607</v>
      </c>
      <c r="B1374" s="3">
        <v>1</v>
      </c>
      <c r="C1374" s="3">
        <v>46</v>
      </c>
      <c r="D1374" s="3">
        <v>7</v>
      </c>
      <c r="E1374" s="3" t="s">
        <v>8</v>
      </c>
      <c r="F1374" s="4">
        <v>87</v>
      </c>
      <c r="G1374" s="4"/>
      <c r="H1374" s="4">
        <f t="shared" si="120"/>
        <v>87</v>
      </c>
    </row>
    <row r="1375" ht="14.25" spans="1:8">
      <c r="A1375" s="3" t="str">
        <f>"11102104608"</f>
        <v>11102104608</v>
      </c>
      <c r="B1375" s="3">
        <v>1</v>
      </c>
      <c r="C1375" s="3">
        <v>46</v>
      </c>
      <c r="D1375" s="3">
        <v>8</v>
      </c>
      <c r="E1375" s="3" t="s">
        <v>8</v>
      </c>
      <c r="F1375" s="3">
        <v>0</v>
      </c>
      <c r="G1375" s="4"/>
      <c r="H1375" s="3">
        <v>0</v>
      </c>
    </row>
    <row r="1376" ht="14.25" spans="1:8">
      <c r="A1376" s="3" t="str">
        <f>"11102104609"</f>
        <v>11102104609</v>
      </c>
      <c r="B1376" s="3">
        <v>1</v>
      </c>
      <c r="C1376" s="3">
        <v>46</v>
      </c>
      <c r="D1376" s="3">
        <v>9</v>
      </c>
      <c r="E1376" s="3" t="s">
        <v>8</v>
      </c>
      <c r="F1376" s="4">
        <v>78</v>
      </c>
      <c r="G1376" s="4"/>
      <c r="H1376" s="4">
        <f t="shared" ref="H1376:H1392" si="121">F1376+G1376</f>
        <v>78</v>
      </c>
    </row>
    <row r="1377" ht="14.25" spans="1:8">
      <c r="A1377" s="3" t="str">
        <f>"11102104610"</f>
        <v>11102104610</v>
      </c>
      <c r="B1377" s="3">
        <v>1</v>
      </c>
      <c r="C1377" s="3">
        <v>46</v>
      </c>
      <c r="D1377" s="3">
        <v>10</v>
      </c>
      <c r="E1377" s="3" t="s">
        <v>8</v>
      </c>
      <c r="F1377" s="4">
        <v>69.5</v>
      </c>
      <c r="G1377" s="4"/>
      <c r="H1377" s="4">
        <f t="shared" si="121"/>
        <v>69.5</v>
      </c>
    </row>
    <row r="1378" ht="14.25" spans="1:8">
      <c r="A1378" s="3" t="str">
        <f>"11102104611"</f>
        <v>11102104611</v>
      </c>
      <c r="B1378" s="3">
        <v>1</v>
      </c>
      <c r="C1378" s="3">
        <v>46</v>
      </c>
      <c r="D1378" s="3">
        <v>11</v>
      </c>
      <c r="E1378" s="3" t="s">
        <v>8</v>
      </c>
      <c r="F1378" s="4">
        <v>86.5</v>
      </c>
      <c r="G1378" s="4"/>
      <c r="H1378" s="4">
        <f t="shared" si="121"/>
        <v>86.5</v>
      </c>
    </row>
    <row r="1379" ht="14.25" spans="1:8">
      <c r="A1379" s="3" t="str">
        <f>"11102104612"</f>
        <v>11102104612</v>
      </c>
      <c r="B1379" s="3">
        <v>1</v>
      </c>
      <c r="C1379" s="3">
        <v>46</v>
      </c>
      <c r="D1379" s="3">
        <v>12</v>
      </c>
      <c r="E1379" s="3" t="s">
        <v>8</v>
      </c>
      <c r="F1379" s="4">
        <v>71</v>
      </c>
      <c r="G1379" s="4"/>
      <c r="H1379" s="4">
        <f t="shared" si="121"/>
        <v>71</v>
      </c>
    </row>
    <row r="1380" ht="14.25" spans="1:8">
      <c r="A1380" s="3" t="str">
        <f>"11102104613"</f>
        <v>11102104613</v>
      </c>
      <c r="B1380" s="3">
        <v>1</v>
      </c>
      <c r="C1380" s="3">
        <v>46</v>
      </c>
      <c r="D1380" s="3">
        <v>13</v>
      </c>
      <c r="E1380" s="3" t="s">
        <v>8</v>
      </c>
      <c r="F1380" s="4">
        <v>69</v>
      </c>
      <c r="G1380" s="4"/>
      <c r="H1380" s="4">
        <f t="shared" si="121"/>
        <v>69</v>
      </c>
    </row>
    <row r="1381" ht="14.25" spans="1:8">
      <c r="A1381" s="3" t="str">
        <f>"11102104614"</f>
        <v>11102104614</v>
      </c>
      <c r="B1381" s="3">
        <v>1</v>
      </c>
      <c r="C1381" s="3">
        <v>46</v>
      </c>
      <c r="D1381" s="3">
        <v>14</v>
      </c>
      <c r="E1381" s="3" t="s">
        <v>8</v>
      </c>
      <c r="F1381" s="4">
        <v>59.5</v>
      </c>
      <c r="G1381" s="4"/>
      <c r="H1381" s="4">
        <f t="shared" si="121"/>
        <v>59.5</v>
      </c>
    </row>
    <row r="1382" ht="14.25" spans="1:8">
      <c r="A1382" s="3" t="str">
        <f>"11102104615"</f>
        <v>11102104615</v>
      </c>
      <c r="B1382" s="3">
        <v>1</v>
      </c>
      <c r="C1382" s="3">
        <v>46</v>
      </c>
      <c r="D1382" s="3">
        <v>15</v>
      </c>
      <c r="E1382" s="3" t="s">
        <v>8</v>
      </c>
      <c r="F1382" s="4">
        <v>82.5</v>
      </c>
      <c r="G1382" s="4"/>
      <c r="H1382" s="4">
        <f t="shared" si="121"/>
        <v>82.5</v>
      </c>
    </row>
    <row r="1383" ht="14.25" spans="1:8">
      <c r="A1383" s="3" t="str">
        <f>"11102104616"</f>
        <v>11102104616</v>
      </c>
      <c r="B1383" s="3">
        <v>1</v>
      </c>
      <c r="C1383" s="3">
        <v>46</v>
      </c>
      <c r="D1383" s="3">
        <v>16</v>
      </c>
      <c r="E1383" s="3" t="s">
        <v>8</v>
      </c>
      <c r="F1383" s="4">
        <v>80</v>
      </c>
      <c r="G1383" s="4"/>
      <c r="H1383" s="4">
        <f t="shared" si="121"/>
        <v>80</v>
      </c>
    </row>
    <row r="1384" ht="14.25" spans="1:8">
      <c r="A1384" s="3" t="str">
        <f>"11102104617"</f>
        <v>11102104617</v>
      </c>
      <c r="B1384" s="3">
        <v>1</v>
      </c>
      <c r="C1384" s="3">
        <v>46</v>
      </c>
      <c r="D1384" s="3">
        <v>17</v>
      </c>
      <c r="E1384" s="3" t="s">
        <v>8</v>
      </c>
      <c r="F1384" s="4">
        <v>85.5</v>
      </c>
      <c r="G1384" s="4"/>
      <c r="H1384" s="4">
        <f t="shared" si="121"/>
        <v>85.5</v>
      </c>
    </row>
    <row r="1385" ht="14.25" spans="1:8">
      <c r="A1385" s="3" t="str">
        <f>"11102104618"</f>
        <v>11102104618</v>
      </c>
      <c r="B1385" s="3">
        <v>1</v>
      </c>
      <c r="C1385" s="3">
        <v>46</v>
      </c>
      <c r="D1385" s="3">
        <v>18</v>
      </c>
      <c r="E1385" s="3" t="s">
        <v>8</v>
      </c>
      <c r="F1385" s="4">
        <v>84.5</v>
      </c>
      <c r="G1385" s="4"/>
      <c r="H1385" s="4">
        <f t="shared" si="121"/>
        <v>84.5</v>
      </c>
    </row>
    <row r="1386" ht="14.25" spans="1:8">
      <c r="A1386" s="3" t="str">
        <f>"11102104619"</f>
        <v>11102104619</v>
      </c>
      <c r="B1386" s="3">
        <v>1</v>
      </c>
      <c r="C1386" s="3">
        <v>46</v>
      </c>
      <c r="D1386" s="3">
        <v>19</v>
      </c>
      <c r="E1386" s="3" t="s">
        <v>8</v>
      </c>
      <c r="F1386" s="4">
        <v>73.5</v>
      </c>
      <c r="G1386" s="4"/>
      <c r="H1386" s="4">
        <f t="shared" si="121"/>
        <v>73.5</v>
      </c>
    </row>
    <row r="1387" ht="14.25" spans="1:8">
      <c r="A1387" s="3" t="str">
        <f>"11102104620"</f>
        <v>11102104620</v>
      </c>
      <c r="B1387" s="3">
        <v>1</v>
      </c>
      <c r="C1387" s="3">
        <v>46</v>
      </c>
      <c r="D1387" s="3">
        <v>20</v>
      </c>
      <c r="E1387" s="3" t="s">
        <v>8</v>
      </c>
      <c r="F1387" s="4">
        <v>61.5</v>
      </c>
      <c r="G1387" s="4"/>
      <c r="H1387" s="4">
        <f t="shared" si="121"/>
        <v>61.5</v>
      </c>
    </row>
    <row r="1388" ht="14.25" spans="1:8">
      <c r="A1388" s="3" t="str">
        <f>"11102104621"</f>
        <v>11102104621</v>
      </c>
      <c r="B1388" s="3">
        <v>1</v>
      </c>
      <c r="C1388" s="3">
        <v>46</v>
      </c>
      <c r="D1388" s="3">
        <v>21</v>
      </c>
      <c r="E1388" s="3" t="s">
        <v>8</v>
      </c>
      <c r="F1388" s="4">
        <v>79</v>
      </c>
      <c r="G1388" s="4"/>
      <c r="H1388" s="4">
        <f t="shared" si="121"/>
        <v>79</v>
      </c>
    </row>
    <row r="1389" ht="14.25" spans="1:8">
      <c r="A1389" s="3" t="str">
        <f>"11102104622"</f>
        <v>11102104622</v>
      </c>
      <c r="B1389" s="3">
        <v>1</v>
      </c>
      <c r="C1389" s="3">
        <v>46</v>
      </c>
      <c r="D1389" s="3">
        <v>22</v>
      </c>
      <c r="E1389" s="3" t="s">
        <v>8</v>
      </c>
      <c r="F1389" s="4">
        <v>86.5</v>
      </c>
      <c r="G1389" s="4"/>
      <c r="H1389" s="4">
        <f t="shared" si="121"/>
        <v>86.5</v>
      </c>
    </row>
    <row r="1390" ht="14.25" spans="1:8">
      <c r="A1390" s="3" t="str">
        <f>"11102104623"</f>
        <v>11102104623</v>
      </c>
      <c r="B1390" s="3">
        <v>1</v>
      </c>
      <c r="C1390" s="3">
        <v>46</v>
      </c>
      <c r="D1390" s="3">
        <v>23</v>
      </c>
      <c r="E1390" s="3" t="s">
        <v>8</v>
      </c>
      <c r="F1390" s="4">
        <v>63</v>
      </c>
      <c r="G1390" s="4"/>
      <c r="H1390" s="4">
        <f t="shared" si="121"/>
        <v>63</v>
      </c>
    </row>
    <row r="1391" ht="14.25" spans="1:8">
      <c r="A1391" s="3" t="str">
        <f>"11102104624"</f>
        <v>11102104624</v>
      </c>
      <c r="B1391" s="3">
        <v>1</v>
      </c>
      <c r="C1391" s="3">
        <v>46</v>
      </c>
      <c r="D1391" s="3">
        <v>24</v>
      </c>
      <c r="E1391" s="3" t="s">
        <v>8</v>
      </c>
      <c r="F1391" s="4">
        <v>70</v>
      </c>
      <c r="G1391" s="4"/>
      <c r="H1391" s="4">
        <f t="shared" si="121"/>
        <v>70</v>
      </c>
    </row>
    <row r="1392" ht="14.25" spans="1:8">
      <c r="A1392" s="3" t="str">
        <f>"11102104625"</f>
        <v>11102104625</v>
      </c>
      <c r="B1392" s="3">
        <v>1</v>
      </c>
      <c r="C1392" s="3">
        <v>46</v>
      </c>
      <c r="D1392" s="3">
        <v>25</v>
      </c>
      <c r="E1392" s="3" t="s">
        <v>8</v>
      </c>
      <c r="F1392" s="4">
        <v>85.5</v>
      </c>
      <c r="G1392" s="4"/>
      <c r="H1392" s="4">
        <f t="shared" si="121"/>
        <v>85.5</v>
      </c>
    </row>
    <row r="1393" ht="14.25" spans="1:8">
      <c r="A1393" s="3" t="str">
        <f>"11102104626"</f>
        <v>11102104626</v>
      </c>
      <c r="B1393" s="3">
        <v>1</v>
      </c>
      <c r="C1393" s="3">
        <v>46</v>
      </c>
      <c r="D1393" s="3">
        <v>26</v>
      </c>
      <c r="E1393" s="3" t="s">
        <v>8</v>
      </c>
      <c r="F1393" s="3">
        <v>0</v>
      </c>
      <c r="G1393" s="4"/>
      <c r="H1393" s="3">
        <v>0</v>
      </c>
    </row>
    <row r="1394" ht="14.25" spans="1:8">
      <c r="A1394" s="3" t="str">
        <f>"11102104627"</f>
        <v>11102104627</v>
      </c>
      <c r="B1394" s="3">
        <v>1</v>
      </c>
      <c r="C1394" s="3">
        <v>46</v>
      </c>
      <c r="D1394" s="3">
        <v>27</v>
      </c>
      <c r="E1394" s="3" t="s">
        <v>8</v>
      </c>
      <c r="F1394" s="4">
        <v>68.5</v>
      </c>
      <c r="G1394" s="4"/>
      <c r="H1394" s="4">
        <f t="shared" ref="H1394:H1400" si="122">F1394+G1394</f>
        <v>68.5</v>
      </c>
    </row>
    <row r="1395" ht="14.25" spans="1:8">
      <c r="A1395" s="3" t="str">
        <f>"11102104628"</f>
        <v>11102104628</v>
      </c>
      <c r="B1395" s="3">
        <v>1</v>
      </c>
      <c r="C1395" s="3">
        <v>46</v>
      </c>
      <c r="D1395" s="3">
        <v>28</v>
      </c>
      <c r="E1395" s="3" t="s">
        <v>8</v>
      </c>
      <c r="F1395" s="4">
        <v>78</v>
      </c>
      <c r="G1395" s="4"/>
      <c r="H1395" s="4">
        <f t="shared" si="122"/>
        <v>78</v>
      </c>
    </row>
    <row r="1396" ht="14.25" spans="1:8">
      <c r="A1396" s="3" t="str">
        <f>"11102104629"</f>
        <v>11102104629</v>
      </c>
      <c r="B1396" s="3">
        <v>1</v>
      </c>
      <c r="C1396" s="3">
        <v>46</v>
      </c>
      <c r="D1396" s="3">
        <v>29</v>
      </c>
      <c r="E1396" s="3" t="s">
        <v>8</v>
      </c>
      <c r="F1396" s="3">
        <v>0</v>
      </c>
      <c r="G1396" s="4"/>
      <c r="H1396" s="3">
        <v>0</v>
      </c>
    </row>
    <row r="1397" ht="14.25" spans="1:8">
      <c r="A1397" s="3" t="str">
        <f>"11102104630"</f>
        <v>11102104630</v>
      </c>
      <c r="B1397" s="3">
        <v>1</v>
      </c>
      <c r="C1397" s="3">
        <v>46</v>
      </c>
      <c r="D1397" s="3">
        <v>30</v>
      </c>
      <c r="E1397" s="3" t="s">
        <v>8</v>
      </c>
      <c r="F1397" s="4">
        <v>79</v>
      </c>
      <c r="G1397" s="4"/>
      <c r="H1397" s="4">
        <f t="shared" si="122"/>
        <v>79</v>
      </c>
    </row>
    <row r="1398" ht="14.25" spans="1:8">
      <c r="A1398" s="3" t="str">
        <f>"11102104701"</f>
        <v>11102104701</v>
      </c>
      <c r="B1398" s="3">
        <v>1</v>
      </c>
      <c r="C1398" s="3">
        <v>47</v>
      </c>
      <c r="D1398" s="3">
        <v>1</v>
      </c>
      <c r="E1398" s="3" t="s">
        <v>8</v>
      </c>
      <c r="F1398" s="4">
        <v>87.5</v>
      </c>
      <c r="G1398" s="4"/>
      <c r="H1398" s="4">
        <f t="shared" si="122"/>
        <v>87.5</v>
      </c>
    </row>
    <row r="1399" ht="14.25" spans="1:8">
      <c r="A1399" s="3" t="str">
        <f>"11102104702"</f>
        <v>11102104702</v>
      </c>
      <c r="B1399" s="3">
        <v>1</v>
      </c>
      <c r="C1399" s="3">
        <v>47</v>
      </c>
      <c r="D1399" s="3">
        <v>2</v>
      </c>
      <c r="E1399" s="3" t="s">
        <v>8</v>
      </c>
      <c r="F1399" s="4">
        <v>83</v>
      </c>
      <c r="G1399" s="4"/>
      <c r="H1399" s="4">
        <f t="shared" si="122"/>
        <v>83</v>
      </c>
    </row>
    <row r="1400" ht="14.25" spans="1:8">
      <c r="A1400" s="3" t="str">
        <f>"11102104703"</f>
        <v>11102104703</v>
      </c>
      <c r="B1400" s="3">
        <v>1</v>
      </c>
      <c r="C1400" s="3">
        <v>47</v>
      </c>
      <c r="D1400" s="3">
        <v>3</v>
      </c>
      <c r="E1400" s="3" t="s">
        <v>8</v>
      </c>
      <c r="F1400" s="4">
        <v>77.5</v>
      </c>
      <c r="G1400" s="4"/>
      <c r="H1400" s="4">
        <f t="shared" si="122"/>
        <v>77.5</v>
      </c>
    </row>
    <row r="1401" ht="14.25" spans="1:8">
      <c r="A1401" s="3" t="str">
        <f>"11102104704"</f>
        <v>11102104704</v>
      </c>
      <c r="B1401" s="3">
        <v>1</v>
      </c>
      <c r="C1401" s="3">
        <v>47</v>
      </c>
      <c r="D1401" s="3">
        <v>4</v>
      </c>
      <c r="E1401" s="3" t="s">
        <v>8</v>
      </c>
      <c r="F1401" s="3">
        <v>0</v>
      </c>
      <c r="G1401" s="4"/>
      <c r="H1401" s="3">
        <v>0</v>
      </c>
    </row>
    <row r="1402" ht="14.25" spans="1:8">
      <c r="A1402" s="3" t="str">
        <f>"11102104705"</f>
        <v>11102104705</v>
      </c>
      <c r="B1402" s="3">
        <v>1</v>
      </c>
      <c r="C1402" s="3">
        <v>47</v>
      </c>
      <c r="D1402" s="3">
        <v>5</v>
      </c>
      <c r="E1402" s="3" t="s">
        <v>8</v>
      </c>
      <c r="F1402" s="4">
        <v>85.5</v>
      </c>
      <c r="G1402" s="4"/>
      <c r="H1402" s="4">
        <f t="shared" ref="H1402:H1414" si="123">F1402+G1402</f>
        <v>85.5</v>
      </c>
    </row>
    <row r="1403" ht="14.25" spans="1:8">
      <c r="A1403" s="3" t="str">
        <f>"11102104706"</f>
        <v>11102104706</v>
      </c>
      <c r="B1403" s="3">
        <v>1</v>
      </c>
      <c r="C1403" s="3">
        <v>47</v>
      </c>
      <c r="D1403" s="3">
        <v>6</v>
      </c>
      <c r="E1403" s="3" t="s">
        <v>8</v>
      </c>
      <c r="F1403" s="4">
        <v>46.5</v>
      </c>
      <c r="G1403" s="4"/>
      <c r="H1403" s="4">
        <f t="shared" si="123"/>
        <v>46.5</v>
      </c>
    </row>
    <row r="1404" ht="14.25" spans="1:8">
      <c r="A1404" s="3" t="str">
        <f>"11102104707"</f>
        <v>11102104707</v>
      </c>
      <c r="B1404" s="3">
        <v>1</v>
      </c>
      <c r="C1404" s="3">
        <v>47</v>
      </c>
      <c r="D1404" s="3">
        <v>7</v>
      </c>
      <c r="E1404" s="3" t="s">
        <v>8</v>
      </c>
      <c r="F1404" s="4">
        <v>85.5</v>
      </c>
      <c r="G1404" s="4"/>
      <c r="H1404" s="4">
        <f t="shared" si="123"/>
        <v>85.5</v>
      </c>
    </row>
    <row r="1405" ht="14.25" spans="1:8">
      <c r="A1405" s="3" t="str">
        <f>"11102104708"</f>
        <v>11102104708</v>
      </c>
      <c r="B1405" s="3">
        <v>1</v>
      </c>
      <c r="C1405" s="3">
        <v>47</v>
      </c>
      <c r="D1405" s="3">
        <v>8</v>
      </c>
      <c r="E1405" s="3" t="s">
        <v>8</v>
      </c>
      <c r="F1405" s="4">
        <v>78</v>
      </c>
      <c r="G1405" s="4"/>
      <c r="H1405" s="4">
        <f t="shared" si="123"/>
        <v>78</v>
      </c>
    </row>
    <row r="1406" ht="14.25" spans="1:8">
      <c r="A1406" s="3" t="str">
        <f>"11102104709"</f>
        <v>11102104709</v>
      </c>
      <c r="B1406" s="3">
        <v>1</v>
      </c>
      <c r="C1406" s="3">
        <v>47</v>
      </c>
      <c r="D1406" s="3">
        <v>9</v>
      </c>
      <c r="E1406" s="3" t="s">
        <v>8</v>
      </c>
      <c r="F1406" s="4">
        <v>74</v>
      </c>
      <c r="G1406" s="4"/>
      <c r="H1406" s="4">
        <f t="shared" si="123"/>
        <v>74</v>
      </c>
    </row>
    <row r="1407" ht="14.25" spans="1:8">
      <c r="A1407" s="3" t="str">
        <f>"11102104710"</f>
        <v>11102104710</v>
      </c>
      <c r="B1407" s="3">
        <v>1</v>
      </c>
      <c r="C1407" s="3">
        <v>47</v>
      </c>
      <c r="D1407" s="3">
        <v>10</v>
      </c>
      <c r="E1407" s="3" t="s">
        <v>8</v>
      </c>
      <c r="F1407" s="4">
        <v>87</v>
      </c>
      <c r="G1407" s="4"/>
      <c r="H1407" s="4">
        <f t="shared" si="123"/>
        <v>87</v>
      </c>
    </row>
    <row r="1408" ht="14.25" spans="1:8">
      <c r="A1408" s="3" t="str">
        <f>"11102104711"</f>
        <v>11102104711</v>
      </c>
      <c r="B1408" s="3">
        <v>1</v>
      </c>
      <c r="C1408" s="3">
        <v>47</v>
      </c>
      <c r="D1408" s="3">
        <v>11</v>
      </c>
      <c r="E1408" s="3" t="s">
        <v>8</v>
      </c>
      <c r="F1408" s="4">
        <v>62.5</v>
      </c>
      <c r="G1408" s="4"/>
      <c r="H1408" s="4">
        <f t="shared" si="123"/>
        <v>62.5</v>
      </c>
    </row>
    <row r="1409" ht="14.25" spans="1:8">
      <c r="A1409" s="3" t="str">
        <f>"11102104712"</f>
        <v>11102104712</v>
      </c>
      <c r="B1409" s="3">
        <v>1</v>
      </c>
      <c r="C1409" s="3">
        <v>47</v>
      </c>
      <c r="D1409" s="3">
        <v>12</v>
      </c>
      <c r="E1409" s="3" t="s">
        <v>8</v>
      </c>
      <c r="F1409" s="4">
        <v>52.5</v>
      </c>
      <c r="G1409" s="4"/>
      <c r="H1409" s="4">
        <f t="shared" si="123"/>
        <v>52.5</v>
      </c>
    </row>
    <row r="1410" ht="14.25" spans="1:8">
      <c r="A1410" s="3" t="str">
        <f>"11102104713"</f>
        <v>11102104713</v>
      </c>
      <c r="B1410" s="3">
        <v>1</v>
      </c>
      <c r="C1410" s="3">
        <v>47</v>
      </c>
      <c r="D1410" s="3">
        <v>13</v>
      </c>
      <c r="E1410" s="3" t="s">
        <v>8</v>
      </c>
      <c r="F1410" s="4">
        <v>72</v>
      </c>
      <c r="G1410" s="4"/>
      <c r="H1410" s="4">
        <f t="shared" si="123"/>
        <v>72</v>
      </c>
    </row>
    <row r="1411" ht="14.25" spans="1:8">
      <c r="A1411" s="3" t="str">
        <f>"11102104714"</f>
        <v>11102104714</v>
      </c>
      <c r="B1411" s="3">
        <v>1</v>
      </c>
      <c r="C1411" s="3">
        <v>47</v>
      </c>
      <c r="D1411" s="3">
        <v>14</v>
      </c>
      <c r="E1411" s="3" t="s">
        <v>8</v>
      </c>
      <c r="F1411" s="4">
        <v>86</v>
      </c>
      <c r="G1411" s="4"/>
      <c r="H1411" s="4">
        <f t="shared" si="123"/>
        <v>86</v>
      </c>
    </row>
    <row r="1412" ht="14.25" spans="1:8">
      <c r="A1412" s="3" t="str">
        <f>"11102104715"</f>
        <v>11102104715</v>
      </c>
      <c r="B1412" s="3">
        <v>1</v>
      </c>
      <c r="C1412" s="3">
        <v>47</v>
      </c>
      <c r="D1412" s="3">
        <v>15</v>
      </c>
      <c r="E1412" s="3" t="s">
        <v>8</v>
      </c>
      <c r="F1412" s="4">
        <v>83.5</v>
      </c>
      <c r="G1412" s="4"/>
      <c r="H1412" s="4">
        <f t="shared" si="123"/>
        <v>83.5</v>
      </c>
    </row>
    <row r="1413" ht="14.25" spans="1:8">
      <c r="A1413" s="3" t="str">
        <f>"11102104716"</f>
        <v>11102104716</v>
      </c>
      <c r="B1413" s="3">
        <v>1</v>
      </c>
      <c r="C1413" s="3">
        <v>47</v>
      </c>
      <c r="D1413" s="3">
        <v>16</v>
      </c>
      <c r="E1413" s="3" t="s">
        <v>8</v>
      </c>
      <c r="F1413" s="4">
        <v>90</v>
      </c>
      <c r="G1413" s="4"/>
      <c r="H1413" s="4">
        <f t="shared" si="123"/>
        <v>90</v>
      </c>
    </row>
    <row r="1414" ht="14.25" spans="1:8">
      <c r="A1414" s="3" t="str">
        <f>"11102104717"</f>
        <v>11102104717</v>
      </c>
      <c r="B1414" s="3">
        <v>1</v>
      </c>
      <c r="C1414" s="3">
        <v>47</v>
      </c>
      <c r="D1414" s="3">
        <v>17</v>
      </c>
      <c r="E1414" s="3" t="s">
        <v>8</v>
      </c>
      <c r="F1414" s="4">
        <v>83.5</v>
      </c>
      <c r="G1414" s="4"/>
      <c r="H1414" s="4">
        <f t="shared" si="123"/>
        <v>83.5</v>
      </c>
    </row>
    <row r="1415" ht="14.25" spans="1:8">
      <c r="A1415" s="3" t="str">
        <f>"11102104718"</f>
        <v>11102104718</v>
      </c>
      <c r="B1415" s="3">
        <v>1</v>
      </c>
      <c r="C1415" s="3">
        <v>47</v>
      </c>
      <c r="D1415" s="3">
        <v>18</v>
      </c>
      <c r="E1415" s="3" t="s">
        <v>8</v>
      </c>
      <c r="F1415" s="3">
        <v>0</v>
      </c>
      <c r="G1415" s="4"/>
      <c r="H1415" s="3">
        <v>0</v>
      </c>
    </row>
    <row r="1416" ht="14.25" spans="1:8">
      <c r="A1416" s="3" t="str">
        <f>"11102104719"</f>
        <v>11102104719</v>
      </c>
      <c r="B1416" s="3">
        <v>1</v>
      </c>
      <c r="C1416" s="3">
        <v>47</v>
      </c>
      <c r="D1416" s="3">
        <v>19</v>
      </c>
      <c r="E1416" s="3" t="s">
        <v>8</v>
      </c>
      <c r="F1416" s="4">
        <v>80</v>
      </c>
      <c r="G1416" s="4"/>
      <c r="H1416" s="4">
        <f t="shared" ref="H1416:H1418" si="124">F1416+G1416</f>
        <v>80</v>
      </c>
    </row>
    <row r="1417" ht="14.25" spans="1:8">
      <c r="A1417" s="3" t="str">
        <f>"11102104720"</f>
        <v>11102104720</v>
      </c>
      <c r="B1417" s="3">
        <v>1</v>
      </c>
      <c r="C1417" s="3">
        <v>47</v>
      </c>
      <c r="D1417" s="3">
        <v>20</v>
      </c>
      <c r="E1417" s="3" t="s">
        <v>8</v>
      </c>
      <c r="F1417" s="4">
        <v>82.5</v>
      </c>
      <c r="G1417" s="4"/>
      <c r="H1417" s="4">
        <f t="shared" si="124"/>
        <v>82.5</v>
      </c>
    </row>
    <row r="1418" ht="14.25" spans="1:8">
      <c r="A1418" s="3" t="str">
        <f>"11102104721"</f>
        <v>11102104721</v>
      </c>
      <c r="B1418" s="3">
        <v>1</v>
      </c>
      <c r="C1418" s="3">
        <v>47</v>
      </c>
      <c r="D1418" s="3">
        <v>21</v>
      </c>
      <c r="E1418" s="3" t="s">
        <v>8</v>
      </c>
      <c r="F1418" s="4">
        <v>85.5</v>
      </c>
      <c r="G1418" s="4"/>
      <c r="H1418" s="4">
        <f t="shared" si="124"/>
        <v>85.5</v>
      </c>
    </row>
    <row r="1419" ht="14.25" spans="1:8">
      <c r="A1419" s="3" t="str">
        <f>"11102104722"</f>
        <v>11102104722</v>
      </c>
      <c r="B1419" s="3">
        <v>1</v>
      </c>
      <c r="C1419" s="3">
        <v>47</v>
      </c>
      <c r="D1419" s="3">
        <v>22</v>
      </c>
      <c r="E1419" s="3" t="s">
        <v>8</v>
      </c>
      <c r="F1419" s="3">
        <v>0</v>
      </c>
      <c r="G1419" s="4"/>
      <c r="H1419" s="3">
        <v>0</v>
      </c>
    </row>
    <row r="1420" ht="14.25" spans="1:8">
      <c r="A1420" s="3" t="str">
        <f>"11102104723"</f>
        <v>11102104723</v>
      </c>
      <c r="B1420" s="3">
        <v>1</v>
      </c>
      <c r="C1420" s="3">
        <v>47</v>
      </c>
      <c r="D1420" s="3">
        <v>23</v>
      </c>
      <c r="E1420" s="3" t="s">
        <v>8</v>
      </c>
      <c r="F1420" s="4">
        <v>78</v>
      </c>
      <c r="G1420" s="4"/>
      <c r="H1420" s="4">
        <f t="shared" ref="H1420:H1427" si="125">F1420+G1420</f>
        <v>78</v>
      </c>
    </row>
    <row r="1421" ht="14.25" spans="1:8">
      <c r="A1421" s="3" t="str">
        <f>"11102104724"</f>
        <v>11102104724</v>
      </c>
      <c r="B1421" s="3">
        <v>1</v>
      </c>
      <c r="C1421" s="3">
        <v>47</v>
      </c>
      <c r="D1421" s="3">
        <v>24</v>
      </c>
      <c r="E1421" s="3" t="s">
        <v>8</v>
      </c>
      <c r="F1421" s="4">
        <v>84</v>
      </c>
      <c r="G1421" s="4"/>
      <c r="H1421" s="4">
        <f t="shared" si="125"/>
        <v>84</v>
      </c>
    </row>
    <row r="1422" ht="14.25" spans="1:8">
      <c r="A1422" s="3" t="str">
        <f>"11102104725"</f>
        <v>11102104725</v>
      </c>
      <c r="B1422" s="3">
        <v>1</v>
      </c>
      <c r="C1422" s="3">
        <v>47</v>
      </c>
      <c r="D1422" s="3">
        <v>25</v>
      </c>
      <c r="E1422" s="3" t="s">
        <v>8</v>
      </c>
      <c r="F1422" s="4">
        <v>76.5</v>
      </c>
      <c r="G1422" s="4"/>
      <c r="H1422" s="4">
        <f t="shared" si="125"/>
        <v>76.5</v>
      </c>
    </row>
    <row r="1423" ht="14.25" spans="1:8">
      <c r="A1423" s="3" t="str">
        <f>"11102104726"</f>
        <v>11102104726</v>
      </c>
      <c r="B1423" s="3">
        <v>1</v>
      </c>
      <c r="C1423" s="3">
        <v>47</v>
      </c>
      <c r="D1423" s="3">
        <v>26</v>
      </c>
      <c r="E1423" s="3" t="s">
        <v>8</v>
      </c>
      <c r="F1423" s="4">
        <v>84</v>
      </c>
      <c r="G1423" s="4"/>
      <c r="H1423" s="4">
        <f t="shared" si="125"/>
        <v>84</v>
      </c>
    </row>
    <row r="1424" ht="14.25" spans="1:8">
      <c r="A1424" s="3" t="str">
        <f>"11102104727"</f>
        <v>11102104727</v>
      </c>
      <c r="B1424" s="3">
        <v>1</v>
      </c>
      <c r="C1424" s="3">
        <v>47</v>
      </c>
      <c r="D1424" s="3">
        <v>27</v>
      </c>
      <c r="E1424" s="3" t="s">
        <v>8</v>
      </c>
      <c r="F1424" s="4">
        <v>81.5</v>
      </c>
      <c r="G1424" s="4"/>
      <c r="H1424" s="4">
        <f t="shared" si="125"/>
        <v>81.5</v>
      </c>
    </row>
    <row r="1425" ht="14.25" spans="1:8">
      <c r="A1425" s="3" t="str">
        <f>"11102104728"</f>
        <v>11102104728</v>
      </c>
      <c r="B1425" s="3">
        <v>1</v>
      </c>
      <c r="C1425" s="3">
        <v>47</v>
      </c>
      <c r="D1425" s="3">
        <v>28</v>
      </c>
      <c r="E1425" s="3" t="s">
        <v>8</v>
      </c>
      <c r="F1425" s="4">
        <v>80</v>
      </c>
      <c r="G1425" s="4"/>
      <c r="H1425" s="4">
        <f t="shared" si="125"/>
        <v>80</v>
      </c>
    </row>
    <row r="1426" ht="14.25" spans="1:8">
      <c r="A1426" s="3" t="str">
        <f>"11102104729"</f>
        <v>11102104729</v>
      </c>
      <c r="B1426" s="3">
        <v>1</v>
      </c>
      <c r="C1426" s="3">
        <v>47</v>
      </c>
      <c r="D1426" s="3">
        <v>29</v>
      </c>
      <c r="E1426" s="3" t="s">
        <v>8</v>
      </c>
      <c r="F1426" s="4">
        <v>81.5</v>
      </c>
      <c r="G1426" s="4"/>
      <c r="H1426" s="4">
        <f t="shared" si="125"/>
        <v>81.5</v>
      </c>
    </row>
    <row r="1427" ht="14.25" spans="1:8">
      <c r="A1427" s="3" t="str">
        <f>"11102104730"</f>
        <v>11102104730</v>
      </c>
      <c r="B1427" s="3">
        <v>1</v>
      </c>
      <c r="C1427" s="3">
        <v>47</v>
      </c>
      <c r="D1427" s="3">
        <v>30</v>
      </c>
      <c r="E1427" s="3" t="s">
        <v>8</v>
      </c>
      <c r="F1427" s="4">
        <v>83.5</v>
      </c>
      <c r="G1427" s="4"/>
      <c r="H1427" s="4">
        <f t="shared" si="125"/>
        <v>83.5</v>
      </c>
    </row>
    <row r="1428" ht="14.25" spans="1:8">
      <c r="A1428" s="3" t="str">
        <f>"11102104801"</f>
        <v>11102104801</v>
      </c>
      <c r="B1428" s="3">
        <v>1</v>
      </c>
      <c r="C1428" s="3">
        <v>48</v>
      </c>
      <c r="D1428" s="3">
        <v>1</v>
      </c>
      <c r="E1428" s="3" t="s">
        <v>8</v>
      </c>
      <c r="F1428" s="3">
        <v>0</v>
      </c>
      <c r="G1428" s="4"/>
      <c r="H1428" s="3">
        <v>0</v>
      </c>
    </row>
    <row r="1429" ht="14.25" spans="1:8">
      <c r="A1429" s="3" t="str">
        <f>"11102104802"</f>
        <v>11102104802</v>
      </c>
      <c r="B1429" s="3">
        <v>1</v>
      </c>
      <c r="C1429" s="3">
        <v>48</v>
      </c>
      <c r="D1429" s="3">
        <v>2</v>
      </c>
      <c r="E1429" s="3" t="s">
        <v>8</v>
      </c>
      <c r="F1429" s="4">
        <v>69.5</v>
      </c>
      <c r="G1429" s="4"/>
      <c r="H1429" s="4">
        <f t="shared" ref="H1429:H1433" si="126">F1429+G1429</f>
        <v>69.5</v>
      </c>
    </row>
    <row r="1430" ht="14.25" spans="1:8">
      <c r="A1430" s="3" t="str">
        <f>"11102104803"</f>
        <v>11102104803</v>
      </c>
      <c r="B1430" s="3">
        <v>1</v>
      </c>
      <c r="C1430" s="3">
        <v>48</v>
      </c>
      <c r="D1430" s="3">
        <v>3</v>
      </c>
      <c r="E1430" s="3" t="s">
        <v>8</v>
      </c>
      <c r="F1430" s="4">
        <v>54</v>
      </c>
      <c r="G1430" s="4"/>
      <c r="H1430" s="4">
        <f t="shared" si="126"/>
        <v>54</v>
      </c>
    </row>
    <row r="1431" ht="14.25" spans="1:8">
      <c r="A1431" s="3" t="str">
        <f>"11102104804"</f>
        <v>11102104804</v>
      </c>
      <c r="B1431" s="3">
        <v>1</v>
      </c>
      <c r="C1431" s="3">
        <v>48</v>
      </c>
      <c r="D1431" s="3">
        <v>4</v>
      </c>
      <c r="E1431" s="3" t="s">
        <v>8</v>
      </c>
      <c r="F1431" s="3">
        <v>0</v>
      </c>
      <c r="G1431" s="4"/>
      <c r="H1431" s="3">
        <v>0</v>
      </c>
    </row>
    <row r="1432" ht="14.25" spans="1:8">
      <c r="A1432" s="3" t="str">
        <f>"11102104805"</f>
        <v>11102104805</v>
      </c>
      <c r="B1432" s="3">
        <v>1</v>
      </c>
      <c r="C1432" s="3">
        <v>48</v>
      </c>
      <c r="D1432" s="3">
        <v>5</v>
      </c>
      <c r="E1432" s="3" t="s">
        <v>8</v>
      </c>
      <c r="F1432" s="3">
        <v>0</v>
      </c>
      <c r="G1432" s="4"/>
      <c r="H1432" s="3">
        <v>0</v>
      </c>
    </row>
    <row r="1433" ht="14.25" spans="1:8">
      <c r="A1433" s="3" t="str">
        <f>"11102104806"</f>
        <v>11102104806</v>
      </c>
      <c r="B1433" s="3">
        <v>1</v>
      </c>
      <c r="C1433" s="3">
        <v>48</v>
      </c>
      <c r="D1433" s="3">
        <v>6</v>
      </c>
      <c r="E1433" s="3" t="s">
        <v>8</v>
      </c>
      <c r="F1433" s="4">
        <v>79.5</v>
      </c>
      <c r="G1433" s="4"/>
      <c r="H1433" s="4">
        <f t="shared" si="126"/>
        <v>79.5</v>
      </c>
    </row>
    <row r="1434" ht="14.25" spans="1:8">
      <c r="A1434" s="3" t="str">
        <f>"11102104807"</f>
        <v>11102104807</v>
      </c>
      <c r="B1434" s="3">
        <v>1</v>
      </c>
      <c r="C1434" s="3">
        <v>48</v>
      </c>
      <c r="D1434" s="3">
        <v>7</v>
      </c>
      <c r="E1434" s="3" t="s">
        <v>8</v>
      </c>
      <c r="F1434" s="3">
        <v>0</v>
      </c>
      <c r="G1434" s="4"/>
      <c r="H1434" s="3">
        <v>0</v>
      </c>
    </row>
    <row r="1435" ht="14.25" spans="1:8">
      <c r="A1435" s="3" t="str">
        <f>"11102104808"</f>
        <v>11102104808</v>
      </c>
      <c r="B1435" s="3">
        <v>1</v>
      </c>
      <c r="C1435" s="3">
        <v>48</v>
      </c>
      <c r="D1435" s="3">
        <v>8</v>
      </c>
      <c r="E1435" s="3" t="s">
        <v>8</v>
      </c>
      <c r="F1435" s="4">
        <v>81.5</v>
      </c>
      <c r="G1435" s="4"/>
      <c r="H1435" s="4">
        <f t="shared" ref="H1435:H1447" si="127">F1435+G1435</f>
        <v>81.5</v>
      </c>
    </row>
    <row r="1436" ht="14.25" spans="1:8">
      <c r="A1436" s="3" t="str">
        <f>"11102104809"</f>
        <v>11102104809</v>
      </c>
      <c r="B1436" s="3">
        <v>1</v>
      </c>
      <c r="C1436" s="3">
        <v>48</v>
      </c>
      <c r="D1436" s="3">
        <v>9</v>
      </c>
      <c r="E1436" s="3" t="s">
        <v>8</v>
      </c>
      <c r="F1436" s="4">
        <v>78.5</v>
      </c>
      <c r="G1436" s="4"/>
      <c r="H1436" s="4">
        <f t="shared" si="127"/>
        <v>78.5</v>
      </c>
    </row>
    <row r="1437" ht="14.25" spans="1:8">
      <c r="A1437" s="3" t="str">
        <f>"11102104810"</f>
        <v>11102104810</v>
      </c>
      <c r="B1437" s="3">
        <v>1</v>
      </c>
      <c r="C1437" s="3">
        <v>48</v>
      </c>
      <c r="D1437" s="3">
        <v>10</v>
      </c>
      <c r="E1437" s="3" t="s">
        <v>8</v>
      </c>
      <c r="F1437" s="3">
        <v>0</v>
      </c>
      <c r="G1437" s="4"/>
      <c r="H1437" s="3">
        <v>0</v>
      </c>
    </row>
    <row r="1438" ht="14.25" spans="1:8">
      <c r="A1438" s="3" t="str">
        <f>"11102104811"</f>
        <v>11102104811</v>
      </c>
      <c r="B1438" s="3">
        <v>1</v>
      </c>
      <c r="C1438" s="3">
        <v>48</v>
      </c>
      <c r="D1438" s="3">
        <v>11</v>
      </c>
      <c r="E1438" s="3" t="s">
        <v>8</v>
      </c>
      <c r="F1438" s="4">
        <v>84.5</v>
      </c>
      <c r="G1438" s="4"/>
      <c r="H1438" s="4">
        <f t="shared" si="127"/>
        <v>84.5</v>
      </c>
    </row>
    <row r="1439" ht="14.25" spans="1:8">
      <c r="A1439" s="3" t="str">
        <f>"11102104812"</f>
        <v>11102104812</v>
      </c>
      <c r="B1439" s="3">
        <v>1</v>
      </c>
      <c r="C1439" s="3">
        <v>48</v>
      </c>
      <c r="D1439" s="3">
        <v>12</v>
      </c>
      <c r="E1439" s="3" t="s">
        <v>8</v>
      </c>
      <c r="F1439" s="4">
        <v>83</v>
      </c>
      <c r="G1439" s="4"/>
      <c r="H1439" s="4">
        <f t="shared" si="127"/>
        <v>83</v>
      </c>
    </row>
    <row r="1440" ht="14.25" spans="1:8">
      <c r="A1440" s="3" t="str">
        <f>"11102104813"</f>
        <v>11102104813</v>
      </c>
      <c r="B1440" s="3">
        <v>1</v>
      </c>
      <c r="C1440" s="3">
        <v>48</v>
      </c>
      <c r="D1440" s="3">
        <v>13</v>
      </c>
      <c r="E1440" s="3" t="s">
        <v>8</v>
      </c>
      <c r="F1440" s="4">
        <v>64</v>
      </c>
      <c r="G1440" s="4"/>
      <c r="H1440" s="4">
        <f t="shared" si="127"/>
        <v>64</v>
      </c>
    </row>
    <row r="1441" ht="14.25" spans="1:8">
      <c r="A1441" s="3" t="str">
        <f>"11102104814"</f>
        <v>11102104814</v>
      </c>
      <c r="B1441" s="3">
        <v>1</v>
      </c>
      <c r="C1441" s="3">
        <v>48</v>
      </c>
      <c r="D1441" s="3">
        <v>14</v>
      </c>
      <c r="E1441" s="3" t="s">
        <v>8</v>
      </c>
      <c r="F1441" s="4">
        <v>83</v>
      </c>
      <c r="G1441" s="4"/>
      <c r="H1441" s="4">
        <f t="shared" si="127"/>
        <v>83</v>
      </c>
    </row>
    <row r="1442" ht="14.25" spans="1:8">
      <c r="A1442" s="3" t="str">
        <f>"11102104815"</f>
        <v>11102104815</v>
      </c>
      <c r="B1442" s="3">
        <v>1</v>
      </c>
      <c r="C1442" s="3">
        <v>48</v>
      </c>
      <c r="D1442" s="3">
        <v>15</v>
      </c>
      <c r="E1442" s="3" t="s">
        <v>8</v>
      </c>
      <c r="F1442" s="4">
        <v>83</v>
      </c>
      <c r="G1442" s="4"/>
      <c r="H1442" s="4">
        <f t="shared" si="127"/>
        <v>83</v>
      </c>
    </row>
    <row r="1443" ht="14.25" spans="1:8">
      <c r="A1443" s="3" t="str">
        <f>"11102104816"</f>
        <v>11102104816</v>
      </c>
      <c r="B1443" s="3">
        <v>1</v>
      </c>
      <c r="C1443" s="3">
        <v>48</v>
      </c>
      <c r="D1443" s="3">
        <v>16</v>
      </c>
      <c r="E1443" s="3" t="s">
        <v>8</v>
      </c>
      <c r="F1443" s="4">
        <v>81</v>
      </c>
      <c r="G1443" s="4"/>
      <c r="H1443" s="4">
        <f t="shared" si="127"/>
        <v>81</v>
      </c>
    </row>
    <row r="1444" ht="14.25" spans="1:8">
      <c r="A1444" s="3" t="str">
        <f>"11102104817"</f>
        <v>11102104817</v>
      </c>
      <c r="B1444" s="3">
        <v>1</v>
      </c>
      <c r="C1444" s="3">
        <v>48</v>
      </c>
      <c r="D1444" s="3">
        <v>17</v>
      </c>
      <c r="E1444" s="3" t="s">
        <v>8</v>
      </c>
      <c r="F1444" s="4">
        <v>80</v>
      </c>
      <c r="G1444" s="4"/>
      <c r="H1444" s="4">
        <f t="shared" si="127"/>
        <v>80</v>
      </c>
    </row>
    <row r="1445" ht="14.25" spans="1:8">
      <c r="A1445" s="3" t="str">
        <f>"11102104818"</f>
        <v>11102104818</v>
      </c>
      <c r="B1445" s="3">
        <v>1</v>
      </c>
      <c r="C1445" s="3">
        <v>48</v>
      </c>
      <c r="D1445" s="3">
        <v>18</v>
      </c>
      <c r="E1445" s="3" t="s">
        <v>8</v>
      </c>
      <c r="F1445" s="4">
        <v>80.5</v>
      </c>
      <c r="G1445" s="4"/>
      <c r="H1445" s="4">
        <f t="shared" si="127"/>
        <v>80.5</v>
      </c>
    </row>
    <row r="1446" ht="14.25" spans="1:8">
      <c r="A1446" s="3" t="str">
        <f>"11102104819"</f>
        <v>11102104819</v>
      </c>
      <c r="B1446" s="3">
        <v>1</v>
      </c>
      <c r="C1446" s="3">
        <v>48</v>
      </c>
      <c r="D1446" s="3">
        <v>19</v>
      </c>
      <c r="E1446" s="3" t="s">
        <v>8</v>
      </c>
      <c r="F1446" s="4">
        <v>81</v>
      </c>
      <c r="G1446" s="4"/>
      <c r="H1446" s="4">
        <f t="shared" si="127"/>
        <v>81</v>
      </c>
    </row>
    <row r="1447" ht="14.25" spans="1:8">
      <c r="A1447" s="3" t="str">
        <f>"11102104820"</f>
        <v>11102104820</v>
      </c>
      <c r="B1447" s="3">
        <v>1</v>
      </c>
      <c r="C1447" s="3">
        <v>48</v>
      </c>
      <c r="D1447" s="3">
        <v>20</v>
      </c>
      <c r="E1447" s="3" t="s">
        <v>8</v>
      </c>
      <c r="F1447" s="4">
        <v>67.5</v>
      </c>
      <c r="G1447" s="4"/>
      <c r="H1447" s="4">
        <f t="shared" si="127"/>
        <v>67.5</v>
      </c>
    </row>
    <row r="1448" ht="14.25" spans="1:8">
      <c r="A1448" s="3" t="str">
        <f>"11102104821"</f>
        <v>11102104821</v>
      </c>
      <c r="B1448" s="3">
        <v>1</v>
      </c>
      <c r="C1448" s="3">
        <v>48</v>
      </c>
      <c r="D1448" s="3">
        <v>21</v>
      </c>
      <c r="E1448" s="3" t="s">
        <v>8</v>
      </c>
      <c r="F1448" s="3">
        <v>0</v>
      </c>
      <c r="G1448" s="4"/>
      <c r="H1448" s="3">
        <v>0</v>
      </c>
    </row>
    <row r="1449" ht="14.25" spans="1:8">
      <c r="A1449" s="3" t="str">
        <f>"11102104822"</f>
        <v>11102104822</v>
      </c>
      <c r="B1449" s="3">
        <v>1</v>
      </c>
      <c r="C1449" s="3">
        <v>48</v>
      </c>
      <c r="D1449" s="3">
        <v>22</v>
      </c>
      <c r="E1449" s="3" t="s">
        <v>8</v>
      </c>
      <c r="F1449" s="4">
        <v>77</v>
      </c>
      <c r="G1449" s="4"/>
      <c r="H1449" s="4">
        <f t="shared" ref="H1449:H1456" si="128">F1449+G1449</f>
        <v>77</v>
      </c>
    </row>
    <row r="1450" ht="14.25" spans="1:8">
      <c r="A1450" s="3" t="str">
        <f>"11102104823"</f>
        <v>11102104823</v>
      </c>
      <c r="B1450" s="3">
        <v>1</v>
      </c>
      <c r="C1450" s="3">
        <v>48</v>
      </c>
      <c r="D1450" s="3">
        <v>23</v>
      </c>
      <c r="E1450" s="3" t="s">
        <v>8</v>
      </c>
      <c r="F1450" s="4">
        <v>58</v>
      </c>
      <c r="G1450" s="4"/>
      <c r="H1450" s="4">
        <f t="shared" si="128"/>
        <v>58</v>
      </c>
    </row>
    <row r="1451" ht="14.25" spans="1:8">
      <c r="A1451" s="3" t="str">
        <f>"11102104824"</f>
        <v>11102104824</v>
      </c>
      <c r="B1451" s="3">
        <v>1</v>
      </c>
      <c r="C1451" s="3">
        <v>48</v>
      </c>
      <c r="D1451" s="3">
        <v>24</v>
      </c>
      <c r="E1451" s="3" t="s">
        <v>8</v>
      </c>
      <c r="F1451" s="3">
        <v>0</v>
      </c>
      <c r="G1451" s="4"/>
      <c r="H1451" s="3">
        <v>0</v>
      </c>
    </row>
    <row r="1452" ht="14.25" spans="1:8">
      <c r="A1452" s="3" t="str">
        <f>"11102104825"</f>
        <v>11102104825</v>
      </c>
      <c r="B1452" s="3">
        <v>1</v>
      </c>
      <c r="C1452" s="3">
        <v>48</v>
      </c>
      <c r="D1452" s="3">
        <v>25</v>
      </c>
      <c r="E1452" s="3" t="s">
        <v>8</v>
      </c>
      <c r="F1452" s="3">
        <v>0</v>
      </c>
      <c r="G1452" s="4"/>
      <c r="H1452" s="3">
        <v>0</v>
      </c>
    </row>
    <row r="1453" ht="14.25" spans="1:8">
      <c r="A1453" s="3" t="str">
        <f>"11102104826"</f>
        <v>11102104826</v>
      </c>
      <c r="B1453" s="3">
        <v>1</v>
      </c>
      <c r="C1453" s="3">
        <v>48</v>
      </c>
      <c r="D1453" s="3">
        <v>26</v>
      </c>
      <c r="E1453" s="3" t="s">
        <v>8</v>
      </c>
      <c r="F1453" s="4">
        <v>52.5</v>
      </c>
      <c r="G1453" s="4"/>
      <c r="H1453" s="4">
        <f t="shared" si="128"/>
        <v>52.5</v>
      </c>
    </row>
    <row r="1454" ht="14.25" spans="1:8">
      <c r="A1454" s="3" t="str">
        <f>"11102104827"</f>
        <v>11102104827</v>
      </c>
      <c r="B1454" s="3">
        <v>1</v>
      </c>
      <c r="C1454" s="3">
        <v>48</v>
      </c>
      <c r="D1454" s="3">
        <v>27</v>
      </c>
      <c r="E1454" s="3" t="s">
        <v>8</v>
      </c>
      <c r="F1454" s="4">
        <v>64.5</v>
      </c>
      <c r="G1454" s="4"/>
      <c r="H1454" s="4">
        <f t="shared" si="128"/>
        <v>64.5</v>
      </c>
    </row>
    <row r="1455" ht="14.25" spans="1:8">
      <c r="A1455" s="3" t="str">
        <f>"11102104828"</f>
        <v>11102104828</v>
      </c>
      <c r="B1455" s="3">
        <v>1</v>
      </c>
      <c r="C1455" s="3">
        <v>48</v>
      </c>
      <c r="D1455" s="3">
        <v>28</v>
      </c>
      <c r="E1455" s="3" t="s">
        <v>8</v>
      </c>
      <c r="F1455" s="4">
        <v>81</v>
      </c>
      <c r="G1455" s="4"/>
      <c r="H1455" s="4">
        <f t="shared" si="128"/>
        <v>81</v>
      </c>
    </row>
    <row r="1456" ht="14.25" spans="1:8">
      <c r="A1456" s="3" t="str">
        <f>"11102104829"</f>
        <v>11102104829</v>
      </c>
      <c r="B1456" s="3">
        <v>1</v>
      </c>
      <c r="C1456" s="3">
        <v>48</v>
      </c>
      <c r="D1456" s="3">
        <v>29</v>
      </c>
      <c r="E1456" s="3" t="s">
        <v>8</v>
      </c>
      <c r="F1456" s="4">
        <v>74.5</v>
      </c>
      <c r="G1456" s="4"/>
      <c r="H1456" s="4">
        <f t="shared" si="128"/>
        <v>74.5</v>
      </c>
    </row>
    <row r="1457" ht="14.25" spans="1:8">
      <c r="A1457" s="3" t="str">
        <f>"11102104830"</f>
        <v>11102104830</v>
      </c>
      <c r="B1457" s="3">
        <v>1</v>
      </c>
      <c r="C1457" s="3">
        <v>48</v>
      </c>
      <c r="D1457" s="3">
        <v>30</v>
      </c>
      <c r="E1457" s="3" t="s">
        <v>8</v>
      </c>
      <c r="F1457" s="3">
        <v>0</v>
      </c>
      <c r="G1457" s="4"/>
      <c r="H1457" s="3">
        <v>0</v>
      </c>
    </row>
    <row r="1458" ht="14.25" spans="1:8">
      <c r="A1458" s="3" t="str">
        <f>"11102104901"</f>
        <v>11102104901</v>
      </c>
      <c r="B1458" s="3">
        <v>1</v>
      </c>
      <c r="C1458" s="3">
        <v>49</v>
      </c>
      <c r="D1458" s="3">
        <v>1</v>
      </c>
      <c r="E1458" s="3" t="s">
        <v>8</v>
      </c>
      <c r="F1458" s="3">
        <v>0</v>
      </c>
      <c r="G1458" s="4"/>
      <c r="H1458" s="3">
        <v>0</v>
      </c>
    </row>
    <row r="1459" ht="14.25" spans="1:8">
      <c r="A1459" s="3" t="str">
        <f>"11102104902"</f>
        <v>11102104902</v>
      </c>
      <c r="B1459" s="3">
        <v>1</v>
      </c>
      <c r="C1459" s="3">
        <v>49</v>
      </c>
      <c r="D1459" s="3">
        <v>2</v>
      </c>
      <c r="E1459" s="3" t="s">
        <v>8</v>
      </c>
      <c r="F1459" s="3">
        <v>0</v>
      </c>
      <c r="G1459" s="4"/>
      <c r="H1459" s="3">
        <v>0</v>
      </c>
    </row>
    <row r="1460" ht="14.25" spans="1:8">
      <c r="A1460" s="3" t="str">
        <f>"11102104903"</f>
        <v>11102104903</v>
      </c>
      <c r="B1460" s="3">
        <v>1</v>
      </c>
      <c r="C1460" s="3">
        <v>49</v>
      </c>
      <c r="D1460" s="3">
        <v>3</v>
      </c>
      <c r="E1460" s="3" t="s">
        <v>8</v>
      </c>
      <c r="F1460" s="4">
        <v>66.5</v>
      </c>
      <c r="G1460" s="4"/>
      <c r="H1460" s="4">
        <f t="shared" ref="H1460:H1463" si="129">F1460+G1460</f>
        <v>66.5</v>
      </c>
    </row>
    <row r="1461" ht="14.25" spans="1:8">
      <c r="A1461" s="3" t="str">
        <f>"11102104904"</f>
        <v>11102104904</v>
      </c>
      <c r="B1461" s="3">
        <v>1</v>
      </c>
      <c r="C1461" s="3">
        <v>49</v>
      </c>
      <c r="D1461" s="3">
        <v>4</v>
      </c>
      <c r="E1461" s="3" t="s">
        <v>8</v>
      </c>
      <c r="F1461" s="4">
        <v>64.5</v>
      </c>
      <c r="G1461" s="4"/>
      <c r="H1461" s="4">
        <f t="shared" si="129"/>
        <v>64.5</v>
      </c>
    </row>
    <row r="1462" ht="14.25" spans="1:8">
      <c r="A1462" s="3" t="str">
        <f>"11102104905"</f>
        <v>11102104905</v>
      </c>
      <c r="B1462" s="3">
        <v>1</v>
      </c>
      <c r="C1462" s="3">
        <v>49</v>
      </c>
      <c r="D1462" s="3">
        <v>5</v>
      </c>
      <c r="E1462" s="3" t="s">
        <v>8</v>
      </c>
      <c r="F1462" s="4">
        <v>65</v>
      </c>
      <c r="G1462" s="4"/>
      <c r="H1462" s="4">
        <f t="shared" si="129"/>
        <v>65</v>
      </c>
    </row>
    <row r="1463" ht="14.25" spans="1:8">
      <c r="A1463" s="3" t="str">
        <f>"11102104906"</f>
        <v>11102104906</v>
      </c>
      <c r="B1463" s="3">
        <v>1</v>
      </c>
      <c r="C1463" s="3">
        <v>49</v>
      </c>
      <c r="D1463" s="3">
        <v>6</v>
      </c>
      <c r="E1463" s="3" t="s">
        <v>8</v>
      </c>
      <c r="F1463" s="4">
        <v>80</v>
      </c>
      <c r="G1463" s="4"/>
      <c r="H1463" s="4">
        <f t="shared" si="129"/>
        <v>80</v>
      </c>
    </row>
    <row r="1464" ht="14.25" spans="1:8">
      <c r="A1464" s="3" t="str">
        <f>"11102104907"</f>
        <v>11102104907</v>
      </c>
      <c r="B1464" s="3">
        <v>1</v>
      </c>
      <c r="C1464" s="3">
        <v>49</v>
      </c>
      <c r="D1464" s="3">
        <v>7</v>
      </c>
      <c r="E1464" s="3" t="s">
        <v>8</v>
      </c>
      <c r="F1464" s="3">
        <v>0</v>
      </c>
      <c r="G1464" s="4"/>
      <c r="H1464" s="3">
        <v>0</v>
      </c>
    </row>
    <row r="1465" ht="14.25" spans="1:8">
      <c r="A1465" s="3" t="str">
        <f>"11102104908"</f>
        <v>11102104908</v>
      </c>
      <c r="B1465" s="3">
        <v>1</v>
      </c>
      <c r="C1465" s="3">
        <v>49</v>
      </c>
      <c r="D1465" s="3">
        <v>8</v>
      </c>
      <c r="E1465" s="3" t="s">
        <v>8</v>
      </c>
      <c r="F1465" s="3">
        <v>0</v>
      </c>
      <c r="G1465" s="4"/>
      <c r="H1465" s="3">
        <v>0</v>
      </c>
    </row>
    <row r="1466" ht="14.25" spans="1:8">
      <c r="A1466" s="3" t="str">
        <f>"11102104909"</f>
        <v>11102104909</v>
      </c>
      <c r="B1466" s="3">
        <v>1</v>
      </c>
      <c r="C1466" s="3">
        <v>49</v>
      </c>
      <c r="D1466" s="3">
        <v>9</v>
      </c>
      <c r="E1466" s="3" t="s">
        <v>8</v>
      </c>
      <c r="F1466" s="4">
        <v>83.5</v>
      </c>
      <c r="G1466" s="4"/>
      <c r="H1466" s="4">
        <f t="shared" ref="H1466:H1472" si="130">F1466+G1466</f>
        <v>83.5</v>
      </c>
    </row>
    <row r="1467" ht="14.25" spans="1:8">
      <c r="A1467" s="3" t="str">
        <f>"11102104910"</f>
        <v>11102104910</v>
      </c>
      <c r="B1467" s="3">
        <v>1</v>
      </c>
      <c r="C1467" s="3">
        <v>49</v>
      </c>
      <c r="D1467" s="3">
        <v>10</v>
      </c>
      <c r="E1467" s="3" t="s">
        <v>8</v>
      </c>
      <c r="F1467" s="4">
        <v>77.5</v>
      </c>
      <c r="G1467" s="4"/>
      <c r="H1467" s="4">
        <f t="shared" si="130"/>
        <v>77.5</v>
      </c>
    </row>
    <row r="1468" ht="14.25" spans="1:8">
      <c r="A1468" s="3" t="str">
        <f>"11102104911"</f>
        <v>11102104911</v>
      </c>
      <c r="B1468" s="3">
        <v>1</v>
      </c>
      <c r="C1468" s="3">
        <v>49</v>
      </c>
      <c r="D1468" s="3">
        <v>11</v>
      </c>
      <c r="E1468" s="3" t="s">
        <v>8</v>
      </c>
      <c r="F1468" s="4">
        <v>75.5</v>
      </c>
      <c r="G1468" s="4"/>
      <c r="H1468" s="4">
        <f t="shared" si="130"/>
        <v>75.5</v>
      </c>
    </row>
    <row r="1469" ht="14.25" spans="1:8">
      <c r="A1469" s="3" t="str">
        <f>"11102104912"</f>
        <v>11102104912</v>
      </c>
      <c r="B1469" s="3">
        <v>1</v>
      </c>
      <c r="C1469" s="3">
        <v>49</v>
      </c>
      <c r="D1469" s="3">
        <v>12</v>
      </c>
      <c r="E1469" s="3" t="s">
        <v>8</v>
      </c>
      <c r="F1469" s="4">
        <v>56</v>
      </c>
      <c r="G1469" s="4"/>
      <c r="H1469" s="4">
        <f t="shared" si="130"/>
        <v>56</v>
      </c>
    </row>
    <row r="1470" ht="14.25" spans="1:8">
      <c r="A1470" s="3" t="str">
        <f>"11102104913"</f>
        <v>11102104913</v>
      </c>
      <c r="B1470" s="3">
        <v>1</v>
      </c>
      <c r="C1470" s="3">
        <v>49</v>
      </c>
      <c r="D1470" s="3">
        <v>13</v>
      </c>
      <c r="E1470" s="3" t="s">
        <v>8</v>
      </c>
      <c r="F1470" s="4">
        <v>76.5</v>
      </c>
      <c r="G1470" s="4"/>
      <c r="H1470" s="4">
        <f t="shared" si="130"/>
        <v>76.5</v>
      </c>
    </row>
    <row r="1471" ht="14.25" spans="1:8">
      <c r="A1471" s="3" t="str">
        <f>"11102104914"</f>
        <v>11102104914</v>
      </c>
      <c r="B1471" s="3">
        <v>1</v>
      </c>
      <c r="C1471" s="3">
        <v>49</v>
      </c>
      <c r="D1471" s="3">
        <v>14</v>
      </c>
      <c r="E1471" s="3" t="s">
        <v>8</v>
      </c>
      <c r="F1471" s="4">
        <v>72</v>
      </c>
      <c r="G1471" s="4"/>
      <c r="H1471" s="4">
        <f t="shared" si="130"/>
        <v>72</v>
      </c>
    </row>
    <row r="1472" ht="14.25" spans="1:8">
      <c r="A1472" s="3" t="str">
        <f>"11102104915"</f>
        <v>11102104915</v>
      </c>
      <c r="B1472" s="3">
        <v>1</v>
      </c>
      <c r="C1472" s="3">
        <v>49</v>
      </c>
      <c r="D1472" s="3">
        <v>15</v>
      </c>
      <c r="E1472" s="3" t="s">
        <v>8</v>
      </c>
      <c r="F1472" s="4">
        <v>78</v>
      </c>
      <c r="G1472" s="4"/>
      <c r="H1472" s="4">
        <f t="shared" si="130"/>
        <v>78</v>
      </c>
    </row>
    <row r="1473" ht="14.25" spans="1:8">
      <c r="A1473" s="3" t="str">
        <f>"11102104916"</f>
        <v>11102104916</v>
      </c>
      <c r="B1473" s="3">
        <v>1</v>
      </c>
      <c r="C1473" s="3">
        <v>49</v>
      </c>
      <c r="D1473" s="3">
        <v>16</v>
      </c>
      <c r="E1473" s="3" t="s">
        <v>8</v>
      </c>
      <c r="F1473" s="3">
        <v>0</v>
      </c>
      <c r="G1473" s="4"/>
      <c r="H1473" s="3">
        <v>0</v>
      </c>
    </row>
    <row r="1474" ht="14.25" spans="1:8">
      <c r="A1474" s="3" t="str">
        <f>"11102104917"</f>
        <v>11102104917</v>
      </c>
      <c r="B1474" s="3">
        <v>1</v>
      </c>
      <c r="C1474" s="3">
        <v>49</v>
      </c>
      <c r="D1474" s="3">
        <v>17</v>
      </c>
      <c r="E1474" s="3" t="s">
        <v>8</v>
      </c>
      <c r="F1474" s="4">
        <v>86</v>
      </c>
      <c r="G1474" s="4"/>
      <c r="H1474" s="4">
        <f t="shared" ref="H1474:H1478" si="131">F1474+G1474</f>
        <v>86</v>
      </c>
    </row>
    <row r="1475" ht="14.25" spans="1:8">
      <c r="A1475" s="3" t="str">
        <f>"11102104918"</f>
        <v>11102104918</v>
      </c>
      <c r="B1475" s="3">
        <v>1</v>
      </c>
      <c r="C1475" s="3">
        <v>49</v>
      </c>
      <c r="D1475" s="3">
        <v>18</v>
      </c>
      <c r="E1475" s="3" t="s">
        <v>8</v>
      </c>
      <c r="F1475" s="4">
        <v>59.5</v>
      </c>
      <c r="G1475" s="4"/>
      <c r="H1475" s="4">
        <f t="shared" si="131"/>
        <v>59.5</v>
      </c>
    </row>
    <row r="1476" ht="14.25" spans="1:8">
      <c r="A1476" s="3" t="str">
        <f>"11102104919"</f>
        <v>11102104919</v>
      </c>
      <c r="B1476" s="3">
        <v>1</v>
      </c>
      <c r="C1476" s="3">
        <v>49</v>
      </c>
      <c r="D1476" s="3">
        <v>19</v>
      </c>
      <c r="E1476" s="3" t="s">
        <v>8</v>
      </c>
      <c r="F1476" s="4">
        <v>64.5</v>
      </c>
      <c r="G1476" s="4"/>
      <c r="H1476" s="4">
        <f t="shared" si="131"/>
        <v>64.5</v>
      </c>
    </row>
    <row r="1477" ht="14.25" spans="1:8">
      <c r="A1477" s="3" t="str">
        <f>"11102104920"</f>
        <v>11102104920</v>
      </c>
      <c r="B1477" s="3">
        <v>1</v>
      </c>
      <c r="C1477" s="3">
        <v>49</v>
      </c>
      <c r="D1477" s="3">
        <v>20</v>
      </c>
      <c r="E1477" s="3" t="s">
        <v>8</v>
      </c>
      <c r="F1477" s="4">
        <v>90.5</v>
      </c>
      <c r="G1477" s="4"/>
      <c r="H1477" s="4">
        <f t="shared" si="131"/>
        <v>90.5</v>
      </c>
    </row>
    <row r="1478" ht="14.25" spans="1:8">
      <c r="A1478" s="3" t="str">
        <f>"11102104921"</f>
        <v>11102104921</v>
      </c>
      <c r="B1478" s="3">
        <v>1</v>
      </c>
      <c r="C1478" s="3">
        <v>49</v>
      </c>
      <c r="D1478" s="3">
        <v>21</v>
      </c>
      <c r="E1478" s="3" t="s">
        <v>8</v>
      </c>
      <c r="F1478" s="4">
        <v>81</v>
      </c>
      <c r="G1478" s="4"/>
      <c r="H1478" s="4">
        <f t="shared" si="131"/>
        <v>81</v>
      </c>
    </row>
    <row r="1479" ht="14.25" spans="1:8">
      <c r="A1479" s="3" t="str">
        <f>"11102104922"</f>
        <v>11102104922</v>
      </c>
      <c r="B1479" s="3">
        <v>1</v>
      </c>
      <c r="C1479" s="3">
        <v>49</v>
      </c>
      <c r="D1479" s="3">
        <v>22</v>
      </c>
      <c r="E1479" s="3" t="s">
        <v>8</v>
      </c>
      <c r="F1479" s="3">
        <v>0</v>
      </c>
      <c r="G1479" s="4"/>
      <c r="H1479" s="3">
        <v>0</v>
      </c>
    </row>
    <row r="1480" ht="14.25" spans="1:8">
      <c r="A1480" s="3" t="str">
        <f>"11102104923"</f>
        <v>11102104923</v>
      </c>
      <c r="B1480" s="3">
        <v>1</v>
      </c>
      <c r="C1480" s="3">
        <v>49</v>
      </c>
      <c r="D1480" s="3">
        <v>23</v>
      </c>
      <c r="E1480" s="3" t="s">
        <v>8</v>
      </c>
      <c r="F1480" s="3">
        <v>0</v>
      </c>
      <c r="G1480" s="4"/>
      <c r="H1480" s="3">
        <v>0</v>
      </c>
    </row>
    <row r="1481" ht="14.25" spans="1:8">
      <c r="A1481" s="3" t="str">
        <f>"11102104924"</f>
        <v>11102104924</v>
      </c>
      <c r="B1481" s="3">
        <v>1</v>
      </c>
      <c r="C1481" s="3">
        <v>49</v>
      </c>
      <c r="D1481" s="3">
        <v>24</v>
      </c>
      <c r="E1481" s="3" t="s">
        <v>8</v>
      </c>
      <c r="F1481" s="4">
        <v>62.5</v>
      </c>
      <c r="G1481" s="4"/>
      <c r="H1481" s="4">
        <f t="shared" ref="H1481:H1492" si="132">F1481+G1481</f>
        <v>62.5</v>
      </c>
    </row>
    <row r="1482" ht="14.25" spans="1:8">
      <c r="A1482" s="3" t="str">
        <f>"11102104925"</f>
        <v>11102104925</v>
      </c>
      <c r="B1482" s="3">
        <v>1</v>
      </c>
      <c r="C1482" s="3">
        <v>49</v>
      </c>
      <c r="D1482" s="3">
        <v>25</v>
      </c>
      <c r="E1482" s="3" t="s">
        <v>8</v>
      </c>
      <c r="F1482" s="4">
        <v>73</v>
      </c>
      <c r="G1482" s="4"/>
      <c r="H1482" s="4">
        <f t="shared" si="132"/>
        <v>73</v>
      </c>
    </row>
    <row r="1483" ht="14.25" spans="1:8">
      <c r="A1483" s="3" t="str">
        <f>"11102104926"</f>
        <v>11102104926</v>
      </c>
      <c r="B1483" s="3">
        <v>1</v>
      </c>
      <c r="C1483" s="3">
        <v>49</v>
      </c>
      <c r="D1483" s="3">
        <v>26</v>
      </c>
      <c r="E1483" s="3" t="s">
        <v>8</v>
      </c>
      <c r="F1483" s="4">
        <v>84</v>
      </c>
      <c r="G1483" s="4"/>
      <c r="H1483" s="4">
        <f t="shared" si="132"/>
        <v>84</v>
      </c>
    </row>
    <row r="1484" ht="14.25" spans="1:8">
      <c r="A1484" s="3" t="str">
        <f>"11102104927"</f>
        <v>11102104927</v>
      </c>
      <c r="B1484" s="3">
        <v>1</v>
      </c>
      <c r="C1484" s="3">
        <v>49</v>
      </c>
      <c r="D1484" s="3">
        <v>27</v>
      </c>
      <c r="E1484" s="3" t="s">
        <v>8</v>
      </c>
      <c r="F1484" s="4">
        <v>82</v>
      </c>
      <c r="G1484" s="4"/>
      <c r="H1484" s="4">
        <f t="shared" si="132"/>
        <v>82</v>
      </c>
    </row>
    <row r="1485" ht="14.25" spans="1:8">
      <c r="A1485" s="3" t="str">
        <f>"11102104928"</f>
        <v>11102104928</v>
      </c>
      <c r="B1485" s="3">
        <v>1</v>
      </c>
      <c r="C1485" s="3">
        <v>49</v>
      </c>
      <c r="D1485" s="3">
        <v>28</v>
      </c>
      <c r="E1485" s="3" t="s">
        <v>8</v>
      </c>
      <c r="F1485" s="4">
        <v>84.5</v>
      </c>
      <c r="G1485" s="4"/>
      <c r="H1485" s="4">
        <f t="shared" si="132"/>
        <v>84.5</v>
      </c>
    </row>
    <row r="1486" ht="14.25" spans="1:8">
      <c r="A1486" s="3" t="str">
        <f>"11102104929"</f>
        <v>11102104929</v>
      </c>
      <c r="B1486" s="3">
        <v>1</v>
      </c>
      <c r="C1486" s="3">
        <v>49</v>
      </c>
      <c r="D1486" s="3">
        <v>29</v>
      </c>
      <c r="E1486" s="3" t="s">
        <v>8</v>
      </c>
      <c r="F1486" s="4">
        <v>81.5</v>
      </c>
      <c r="G1486" s="4"/>
      <c r="H1486" s="4">
        <f t="shared" si="132"/>
        <v>81.5</v>
      </c>
    </row>
    <row r="1487" ht="14.25" spans="1:8">
      <c r="A1487" s="3" t="str">
        <f>"11102104930"</f>
        <v>11102104930</v>
      </c>
      <c r="B1487" s="3">
        <v>1</v>
      </c>
      <c r="C1487" s="3">
        <v>49</v>
      </c>
      <c r="D1487" s="3">
        <v>30</v>
      </c>
      <c r="E1487" s="3" t="s">
        <v>8</v>
      </c>
      <c r="F1487" s="4">
        <v>83</v>
      </c>
      <c r="G1487" s="4"/>
      <c r="H1487" s="4">
        <f t="shared" si="132"/>
        <v>83</v>
      </c>
    </row>
    <row r="1488" ht="14.25" spans="1:8">
      <c r="A1488" s="3" t="str">
        <f>"11102105001"</f>
        <v>11102105001</v>
      </c>
      <c r="B1488" s="3">
        <v>1</v>
      </c>
      <c r="C1488" s="3">
        <v>50</v>
      </c>
      <c r="D1488" s="3">
        <v>1</v>
      </c>
      <c r="E1488" s="3" t="s">
        <v>8</v>
      </c>
      <c r="F1488" s="4">
        <v>66</v>
      </c>
      <c r="G1488" s="4"/>
      <c r="H1488" s="4">
        <f t="shared" si="132"/>
        <v>66</v>
      </c>
    </row>
    <row r="1489" ht="14.25" spans="1:8">
      <c r="A1489" s="3" t="str">
        <f>"11102105002"</f>
        <v>11102105002</v>
      </c>
      <c r="B1489" s="3">
        <v>1</v>
      </c>
      <c r="C1489" s="3">
        <v>50</v>
      </c>
      <c r="D1489" s="3">
        <v>2</v>
      </c>
      <c r="E1489" s="3" t="s">
        <v>8</v>
      </c>
      <c r="F1489" s="4">
        <v>75.5</v>
      </c>
      <c r="G1489" s="4"/>
      <c r="H1489" s="4">
        <f t="shared" si="132"/>
        <v>75.5</v>
      </c>
    </row>
    <row r="1490" ht="14.25" spans="1:8">
      <c r="A1490" s="3" t="str">
        <f>"11102105003"</f>
        <v>11102105003</v>
      </c>
      <c r="B1490" s="3">
        <v>1</v>
      </c>
      <c r="C1490" s="3">
        <v>50</v>
      </c>
      <c r="D1490" s="3">
        <v>3</v>
      </c>
      <c r="E1490" s="3" t="s">
        <v>8</v>
      </c>
      <c r="F1490" s="4">
        <v>82</v>
      </c>
      <c r="G1490" s="4"/>
      <c r="H1490" s="4">
        <f t="shared" si="132"/>
        <v>82</v>
      </c>
    </row>
    <row r="1491" ht="14.25" spans="1:8">
      <c r="A1491" s="3" t="str">
        <f>"11102105004"</f>
        <v>11102105004</v>
      </c>
      <c r="B1491" s="3">
        <v>1</v>
      </c>
      <c r="C1491" s="3">
        <v>50</v>
      </c>
      <c r="D1491" s="3">
        <v>4</v>
      </c>
      <c r="E1491" s="3" t="s">
        <v>8</v>
      </c>
      <c r="F1491" s="4">
        <v>70.5</v>
      </c>
      <c r="G1491" s="4"/>
      <c r="H1491" s="4">
        <f t="shared" si="132"/>
        <v>70.5</v>
      </c>
    </row>
    <row r="1492" ht="14.25" spans="1:8">
      <c r="A1492" s="3" t="str">
        <f>"11102105005"</f>
        <v>11102105005</v>
      </c>
      <c r="B1492" s="3">
        <v>1</v>
      </c>
      <c r="C1492" s="3">
        <v>50</v>
      </c>
      <c r="D1492" s="3">
        <v>5</v>
      </c>
      <c r="E1492" s="3" t="s">
        <v>8</v>
      </c>
      <c r="F1492" s="4">
        <v>81.5</v>
      </c>
      <c r="G1492" s="4"/>
      <c r="H1492" s="4">
        <f t="shared" si="132"/>
        <v>81.5</v>
      </c>
    </row>
    <row r="1493" ht="14.25" spans="1:8">
      <c r="A1493" s="3" t="str">
        <f>"11102105006"</f>
        <v>11102105006</v>
      </c>
      <c r="B1493" s="3">
        <v>1</v>
      </c>
      <c r="C1493" s="3">
        <v>50</v>
      </c>
      <c r="D1493" s="3">
        <v>6</v>
      </c>
      <c r="E1493" s="3" t="s">
        <v>8</v>
      </c>
      <c r="F1493" s="3">
        <v>0</v>
      </c>
      <c r="G1493" s="4"/>
      <c r="H1493" s="3">
        <v>0</v>
      </c>
    </row>
    <row r="1494" ht="14.25" spans="1:8">
      <c r="A1494" s="3" t="str">
        <f>"11102105007"</f>
        <v>11102105007</v>
      </c>
      <c r="B1494" s="3">
        <v>1</v>
      </c>
      <c r="C1494" s="3">
        <v>50</v>
      </c>
      <c r="D1494" s="3">
        <v>7</v>
      </c>
      <c r="E1494" s="3" t="s">
        <v>8</v>
      </c>
      <c r="F1494" s="4">
        <v>77.5</v>
      </c>
      <c r="G1494" s="4"/>
      <c r="H1494" s="4">
        <f t="shared" ref="H1494:H1500" si="133">F1494+G1494</f>
        <v>77.5</v>
      </c>
    </row>
    <row r="1495" ht="14.25" spans="1:8">
      <c r="A1495" s="3" t="str">
        <f>"11102105008"</f>
        <v>11102105008</v>
      </c>
      <c r="B1495" s="3">
        <v>1</v>
      </c>
      <c r="C1495" s="3">
        <v>50</v>
      </c>
      <c r="D1495" s="3">
        <v>8</v>
      </c>
      <c r="E1495" s="3" t="s">
        <v>8</v>
      </c>
      <c r="F1495" s="3">
        <v>0</v>
      </c>
      <c r="G1495" s="4"/>
      <c r="H1495" s="3">
        <v>0</v>
      </c>
    </row>
    <row r="1496" ht="14.25" spans="1:8">
      <c r="A1496" s="3" t="str">
        <f>"11102105009"</f>
        <v>11102105009</v>
      </c>
      <c r="B1496" s="3">
        <v>1</v>
      </c>
      <c r="C1496" s="3">
        <v>50</v>
      </c>
      <c r="D1496" s="3">
        <v>9</v>
      </c>
      <c r="E1496" s="3" t="s">
        <v>8</v>
      </c>
      <c r="F1496" s="4">
        <v>89</v>
      </c>
      <c r="G1496" s="4"/>
      <c r="H1496" s="4">
        <f t="shared" si="133"/>
        <v>89</v>
      </c>
    </row>
    <row r="1497" ht="14.25" spans="1:8">
      <c r="A1497" s="3" t="str">
        <f>"11102105010"</f>
        <v>11102105010</v>
      </c>
      <c r="B1497" s="3">
        <v>1</v>
      </c>
      <c r="C1497" s="3">
        <v>50</v>
      </c>
      <c r="D1497" s="3">
        <v>10</v>
      </c>
      <c r="E1497" s="3" t="s">
        <v>8</v>
      </c>
      <c r="F1497" s="4">
        <v>77.5</v>
      </c>
      <c r="G1497" s="4"/>
      <c r="H1497" s="4">
        <f t="shared" si="133"/>
        <v>77.5</v>
      </c>
    </row>
    <row r="1498" ht="14.25" spans="1:8">
      <c r="A1498" s="3" t="str">
        <f>"11102105011"</f>
        <v>11102105011</v>
      </c>
      <c r="B1498" s="3">
        <v>1</v>
      </c>
      <c r="C1498" s="3">
        <v>50</v>
      </c>
      <c r="D1498" s="3">
        <v>11</v>
      </c>
      <c r="E1498" s="3" t="s">
        <v>8</v>
      </c>
      <c r="F1498" s="4">
        <v>83</v>
      </c>
      <c r="G1498" s="4"/>
      <c r="H1498" s="4">
        <f t="shared" si="133"/>
        <v>83</v>
      </c>
    </row>
    <row r="1499" ht="14.25" spans="1:8">
      <c r="A1499" s="3" t="str">
        <f>"11102105012"</f>
        <v>11102105012</v>
      </c>
      <c r="B1499" s="3">
        <v>1</v>
      </c>
      <c r="C1499" s="3">
        <v>50</v>
      </c>
      <c r="D1499" s="3">
        <v>12</v>
      </c>
      <c r="E1499" s="3" t="s">
        <v>8</v>
      </c>
      <c r="F1499" s="4">
        <v>89.5</v>
      </c>
      <c r="G1499" s="4"/>
      <c r="H1499" s="4">
        <f t="shared" si="133"/>
        <v>89.5</v>
      </c>
    </row>
    <row r="1500" ht="14.25" spans="1:8">
      <c r="A1500" s="3" t="str">
        <f>"11102105013"</f>
        <v>11102105013</v>
      </c>
      <c r="B1500" s="3">
        <v>1</v>
      </c>
      <c r="C1500" s="3">
        <v>50</v>
      </c>
      <c r="D1500" s="3">
        <v>13</v>
      </c>
      <c r="E1500" s="3" t="s">
        <v>8</v>
      </c>
      <c r="F1500" s="4">
        <v>72</v>
      </c>
      <c r="G1500" s="4"/>
      <c r="H1500" s="4">
        <f t="shared" si="133"/>
        <v>72</v>
      </c>
    </row>
    <row r="1501" ht="14.25" spans="1:8">
      <c r="A1501" s="3" t="str">
        <f>"11102105014"</f>
        <v>11102105014</v>
      </c>
      <c r="B1501" s="3">
        <v>1</v>
      </c>
      <c r="C1501" s="3">
        <v>50</v>
      </c>
      <c r="D1501" s="3">
        <v>14</v>
      </c>
      <c r="E1501" s="3" t="s">
        <v>8</v>
      </c>
      <c r="F1501" s="3">
        <v>0</v>
      </c>
      <c r="G1501" s="4"/>
      <c r="H1501" s="3">
        <v>0</v>
      </c>
    </row>
    <row r="1502" ht="14.25" spans="1:8">
      <c r="A1502" s="3" t="str">
        <f>"11102105015"</f>
        <v>11102105015</v>
      </c>
      <c r="B1502" s="3">
        <v>1</v>
      </c>
      <c r="C1502" s="3">
        <v>50</v>
      </c>
      <c r="D1502" s="3">
        <v>15</v>
      </c>
      <c r="E1502" s="3" t="s">
        <v>8</v>
      </c>
      <c r="F1502" s="4">
        <v>92</v>
      </c>
      <c r="G1502" s="4"/>
      <c r="H1502" s="4">
        <f t="shared" ref="H1502:H1505" si="134">F1502+G1502</f>
        <v>92</v>
      </c>
    </row>
    <row r="1503" ht="14.25" spans="1:8">
      <c r="A1503" s="3" t="str">
        <f>"11102105016"</f>
        <v>11102105016</v>
      </c>
      <c r="B1503" s="3">
        <v>1</v>
      </c>
      <c r="C1503" s="3">
        <v>50</v>
      </c>
      <c r="D1503" s="3">
        <v>16</v>
      </c>
      <c r="E1503" s="3" t="s">
        <v>8</v>
      </c>
      <c r="F1503" s="3">
        <v>0</v>
      </c>
      <c r="G1503" s="4"/>
      <c r="H1503" s="3">
        <v>0</v>
      </c>
    </row>
    <row r="1504" ht="14.25" spans="1:8">
      <c r="A1504" s="3" t="str">
        <f>"11102105017"</f>
        <v>11102105017</v>
      </c>
      <c r="B1504" s="3">
        <v>1</v>
      </c>
      <c r="C1504" s="3">
        <v>50</v>
      </c>
      <c r="D1504" s="3">
        <v>17</v>
      </c>
      <c r="E1504" s="3" t="s">
        <v>8</v>
      </c>
      <c r="F1504" s="4">
        <v>81</v>
      </c>
      <c r="G1504" s="4"/>
      <c r="H1504" s="4">
        <f t="shared" si="134"/>
        <v>81</v>
      </c>
    </row>
    <row r="1505" ht="14.25" spans="1:8">
      <c r="A1505" s="3" t="str">
        <f>"11102105018"</f>
        <v>11102105018</v>
      </c>
      <c r="B1505" s="3">
        <v>1</v>
      </c>
      <c r="C1505" s="3">
        <v>50</v>
      </c>
      <c r="D1505" s="3">
        <v>18</v>
      </c>
      <c r="E1505" s="3" t="s">
        <v>8</v>
      </c>
      <c r="F1505" s="4">
        <v>71.5</v>
      </c>
      <c r="G1505" s="4"/>
      <c r="H1505" s="4">
        <f t="shared" si="134"/>
        <v>71.5</v>
      </c>
    </row>
    <row r="1506" ht="14.25" spans="1:8">
      <c r="A1506" s="3" t="str">
        <f>"11102105019"</f>
        <v>11102105019</v>
      </c>
      <c r="B1506" s="3">
        <v>1</v>
      </c>
      <c r="C1506" s="3">
        <v>50</v>
      </c>
      <c r="D1506" s="3">
        <v>19</v>
      </c>
      <c r="E1506" s="3" t="s">
        <v>8</v>
      </c>
      <c r="F1506" s="3">
        <v>0</v>
      </c>
      <c r="G1506" s="4"/>
      <c r="H1506" s="3">
        <v>0</v>
      </c>
    </row>
    <row r="1507" ht="14.25" spans="1:8">
      <c r="A1507" s="3" t="str">
        <f>"11102105020"</f>
        <v>11102105020</v>
      </c>
      <c r="B1507" s="3">
        <v>1</v>
      </c>
      <c r="C1507" s="3">
        <v>50</v>
      </c>
      <c r="D1507" s="3">
        <v>20</v>
      </c>
      <c r="E1507" s="3" t="s">
        <v>8</v>
      </c>
      <c r="F1507" s="4">
        <v>83</v>
      </c>
      <c r="G1507" s="4"/>
      <c r="H1507" s="4">
        <f t="shared" ref="H1507:H1513" si="135">F1507+G1507</f>
        <v>83</v>
      </c>
    </row>
    <row r="1508" ht="14.25" spans="1:8">
      <c r="A1508" s="3" t="str">
        <f>"11102105021"</f>
        <v>11102105021</v>
      </c>
      <c r="B1508" s="3">
        <v>1</v>
      </c>
      <c r="C1508" s="3">
        <v>50</v>
      </c>
      <c r="D1508" s="3">
        <v>21</v>
      </c>
      <c r="E1508" s="3" t="s">
        <v>8</v>
      </c>
      <c r="F1508" s="4">
        <v>75.5</v>
      </c>
      <c r="G1508" s="4"/>
      <c r="H1508" s="4">
        <f t="shared" si="135"/>
        <v>75.5</v>
      </c>
    </row>
    <row r="1509" ht="14.25" spans="1:8">
      <c r="A1509" s="3" t="str">
        <f>"11102105022"</f>
        <v>11102105022</v>
      </c>
      <c r="B1509" s="3">
        <v>1</v>
      </c>
      <c r="C1509" s="3">
        <v>50</v>
      </c>
      <c r="D1509" s="3">
        <v>22</v>
      </c>
      <c r="E1509" s="3" t="s">
        <v>8</v>
      </c>
      <c r="F1509" s="4">
        <v>76.5</v>
      </c>
      <c r="G1509" s="4"/>
      <c r="H1509" s="4">
        <f t="shared" si="135"/>
        <v>76.5</v>
      </c>
    </row>
    <row r="1510" ht="14.25" spans="1:8">
      <c r="A1510" s="3" t="str">
        <f>"11102105023"</f>
        <v>11102105023</v>
      </c>
      <c r="B1510" s="3">
        <v>1</v>
      </c>
      <c r="C1510" s="3">
        <v>50</v>
      </c>
      <c r="D1510" s="3">
        <v>23</v>
      </c>
      <c r="E1510" s="3" t="s">
        <v>8</v>
      </c>
      <c r="F1510" s="4">
        <v>48.5</v>
      </c>
      <c r="G1510" s="4"/>
      <c r="H1510" s="4">
        <f t="shared" si="135"/>
        <v>48.5</v>
      </c>
    </row>
    <row r="1511" ht="14.25" spans="1:8">
      <c r="A1511" s="3" t="str">
        <f>"11102105024"</f>
        <v>11102105024</v>
      </c>
      <c r="B1511" s="3">
        <v>1</v>
      </c>
      <c r="C1511" s="3">
        <v>50</v>
      </c>
      <c r="D1511" s="3">
        <v>24</v>
      </c>
      <c r="E1511" s="3" t="s">
        <v>8</v>
      </c>
      <c r="F1511" s="4">
        <v>80.5</v>
      </c>
      <c r="G1511" s="4"/>
      <c r="H1511" s="4">
        <f t="shared" si="135"/>
        <v>80.5</v>
      </c>
    </row>
    <row r="1512" ht="14.25" spans="1:8">
      <c r="A1512" s="3" t="str">
        <f>"11102105025"</f>
        <v>11102105025</v>
      </c>
      <c r="B1512" s="3">
        <v>1</v>
      </c>
      <c r="C1512" s="3">
        <v>50</v>
      </c>
      <c r="D1512" s="3">
        <v>25</v>
      </c>
      <c r="E1512" s="3" t="s">
        <v>8</v>
      </c>
      <c r="F1512" s="4">
        <v>87</v>
      </c>
      <c r="G1512" s="4"/>
      <c r="H1512" s="4">
        <f t="shared" si="135"/>
        <v>87</v>
      </c>
    </row>
    <row r="1513" ht="14.25" spans="1:8">
      <c r="A1513" s="3" t="str">
        <f>"11102105026"</f>
        <v>11102105026</v>
      </c>
      <c r="B1513" s="3">
        <v>1</v>
      </c>
      <c r="C1513" s="3">
        <v>50</v>
      </c>
      <c r="D1513" s="3">
        <v>26</v>
      </c>
      <c r="E1513" s="3" t="s">
        <v>8</v>
      </c>
      <c r="F1513" s="4">
        <v>80.5</v>
      </c>
      <c r="G1513" s="4"/>
      <c r="H1513" s="4">
        <f t="shared" si="135"/>
        <v>80.5</v>
      </c>
    </row>
    <row r="1514" ht="14.25" spans="1:8">
      <c r="A1514" s="3" t="str">
        <f>"11102105027"</f>
        <v>11102105027</v>
      </c>
      <c r="B1514" s="3">
        <v>1</v>
      </c>
      <c r="C1514" s="3">
        <v>50</v>
      </c>
      <c r="D1514" s="3">
        <v>27</v>
      </c>
      <c r="E1514" s="3" t="s">
        <v>8</v>
      </c>
      <c r="F1514" s="3">
        <v>0</v>
      </c>
      <c r="G1514" s="4"/>
      <c r="H1514" s="3">
        <v>0</v>
      </c>
    </row>
    <row r="1515" ht="14.25" spans="1:8">
      <c r="A1515" s="3" t="str">
        <f>"11102105028"</f>
        <v>11102105028</v>
      </c>
      <c r="B1515" s="3">
        <v>1</v>
      </c>
      <c r="C1515" s="3">
        <v>50</v>
      </c>
      <c r="D1515" s="3">
        <v>28</v>
      </c>
      <c r="E1515" s="3" t="s">
        <v>8</v>
      </c>
      <c r="F1515" s="4">
        <v>64</v>
      </c>
      <c r="G1515" s="4"/>
      <c r="H1515" s="4">
        <f t="shared" ref="H1515:H1518" si="136">F1515+G1515</f>
        <v>64</v>
      </c>
    </row>
    <row r="1516" ht="14.25" spans="1:8">
      <c r="A1516" s="3" t="str">
        <f>"11102105029"</f>
        <v>11102105029</v>
      </c>
      <c r="B1516" s="3">
        <v>1</v>
      </c>
      <c r="C1516" s="3">
        <v>50</v>
      </c>
      <c r="D1516" s="3">
        <v>29</v>
      </c>
      <c r="E1516" s="3" t="s">
        <v>8</v>
      </c>
      <c r="F1516" s="4">
        <v>56.5</v>
      </c>
      <c r="G1516" s="4"/>
      <c r="H1516" s="4">
        <f t="shared" si="136"/>
        <v>56.5</v>
      </c>
    </row>
    <row r="1517" ht="14.25" spans="1:8">
      <c r="A1517" s="3" t="str">
        <f>"11102105030"</f>
        <v>11102105030</v>
      </c>
      <c r="B1517" s="3">
        <v>1</v>
      </c>
      <c r="C1517" s="3">
        <v>50</v>
      </c>
      <c r="D1517" s="3">
        <v>30</v>
      </c>
      <c r="E1517" s="3" t="s">
        <v>8</v>
      </c>
      <c r="F1517" s="4">
        <v>80.5</v>
      </c>
      <c r="G1517" s="4"/>
      <c r="H1517" s="4">
        <f t="shared" si="136"/>
        <v>80.5</v>
      </c>
    </row>
    <row r="1518" ht="14.25" spans="1:8">
      <c r="A1518" s="3" t="str">
        <f>"11102105101"</f>
        <v>11102105101</v>
      </c>
      <c r="B1518" s="3">
        <v>1</v>
      </c>
      <c r="C1518" s="3">
        <v>51</v>
      </c>
      <c r="D1518" s="3">
        <v>1</v>
      </c>
      <c r="E1518" s="3" t="s">
        <v>8</v>
      </c>
      <c r="F1518" s="4">
        <v>87</v>
      </c>
      <c r="G1518" s="4"/>
      <c r="H1518" s="4">
        <f t="shared" si="136"/>
        <v>87</v>
      </c>
    </row>
    <row r="1519" ht="14.25" spans="1:8">
      <c r="A1519" s="3" t="str">
        <f>"11102105102"</f>
        <v>11102105102</v>
      </c>
      <c r="B1519" s="3">
        <v>1</v>
      </c>
      <c r="C1519" s="3">
        <v>51</v>
      </c>
      <c r="D1519" s="3">
        <v>2</v>
      </c>
      <c r="E1519" s="3" t="s">
        <v>8</v>
      </c>
      <c r="F1519" s="3">
        <v>0</v>
      </c>
      <c r="G1519" s="4"/>
      <c r="H1519" s="3">
        <v>0</v>
      </c>
    </row>
    <row r="1520" ht="14.25" spans="1:8">
      <c r="A1520" s="3" t="str">
        <f>"11102105103"</f>
        <v>11102105103</v>
      </c>
      <c r="B1520" s="3">
        <v>1</v>
      </c>
      <c r="C1520" s="3">
        <v>51</v>
      </c>
      <c r="D1520" s="3">
        <v>3</v>
      </c>
      <c r="E1520" s="3" t="s">
        <v>8</v>
      </c>
      <c r="F1520" s="4">
        <v>54</v>
      </c>
      <c r="G1520" s="4"/>
      <c r="H1520" s="4">
        <f t="shared" ref="H1520:H1527" si="137">F1520+G1520</f>
        <v>54</v>
      </c>
    </row>
    <row r="1521" ht="14.25" spans="1:8">
      <c r="A1521" s="3" t="str">
        <f>"11102105104"</f>
        <v>11102105104</v>
      </c>
      <c r="B1521" s="3">
        <v>1</v>
      </c>
      <c r="C1521" s="3">
        <v>51</v>
      </c>
      <c r="D1521" s="3">
        <v>4</v>
      </c>
      <c r="E1521" s="3" t="s">
        <v>8</v>
      </c>
      <c r="F1521" s="3">
        <v>0</v>
      </c>
      <c r="G1521" s="4"/>
      <c r="H1521" s="3">
        <v>0</v>
      </c>
    </row>
    <row r="1522" ht="14.25" spans="1:8">
      <c r="A1522" s="3" t="str">
        <f>"11102105105"</f>
        <v>11102105105</v>
      </c>
      <c r="B1522" s="3">
        <v>1</v>
      </c>
      <c r="C1522" s="3">
        <v>51</v>
      </c>
      <c r="D1522" s="3">
        <v>5</v>
      </c>
      <c r="E1522" s="3" t="s">
        <v>8</v>
      </c>
      <c r="F1522" s="3">
        <v>0</v>
      </c>
      <c r="G1522" s="4"/>
      <c r="H1522" s="3">
        <v>0</v>
      </c>
    </row>
    <row r="1523" ht="14.25" spans="1:8">
      <c r="A1523" s="3" t="str">
        <f>"11102105106"</f>
        <v>11102105106</v>
      </c>
      <c r="B1523" s="3">
        <v>1</v>
      </c>
      <c r="C1523" s="3">
        <v>51</v>
      </c>
      <c r="D1523" s="3">
        <v>6</v>
      </c>
      <c r="E1523" s="3" t="s">
        <v>8</v>
      </c>
      <c r="F1523" s="4">
        <v>75.5</v>
      </c>
      <c r="G1523" s="4"/>
      <c r="H1523" s="4">
        <f t="shared" si="137"/>
        <v>75.5</v>
      </c>
    </row>
    <row r="1524" ht="14.25" spans="1:8">
      <c r="A1524" s="3" t="str">
        <f>"11102105107"</f>
        <v>11102105107</v>
      </c>
      <c r="B1524" s="3">
        <v>1</v>
      </c>
      <c r="C1524" s="3">
        <v>51</v>
      </c>
      <c r="D1524" s="3">
        <v>7</v>
      </c>
      <c r="E1524" s="3" t="s">
        <v>8</v>
      </c>
      <c r="F1524" s="4">
        <v>84</v>
      </c>
      <c r="G1524" s="4"/>
      <c r="H1524" s="4">
        <f t="shared" si="137"/>
        <v>84</v>
      </c>
    </row>
    <row r="1525" ht="14.25" spans="1:8">
      <c r="A1525" s="3" t="str">
        <f>"11102105108"</f>
        <v>11102105108</v>
      </c>
      <c r="B1525" s="3">
        <v>1</v>
      </c>
      <c r="C1525" s="3">
        <v>51</v>
      </c>
      <c r="D1525" s="3">
        <v>8</v>
      </c>
      <c r="E1525" s="3" t="s">
        <v>8</v>
      </c>
      <c r="F1525" s="4">
        <v>83</v>
      </c>
      <c r="G1525" s="4"/>
      <c r="H1525" s="4">
        <f t="shared" si="137"/>
        <v>83</v>
      </c>
    </row>
    <row r="1526" ht="14.25" spans="1:8">
      <c r="A1526" s="3" t="str">
        <f>"11102105109"</f>
        <v>11102105109</v>
      </c>
      <c r="B1526" s="3">
        <v>1</v>
      </c>
      <c r="C1526" s="3">
        <v>51</v>
      </c>
      <c r="D1526" s="3">
        <v>9</v>
      </c>
      <c r="E1526" s="3" t="s">
        <v>8</v>
      </c>
      <c r="F1526" s="4">
        <v>82.5</v>
      </c>
      <c r="G1526" s="4"/>
      <c r="H1526" s="4">
        <f t="shared" si="137"/>
        <v>82.5</v>
      </c>
    </row>
    <row r="1527" ht="14.25" spans="1:8">
      <c r="A1527" s="3" t="str">
        <f>"11102105110"</f>
        <v>11102105110</v>
      </c>
      <c r="B1527" s="3">
        <v>1</v>
      </c>
      <c r="C1527" s="3">
        <v>51</v>
      </c>
      <c r="D1527" s="3">
        <v>10</v>
      </c>
      <c r="E1527" s="3" t="s">
        <v>8</v>
      </c>
      <c r="F1527" s="4">
        <v>78.5</v>
      </c>
      <c r="G1527" s="4"/>
      <c r="H1527" s="4">
        <f t="shared" si="137"/>
        <v>78.5</v>
      </c>
    </row>
    <row r="1528" ht="14.25" spans="1:8">
      <c r="A1528" s="3" t="str">
        <f>"11102105111"</f>
        <v>11102105111</v>
      </c>
      <c r="B1528" s="3">
        <v>1</v>
      </c>
      <c r="C1528" s="3">
        <v>51</v>
      </c>
      <c r="D1528" s="3">
        <v>11</v>
      </c>
      <c r="E1528" s="3" t="s">
        <v>8</v>
      </c>
      <c r="F1528" s="3">
        <v>0</v>
      </c>
      <c r="G1528" s="4"/>
      <c r="H1528" s="3">
        <v>0</v>
      </c>
    </row>
    <row r="1529" ht="14.25" spans="1:8">
      <c r="A1529" s="3" t="str">
        <f>"11102105112"</f>
        <v>11102105112</v>
      </c>
      <c r="B1529" s="3">
        <v>1</v>
      </c>
      <c r="C1529" s="3">
        <v>51</v>
      </c>
      <c r="D1529" s="3">
        <v>12</v>
      </c>
      <c r="E1529" s="3" t="s">
        <v>8</v>
      </c>
      <c r="F1529" s="4">
        <v>70.5</v>
      </c>
      <c r="G1529" s="4"/>
      <c r="H1529" s="4">
        <f t="shared" ref="H1529:H1533" si="138">F1529+G1529</f>
        <v>70.5</v>
      </c>
    </row>
    <row r="1530" ht="14.25" spans="1:8">
      <c r="A1530" s="3" t="str">
        <f>"11102105113"</f>
        <v>11102105113</v>
      </c>
      <c r="B1530" s="3">
        <v>1</v>
      </c>
      <c r="C1530" s="3">
        <v>51</v>
      </c>
      <c r="D1530" s="3">
        <v>13</v>
      </c>
      <c r="E1530" s="3" t="s">
        <v>8</v>
      </c>
      <c r="F1530" s="4">
        <v>82</v>
      </c>
      <c r="G1530" s="4"/>
      <c r="H1530" s="4">
        <f t="shared" si="138"/>
        <v>82</v>
      </c>
    </row>
    <row r="1531" ht="14.25" spans="1:8">
      <c r="A1531" s="3" t="str">
        <f>"11102105114"</f>
        <v>11102105114</v>
      </c>
      <c r="B1531" s="3">
        <v>1</v>
      </c>
      <c r="C1531" s="3">
        <v>51</v>
      </c>
      <c r="D1531" s="3">
        <v>14</v>
      </c>
      <c r="E1531" s="3" t="s">
        <v>8</v>
      </c>
      <c r="F1531" s="4">
        <v>82</v>
      </c>
      <c r="G1531" s="4"/>
      <c r="H1531" s="4">
        <f t="shared" si="138"/>
        <v>82</v>
      </c>
    </row>
    <row r="1532" ht="14.25" spans="1:8">
      <c r="A1532" s="3" t="str">
        <f>"11102105115"</f>
        <v>11102105115</v>
      </c>
      <c r="B1532" s="3">
        <v>1</v>
      </c>
      <c r="C1532" s="3">
        <v>51</v>
      </c>
      <c r="D1532" s="3">
        <v>15</v>
      </c>
      <c r="E1532" s="3" t="s">
        <v>8</v>
      </c>
      <c r="F1532" s="4">
        <v>79</v>
      </c>
      <c r="G1532" s="4"/>
      <c r="H1532" s="4">
        <f t="shared" si="138"/>
        <v>79</v>
      </c>
    </row>
    <row r="1533" ht="14.25" spans="1:8">
      <c r="A1533" s="3" t="str">
        <f>"11102105116"</f>
        <v>11102105116</v>
      </c>
      <c r="B1533" s="3">
        <v>1</v>
      </c>
      <c r="C1533" s="3">
        <v>51</v>
      </c>
      <c r="D1533" s="3">
        <v>16</v>
      </c>
      <c r="E1533" s="3" t="s">
        <v>8</v>
      </c>
      <c r="F1533" s="4">
        <v>80</v>
      </c>
      <c r="G1533" s="4"/>
      <c r="H1533" s="4">
        <f t="shared" si="138"/>
        <v>80</v>
      </c>
    </row>
    <row r="1534" ht="14.25" spans="1:8">
      <c r="A1534" s="3" t="str">
        <f>"11102105117"</f>
        <v>11102105117</v>
      </c>
      <c r="B1534" s="3">
        <v>1</v>
      </c>
      <c r="C1534" s="3">
        <v>51</v>
      </c>
      <c r="D1534" s="3">
        <v>17</v>
      </c>
      <c r="E1534" s="3" t="s">
        <v>8</v>
      </c>
      <c r="F1534" s="3">
        <v>0</v>
      </c>
      <c r="G1534" s="4"/>
      <c r="H1534" s="3">
        <v>0</v>
      </c>
    </row>
    <row r="1535" ht="14.25" spans="1:8">
      <c r="A1535" s="3" t="str">
        <f>"11102105118"</f>
        <v>11102105118</v>
      </c>
      <c r="B1535" s="3">
        <v>1</v>
      </c>
      <c r="C1535" s="3">
        <v>51</v>
      </c>
      <c r="D1535" s="3">
        <v>18</v>
      </c>
      <c r="E1535" s="3" t="s">
        <v>8</v>
      </c>
      <c r="F1535" s="4">
        <v>72.5</v>
      </c>
      <c r="G1535" s="4"/>
      <c r="H1535" s="4">
        <f t="shared" ref="H1535:H1542" si="139">F1535+G1535</f>
        <v>72.5</v>
      </c>
    </row>
    <row r="1536" ht="14.25" spans="1:8">
      <c r="A1536" s="3" t="str">
        <f>"11102105119"</f>
        <v>11102105119</v>
      </c>
      <c r="B1536" s="3">
        <v>1</v>
      </c>
      <c r="C1536" s="3">
        <v>51</v>
      </c>
      <c r="D1536" s="3">
        <v>19</v>
      </c>
      <c r="E1536" s="3" t="s">
        <v>8</v>
      </c>
      <c r="F1536" s="4">
        <v>74</v>
      </c>
      <c r="G1536" s="4"/>
      <c r="H1536" s="4">
        <f t="shared" si="139"/>
        <v>74</v>
      </c>
    </row>
    <row r="1537" ht="14.25" spans="1:8">
      <c r="A1537" s="3" t="str">
        <f>"11102105120"</f>
        <v>11102105120</v>
      </c>
      <c r="B1537" s="3">
        <v>1</v>
      </c>
      <c r="C1537" s="3">
        <v>51</v>
      </c>
      <c r="D1537" s="3">
        <v>20</v>
      </c>
      <c r="E1537" s="3" t="s">
        <v>8</v>
      </c>
      <c r="F1537" s="4">
        <v>87.5</v>
      </c>
      <c r="G1537" s="4"/>
      <c r="H1537" s="4">
        <f t="shared" si="139"/>
        <v>87.5</v>
      </c>
    </row>
    <row r="1538" ht="14.25" spans="1:8">
      <c r="A1538" s="3" t="str">
        <f>"11102105121"</f>
        <v>11102105121</v>
      </c>
      <c r="B1538" s="3">
        <v>1</v>
      </c>
      <c r="C1538" s="3">
        <v>51</v>
      </c>
      <c r="D1538" s="3">
        <v>21</v>
      </c>
      <c r="E1538" s="3" t="s">
        <v>8</v>
      </c>
      <c r="F1538" s="4">
        <v>81</v>
      </c>
      <c r="G1538" s="4"/>
      <c r="H1538" s="4">
        <f t="shared" si="139"/>
        <v>81</v>
      </c>
    </row>
    <row r="1539" ht="14.25" spans="1:8">
      <c r="A1539" s="3" t="str">
        <f>"11102105122"</f>
        <v>11102105122</v>
      </c>
      <c r="B1539" s="3">
        <v>1</v>
      </c>
      <c r="C1539" s="3">
        <v>51</v>
      </c>
      <c r="D1539" s="3">
        <v>22</v>
      </c>
      <c r="E1539" s="3" t="s">
        <v>8</v>
      </c>
      <c r="F1539" s="4">
        <v>79</v>
      </c>
      <c r="G1539" s="4"/>
      <c r="H1539" s="4">
        <f t="shared" si="139"/>
        <v>79</v>
      </c>
    </row>
    <row r="1540" ht="14.25" spans="1:8">
      <c r="A1540" s="3" t="str">
        <f>"11102105123"</f>
        <v>11102105123</v>
      </c>
      <c r="B1540" s="3">
        <v>1</v>
      </c>
      <c r="C1540" s="3">
        <v>51</v>
      </c>
      <c r="D1540" s="3">
        <v>23</v>
      </c>
      <c r="E1540" s="3" t="s">
        <v>8</v>
      </c>
      <c r="F1540" s="4">
        <v>79</v>
      </c>
      <c r="G1540" s="4"/>
      <c r="H1540" s="4">
        <f t="shared" si="139"/>
        <v>79</v>
      </c>
    </row>
    <row r="1541" ht="14.25" spans="1:8">
      <c r="A1541" s="3" t="str">
        <f>"11102105124"</f>
        <v>11102105124</v>
      </c>
      <c r="B1541" s="3">
        <v>1</v>
      </c>
      <c r="C1541" s="3">
        <v>51</v>
      </c>
      <c r="D1541" s="3">
        <v>24</v>
      </c>
      <c r="E1541" s="3" t="s">
        <v>8</v>
      </c>
      <c r="F1541" s="4">
        <v>75</v>
      </c>
      <c r="G1541" s="4"/>
      <c r="H1541" s="4">
        <f t="shared" si="139"/>
        <v>75</v>
      </c>
    </row>
    <row r="1542" ht="14.25" spans="1:8">
      <c r="A1542" s="3" t="str">
        <f>"11102105125"</f>
        <v>11102105125</v>
      </c>
      <c r="B1542" s="3">
        <v>1</v>
      </c>
      <c r="C1542" s="3">
        <v>51</v>
      </c>
      <c r="D1542" s="3">
        <v>25</v>
      </c>
      <c r="E1542" s="3" t="s">
        <v>8</v>
      </c>
      <c r="F1542" s="4">
        <v>49.5</v>
      </c>
      <c r="G1542" s="4"/>
      <c r="H1542" s="4">
        <f t="shared" si="139"/>
        <v>49.5</v>
      </c>
    </row>
    <row r="1543" ht="14.25" spans="1:8">
      <c r="A1543" s="3" t="str">
        <f>"11102105126"</f>
        <v>11102105126</v>
      </c>
      <c r="B1543" s="3">
        <v>1</v>
      </c>
      <c r="C1543" s="3">
        <v>51</v>
      </c>
      <c r="D1543" s="3">
        <v>26</v>
      </c>
      <c r="E1543" s="3" t="s">
        <v>8</v>
      </c>
      <c r="F1543" s="3">
        <v>0</v>
      </c>
      <c r="G1543" s="4"/>
      <c r="H1543" s="3">
        <v>0</v>
      </c>
    </row>
    <row r="1544" ht="14.25" spans="1:8">
      <c r="A1544" s="3" t="str">
        <f>"11102105127"</f>
        <v>11102105127</v>
      </c>
      <c r="B1544" s="3">
        <v>1</v>
      </c>
      <c r="C1544" s="3">
        <v>51</v>
      </c>
      <c r="D1544" s="3">
        <v>27</v>
      </c>
      <c r="E1544" s="3" t="s">
        <v>8</v>
      </c>
      <c r="F1544" s="4">
        <v>88.5</v>
      </c>
      <c r="G1544" s="4"/>
      <c r="H1544" s="4">
        <f t="shared" ref="H1544:H1547" si="140">F1544+G1544</f>
        <v>88.5</v>
      </c>
    </row>
    <row r="1545" ht="14.25" spans="1:8">
      <c r="A1545" s="3" t="str">
        <f>"11102105128"</f>
        <v>11102105128</v>
      </c>
      <c r="B1545" s="3">
        <v>1</v>
      </c>
      <c r="C1545" s="3">
        <v>51</v>
      </c>
      <c r="D1545" s="3">
        <v>28</v>
      </c>
      <c r="E1545" s="3" t="s">
        <v>8</v>
      </c>
      <c r="F1545" s="4">
        <v>75.5</v>
      </c>
      <c r="G1545" s="4"/>
      <c r="H1545" s="4">
        <f t="shared" si="140"/>
        <v>75.5</v>
      </c>
    </row>
    <row r="1546" ht="14.25" spans="1:8">
      <c r="A1546" s="3" t="str">
        <f>"11102105129"</f>
        <v>11102105129</v>
      </c>
      <c r="B1546" s="3">
        <v>1</v>
      </c>
      <c r="C1546" s="3">
        <v>51</v>
      </c>
      <c r="D1546" s="3">
        <v>29</v>
      </c>
      <c r="E1546" s="3" t="s">
        <v>8</v>
      </c>
      <c r="F1546" s="4">
        <v>86</v>
      </c>
      <c r="G1546" s="4"/>
      <c r="H1546" s="4">
        <f t="shared" si="140"/>
        <v>86</v>
      </c>
    </row>
    <row r="1547" ht="14.25" spans="1:8">
      <c r="A1547" s="3" t="str">
        <f>"11102105130"</f>
        <v>11102105130</v>
      </c>
      <c r="B1547" s="3">
        <v>1</v>
      </c>
      <c r="C1547" s="3">
        <v>51</v>
      </c>
      <c r="D1547" s="3">
        <v>30</v>
      </c>
      <c r="E1547" s="3" t="s">
        <v>8</v>
      </c>
      <c r="F1547" s="4">
        <v>72</v>
      </c>
      <c r="G1547" s="4"/>
      <c r="H1547" s="4">
        <f t="shared" si="140"/>
        <v>72</v>
      </c>
    </row>
    <row r="1548" ht="14.25" spans="1:8">
      <c r="A1548" s="3" t="str">
        <f>"11102105201"</f>
        <v>11102105201</v>
      </c>
      <c r="B1548" s="3">
        <v>1</v>
      </c>
      <c r="C1548" s="3">
        <v>52</v>
      </c>
      <c r="D1548" s="3">
        <v>1</v>
      </c>
      <c r="E1548" s="3" t="s">
        <v>8</v>
      </c>
      <c r="F1548" s="3">
        <v>0</v>
      </c>
      <c r="G1548" s="4"/>
      <c r="H1548" s="3">
        <v>0</v>
      </c>
    </row>
    <row r="1549" ht="14.25" spans="1:8">
      <c r="A1549" s="3" t="str">
        <f>"11102105202"</f>
        <v>11102105202</v>
      </c>
      <c r="B1549" s="3">
        <v>1</v>
      </c>
      <c r="C1549" s="3">
        <v>52</v>
      </c>
      <c r="D1549" s="3">
        <v>2</v>
      </c>
      <c r="E1549" s="3" t="s">
        <v>8</v>
      </c>
      <c r="F1549" s="4">
        <v>80</v>
      </c>
      <c r="G1549" s="4"/>
      <c r="H1549" s="4">
        <f t="shared" ref="H1549:H1556" si="141">F1549+G1549</f>
        <v>80</v>
      </c>
    </row>
    <row r="1550" ht="14.25" spans="1:8">
      <c r="A1550" s="3" t="str">
        <f>"11102105203"</f>
        <v>11102105203</v>
      </c>
      <c r="B1550" s="3">
        <v>1</v>
      </c>
      <c r="C1550" s="3">
        <v>52</v>
      </c>
      <c r="D1550" s="3">
        <v>3</v>
      </c>
      <c r="E1550" s="3" t="s">
        <v>8</v>
      </c>
      <c r="F1550" s="4">
        <v>90</v>
      </c>
      <c r="G1550" s="4"/>
      <c r="H1550" s="4">
        <f t="shared" si="141"/>
        <v>90</v>
      </c>
    </row>
    <row r="1551" ht="14.25" spans="1:8">
      <c r="A1551" s="3" t="str">
        <f>"11102105204"</f>
        <v>11102105204</v>
      </c>
      <c r="B1551" s="3">
        <v>1</v>
      </c>
      <c r="C1551" s="3">
        <v>52</v>
      </c>
      <c r="D1551" s="3">
        <v>4</v>
      </c>
      <c r="E1551" s="3" t="s">
        <v>8</v>
      </c>
      <c r="F1551" s="4">
        <v>80</v>
      </c>
      <c r="G1551" s="4"/>
      <c r="H1551" s="4">
        <f t="shared" si="141"/>
        <v>80</v>
      </c>
    </row>
    <row r="1552" ht="14.25" spans="1:8">
      <c r="A1552" s="3" t="str">
        <f>"11102105205"</f>
        <v>11102105205</v>
      </c>
      <c r="B1552" s="3">
        <v>1</v>
      </c>
      <c r="C1552" s="3">
        <v>52</v>
      </c>
      <c r="D1552" s="3">
        <v>5</v>
      </c>
      <c r="E1552" s="3" t="s">
        <v>8</v>
      </c>
      <c r="F1552" s="4">
        <v>77</v>
      </c>
      <c r="G1552" s="4"/>
      <c r="H1552" s="4">
        <f t="shared" si="141"/>
        <v>77</v>
      </c>
    </row>
    <row r="1553" ht="14.25" spans="1:8">
      <c r="A1553" s="3" t="str">
        <f>"11102105206"</f>
        <v>11102105206</v>
      </c>
      <c r="B1553" s="3">
        <v>1</v>
      </c>
      <c r="C1553" s="3">
        <v>52</v>
      </c>
      <c r="D1553" s="3">
        <v>6</v>
      </c>
      <c r="E1553" s="3" t="s">
        <v>8</v>
      </c>
      <c r="F1553" s="4">
        <v>74.5</v>
      </c>
      <c r="G1553" s="4"/>
      <c r="H1553" s="4">
        <f t="shared" si="141"/>
        <v>74.5</v>
      </c>
    </row>
    <row r="1554" ht="14.25" spans="1:8">
      <c r="A1554" s="3" t="str">
        <f>"11102105207"</f>
        <v>11102105207</v>
      </c>
      <c r="B1554" s="3">
        <v>1</v>
      </c>
      <c r="C1554" s="3">
        <v>52</v>
      </c>
      <c r="D1554" s="3">
        <v>7</v>
      </c>
      <c r="E1554" s="3" t="s">
        <v>8</v>
      </c>
      <c r="F1554" s="4">
        <v>83</v>
      </c>
      <c r="G1554" s="4"/>
      <c r="H1554" s="4">
        <f t="shared" si="141"/>
        <v>83</v>
      </c>
    </row>
    <row r="1555" ht="14.25" spans="1:8">
      <c r="A1555" s="3" t="str">
        <f>"11102105208"</f>
        <v>11102105208</v>
      </c>
      <c r="B1555" s="3">
        <v>1</v>
      </c>
      <c r="C1555" s="3">
        <v>52</v>
      </c>
      <c r="D1555" s="3">
        <v>8</v>
      </c>
      <c r="E1555" s="3" t="s">
        <v>8</v>
      </c>
      <c r="F1555" s="4">
        <v>82</v>
      </c>
      <c r="G1555" s="4"/>
      <c r="H1555" s="4">
        <f t="shared" si="141"/>
        <v>82</v>
      </c>
    </row>
    <row r="1556" ht="14.25" spans="1:8">
      <c r="A1556" s="3" t="str">
        <f>"11102105209"</f>
        <v>11102105209</v>
      </c>
      <c r="B1556" s="3">
        <v>1</v>
      </c>
      <c r="C1556" s="3">
        <v>52</v>
      </c>
      <c r="D1556" s="3">
        <v>9</v>
      </c>
      <c r="E1556" s="3" t="s">
        <v>8</v>
      </c>
      <c r="F1556" s="4">
        <v>74.5</v>
      </c>
      <c r="G1556" s="4"/>
      <c r="H1556" s="4">
        <f t="shared" si="141"/>
        <v>74.5</v>
      </c>
    </row>
    <row r="1557" ht="14.25" spans="1:8">
      <c r="A1557" s="3" t="str">
        <f>"11102105210"</f>
        <v>11102105210</v>
      </c>
      <c r="B1557" s="3">
        <v>1</v>
      </c>
      <c r="C1557" s="3">
        <v>52</v>
      </c>
      <c r="D1557" s="3">
        <v>10</v>
      </c>
      <c r="E1557" s="3" t="s">
        <v>8</v>
      </c>
      <c r="F1557" s="3">
        <v>0</v>
      </c>
      <c r="G1557" s="4"/>
      <c r="H1557" s="3">
        <v>0</v>
      </c>
    </row>
    <row r="1558" ht="14.25" spans="1:8">
      <c r="A1558" s="3" t="str">
        <f>"11102105211"</f>
        <v>11102105211</v>
      </c>
      <c r="B1558" s="3">
        <v>1</v>
      </c>
      <c r="C1558" s="3">
        <v>52</v>
      </c>
      <c r="D1558" s="3">
        <v>11</v>
      </c>
      <c r="E1558" s="3" t="s">
        <v>8</v>
      </c>
      <c r="F1558" s="4">
        <v>77</v>
      </c>
      <c r="G1558" s="4"/>
      <c r="H1558" s="4">
        <f t="shared" ref="H1558:H1564" si="142">F1558+G1558</f>
        <v>77</v>
      </c>
    </row>
    <row r="1559" ht="14.25" spans="1:8">
      <c r="A1559" s="3" t="str">
        <f>"11102105212"</f>
        <v>11102105212</v>
      </c>
      <c r="B1559" s="3">
        <v>1</v>
      </c>
      <c r="C1559" s="3">
        <v>52</v>
      </c>
      <c r="D1559" s="3">
        <v>12</v>
      </c>
      <c r="E1559" s="3" t="s">
        <v>8</v>
      </c>
      <c r="F1559" s="4">
        <v>77</v>
      </c>
      <c r="G1559" s="4"/>
      <c r="H1559" s="4">
        <f t="shared" si="142"/>
        <v>77</v>
      </c>
    </row>
    <row r="1560" ht="14.25" spans="1:8">
      <c r="A1560" s="3" t="str">
        <f>"11102105213"</f>
        <v>11102105213</v>
      </c>
      <c r="B1560" s="3">
        <v>1</v>
      </c>
      <c r="C1560" s="3">
        <v>52</v>
      </c>
      <c r="D1560" s="3">
        <v>13</v>
      </c>
      <c r="E1560" s="3" t="s">
        <v>8</v>
      </c>
      <c r="F1560" s="3">
        <v>0</v>
      </c>
      <c r="G1560" s="4"/>
      <c r="H1560" s="3">
        <v>0</v>
      </c>
    </row>
    <row r="1561" ht="14.25" spans="1:8">
      <c r="A1561" s="3" t="str">
        <f>"11102105214"</f>
        <v>11102105214</v>
      </c>
      <c r="B1561" s="3">
        <v>1</v>
      </c>
      <c r="C1561" s="3">
        <v>52</v>
      </c>
      <c r="D1561" s="3">
        <v>14</v>
      </c>
      <c r="E1561" s="3" t="s">
        <v>8</v>
      </c>
      <c r="F1561" s="4">
        <v>86</v>
      </c>
      <c r="G1561" s="4"/>
      <c r="H1561" s="4">
        <f t="shared" si="142"/>
        <v>86</v>
      </c>
    </row>
    <row r="1562" ht="14.25" spans="1:8">
      <c r="A1562" s="3" t="str">
        <f>"11102105215"</f>
        <v>11102105215</v>
      </c>
      <c r="B1562" s="3">
        <v>1</v>
      </c>
      <c r="C1562" s="3">
        <v>52</v>
      </c>
      <c r="D1562" s="3">
        <v>15</v>
      </c>
      <c r="E1562" s="3" t="s">
        <v>8</v>
      </c>
      <c r="F1562" s="4">
        <v>70.5</v>
      </c>
      <c r="G1562" s="4"/>
      <c r="H1562" s="4">
        <f t="shared" si="142"/>
        <v>70.5</v>
      </c>
    </row>
    <row r="1563" ht="14.25" spans="1:8">
      <c r="A1563" s="3" t="str">
        <f>"11102105216"</f>
        <v>11102105216</v>
      </c>
      <c r="B1563" s="3">
        <v>1</v>
      </c>
      <c r="C1563" s="3">
        <v>52</v>
      </c>
      <c r="D1563" s="3">
        <v>16</v>
      </c>
      <c r="E1563" s="3" t="s">
        <v>8</v>
      </c>
      <c r="F1563" s="4">
        <v>85</v>
      </c>
      <c r="G1563" s="4"/>
      <c r="H1563" s="4">
        <f t="shared" si="142"/>
        <v>85</v>
      </c>
    </row>
    <row r="1564" ht="14.25" spans="1:8">
      <c r="A1564" s="3" t="str">
        <f>"11102105217"</f>
        <v>11102105217</v>
      </c>
      <c r="B1564" s="3">
        <v>1</v>
      </c>
      <c r="C1564" s="3">
        <v>52</v>
      </c>
      <c r="D1564" s="3">
        <v>17</v>
      </c>
      <c r="E1564" s="3" t="s">
        <v>8</v>
      </c>
      <c r="F1564" s="4">
        <v>79</v>
      </c>
      <c r="G1564" s="4"/>
      <c r="H1564" s="4">
        <f t="shared" si="142"/>
        <v>79</v>
      </c>
    </row>
    <row r="1565" ht="14.25" spans="1:8">
      <c r="A1565" s="3" t="str">
        <f>"11102105218"</f>
        <v>11102105218</v>
      </c>
      <c r="B1565" s="3">
        <v>1</v>
      </c>
      <c r="C1565" s="3">
        <v>52</v>
      </c>
      <c r="D1565" s="3">
        <v>18</v>
      </c>
      <c r="E1565" s="3" t="s">
        <v>8</v>
      </c>
      <c r="F1565" s="3">
        <v>0</v>
      </c>
      <c r="G1565" s="4"/>
      <c r="H1565" s="3">
        <v>0</v>
      </c>
    </row>
    <row r="1566" ht="14.25" spans="1:8">
      <c r="A1566" s="3" t="str">
        <f>"11102105219"</f>
        <v>11102105219</v>
      </c>
      <c r="B1566" s="3">
        <v>1</v>
      </c>
      <c r="C1566" s="3">
        <v>52</v>
      </c>
      <c r="D1566" s="3">
        <v>19</v>
      </c>
      <c r="E1566" s="3" t="s">
        <v>8</v>
      </c>
      <c r="F1566" s="4">
        <v>83</v>
      </c>
      <c r="G1566" s="4"/>
      <c r="H1566" s="4">
        <f t="shared" ref="H1566:H1569" si="143">F1566+G1566</f>
        <v>83</v>
      </c>
    </row>
    <row r="1567" ht="14.25" spans="1:8">
      <c r="A1567" s="3" t="str">
        <f>"11102105220"</f>
        <v>11102105220</v>
      </c>
      <c r="B1567" s="3">
        <v>1</v>
      </c>
      <c r="C1567" s="3">
        <v>52</v>
      </c>
      <c r="D1567" s="3">
        <v>20</v>
      </c>
      <c r="E1567" s="3" t="s">
        <v>8</v>
      </c>
      <c r="F1567" s="4">
        <v>80</v>
      </c>
      <c r="G1567" s="4"/>
      <c r="H1567" s="4">
        <f t="shared" si="143"/>
        <v>80</v>
      </c>
    </row>
    <row r="1568" ht="14.25" spans="1:8">
      <c r="A1568" s="3" t="str">
        <f>"11102105221"</f>
        <v>11102105221</v>
      </c>
      <c r="B1568" s="3">
        <v>1</v>
      </c>
      <c r="C1568" s="3">
        <v>52</v>
      </c>
      <c r="D1568" s="3">
        <v>21</v>
      </c>
      <c r="E1568" s="3" t="s">
        <v>8</v>
      </c>
      <c r="F1568" s="4">
        <v>84.5</v>
      </c>
      <c r="G1568" s="4"/>
      <c r="H1568" s="4">
        <f t="shared" si="143"/>
        <v>84.5</v>
      </c>
    </row>
    <row r="1569" ht="14.25" spans="1:8">
      <c r="A1569" s="3" t="str">
        <f>"11102105222"</f>
        <v>11102105222</v>
      </c>
      <c r="B1569" s="3">
        <v>1</v>
      </c>
      <c r="C1569" s="3">
        <v>52</v>
      </c>
      <c r="D1569" s="3">
        <v>22</v>
      </c>
      <c r="E1569" s="3" t="s">
        <v>8</v>
      </c>
      <c r="F1569" s="4">
        <v>70.5</v>
      </c>
      <c r="G1569" s="4"/>
      <c r="H1569" s="4">
        <f t="shared" si="143"/>
        <v>70.5</v>
      </c>
    </row>
    <row r="1570" ht="14.25" spans="1:8">
      <c r="A1570" s="3" t="str">
        <f>"11102105223"</f>
        <v>11102105223</v>
      </c>
      <c r="B1570" s="3">
        <v>1</v>
      </c>
      <c r="C1570" s="3">
        <v>52</v>
      </c>
      <c r="D1570" s="3">
        <v>23</v>
      </c>
      <c r="E1570" s="3" t="s">
        <v>8</v>
      </c>
      <c r="F1570" s="3">
        <v>0</v>
      </c>
      <c r="G1570" s="4"/>
      <c r="H1570" s="3">
        <v>0</v>
      </c>
    </row>
    <row r="1571" ht="14.25" spans="1:8">
      <c r="A1571" s="3" t="str">
        <f>"11102105224"</f>
        <v>11102105224</v>
      </c>
      <c r="B1571" s="3">
        <v>1</v>
      </c>
      <c r="C1571" s="3">
        <v>52</v>
      </c>
      <c r="D1571" s="3">
        <v>24</v>
      </c>
      <c r="E1571" s="3" t="s">
        <v>8</v>
      </c>
      <c r="F1571" s="4">
        <v>67</v>
      </c>
      <c r="G1571" s="4"/>
      <c r="H1571" s="4">
        <f>F1571+G1571</f>
        <v>67</v>
      </c>
    </row>
    <row r="1572" ht="14.25" spans="1:8">
      <c r="A1572" s="3" t="str">
        <f>"11102105225"</f>
        <v>11102105225</v>
      </c>
      <c r="B1572" s="3">
        <v>1</v>
      </c>
      <c r="C1572" s="3">
        <v>52</v>
      </c>
      <c r="D1572" s="3">
        <v>25</v>
      </c>
      <c r="E1572" s="3" t="s">
        <v>8</v>
      </c>
      <c r="F1572" s="3">
        <v>0</v>
      </c>
      <c r="G1572" s="4"/>
      <c r="H1572" s="3">
        <v>0</v>
      </c>
    </row>
    <row r="1573" ht="14.25" spans="1:8">
      <c r="A1573" s="3" t="str">
        <f>"11102105226"</f>
        <v>11102105226</v>
      </c>
      <c r="B1573" s="3">
        <v>1</v>
      </c>
      <c r="C1573" s="3">
        <v>52</v>
      </c>
      <c r="D1573" s="3">
        <v>26</v>
      </c>
      <c r="E1573" s="3" t="s">
        <v>8</v>
      </c>
      <c r="F1573" s="3">
        <v>0</v>
      </c>
      <c r="G1573" s="4"/>
      <c r="H1573" s="3">
        <v>0</v>
      </c>
    </row>
    <row r="1574" ht="14.25" spans="1:8">
      <c r="A1574" s="3" t="str">
        <f>"11102105227"</f>
        <v>11102105227</v>
      </c>
      <c r="B1574" s="3">
        <v>1</v>
      </c>
      <c r="C1574" s="3">
        <v>52</v>
      </c>
      <c r="D1574" s="3">
        <v>27</v>
      </c>
      <c r="E1574" s="3" t="s">
        <v>8</v>
      </c>
      <c r="F1574" s="3">
        <v>0</v>
      </c>
      <c r="G1574" s="4"/>
      <c r="H1574" s="3">
        <v>0</v>
      </c>
    </row>
    <row r="1575" ht="14.25" spans="1:8">
      <c r="A1575" s="3" t="str">
        <f>"11102105228"</f>
        <v>11102105228</v>
      </c>
      <c r="B1575" s="3">
        <v>1</v>
      </c>
      <c r="C1575" s="3">
        <v>52</v>
      </c>
      <c r="D1575" s="3">
        <v>28</v>
      </c>
      <c r="E1575" s="3" t="s">
        <v>8</v>
      </c>
      <c r="F1575" s="4">
        <v>85.5</v>
      </c>
      <c r="G1575" s="4"/>
      <c r="H1575" s="4">
        <f t="shared" ref="H1575:H1586" si="144">F1575+G1575</f>
        <v>85.5</v>
      </c>
    </row>
    <row r="1576" ht="14.25" spans="1:8">
      <c r="A1576" s="3" t="str">
        <f>"11102105229"</f>
        <v>11102105229</v>
      </c>
      <c r="B1576" s="3">
        <v>1</v>
      </c>
      <c r="C1576" s="3">
        <v>52</v>
      </c>
      <c r="D1576" s="3">
        <v>29</v>
      </c>
      <c r="E1576" s="3" t="s">
        <v>8</v>
      </c>
      <c r="F1576" s="3">
        <v>0</v>
      </c>
      <c r="G1576" s="4"/>
      <c r="H1576" s="3">
        <v>0</v>
      </c>
    </row>
    <row r="1577" ht="14.25" spans="1:8">
      <c r="A1577" s="3" t="str">
        <f>"11102105230"</f>
        <v>11102105230</v>
      </c>
      <c r="B1577" s="3">
        <v>1</v>
      </c>
      <c r="C1577" s="3">
        <v>52</v>
      </c>
      <c r="D1577" s="3">
        <v>30</v>
      </c>
      <c r="E1577" s="3" t="s">
        <v>8</v>
      </c>
      <c r="F1577" s="4">
        <v>84.5</v>
      </c>
      <c r="G1577" s="4"/>
      <c r="H1577" s="4">
        <f t="shared" si="144"/>
        <v>84.5</v>
      </c>
    </row>
    <row r="1578" ht="14.25" spans="1:8">
      <c r="A1578" s="3" t="str">
        <f>"11102105301"</f>
        <v>11102105301</v>
      </c>
      <c r="B1578" s="3">
        <v>1</v>
      </c>
      <c r="C1578" s="3">
        <v>53</v>
      </c>
      <c r="D1578" s="3">
        <v>1</v>
      </c>
      <c r="E1578" s="3" t="s">
        <v>8</v>
      </c>
      <c r="F1578" s="4">
        <v>73.5</v>
      </c>
      <c r="G1578" s="4"/>
      <c r="H1578" s="4">
        <f t="shared" si="144"/>
        <v>73.5</v>
      </c>
    </row>
    <row r="1579" ht="14.25" spans="1:8">
      <c r="A1579" s="3" t="str">
        <f>"11102105302"</f>
        <v>11102105302</v>
      </c>
      <c r="B1579" s="3">
        <v>1</v>
      </c>
      <c r="C1579" s="3">
        <v>53</v>
      </c>
      <c r="D1579" s="3">
        <v>2</v>
      </c>
      <c r="E1579" s="3" t="s">
        <v>8</v>
      </c>
      <c r="F1579" s="4">
        <v>57.5</v>
      </c>
      <c r="G1579" s="4"/>
      <c r="H1579" s="4">
        <f t="shared" si="144"/>
        <v>57.5</v>
      </c>
    </row>
    <row r="1580" ht="14.25" spans="1:8">
      <c r="A1580" s="3" t="str">
        <f>"11102105303"</f>
        <v>11102105303</v>
      </c>
      <c r="B1580" s="3">
        <v>1</v>
      </c>
      <c r="C1580" s="3">
        <v>53</v>
      </c>
      <c r="D1580" s="3">
        <v>3</v>
      </c>
      <c r="E1580" s="3" t="s">
        <v>8</v>
      </c>
      <c r="F1580" s="4">
        <v>89.5</v>
      </c>
      <c r="G1580" s="4"/>
      <c r="H1580" s="4">
        <f t="shared" si="144"/>
        <v>89.5</v>
      </c>
    </row>
    <row r="1581" ht="14.25" spans="1:8">
      <c r="A1581" s="3" t="str">
        <f>"11102105304"</f>
        <v>11102105304</v>
      </c>
      <c r="B1581" s="3">
        <v>1</v>
      </c>
      <c r="C1581" s="3">
        <v>53</v>
      </c>
      <c r="D1581" s="3">
        <v>4</v>
      </c>
      <c r="E1581" s="3" t="s">
        <v>8</v>
      </c>
      <c r="F1581" s="4">
        <v>80</v>
      </c>
      <c r="G1581" s="4"/>
      <c r="H1581" s="4">
        <f t="shared" si="144"/>
        <v>80</v>
      </c>
    </row>
    <row r="1582" ht="14.25" spans="1:8">
      <c r="A1582" s="3" t="str">
        <f>"11102105305"</f>
        <v>11102105305</v>
      </c>
      <c r="B1582" s="3">
        <v>1</v>
      </c>
      <c r="C1582" s="3">
        <v>53</v>
      </c>
      <c r="D1582" s="3">
        <v>5</v>
      </c>
      <c r="E1582" s="3" t="s">
        <v>8</v>
      </c>
      <c r="F1582" s="4">
        <v>82.5</v>
      </c>
      <c r="G1582" s="4"/>
      <c r="H1582" s="4">
        <f t="shared" si="144"/>
        <v>82.5</v>
      </c>
    </row>
    <row r="1583" ht="14.25" spans="1:8">
      <c r="A1583" s="3" t="str">
        <f>"11102105306"</f>
        <v>11102105306</v>
      </c>
      <c r="B1583" s="3">
        <v>1</v>
      </c>
      <c r="C1583" s="3">
        <v>53</v>
      </c>
      <c r="D1583" s="3">
        <v>6</v>
      </c>
      <c r="E1583" s="3" t="s">
        <v>8</v>
      </c>
      <c r="F1583" s="4">
        <v>60</v>
      </c>
      <c r="G1583" s="4"/>
      <c r="H1583" s="4">
        <f t="shared" si="144"/>
        <v>60</v>
      </c>
    </row>
    <row r="1584" ht="14.25" spans="1:8">
      <c r="A1584" s="3" t="str">
        <f>"11102105307"</f>
        <v>11102105307</v>
      </c>
      <c r="B1584" s="3">
        <v>1</v>
      </c>
      <c r="C1584" s="3">
        <v>53</v>
      </c>
      <c r="D1584" s="3">
        <v>7</v>
      </c>
      <c r="E1584" s="3" t="s">
        <v>8</v>
      </c>
      <c r="F1584" s="4">
        <v>75</v>
      </c>
      <c r="G1584" s="4"/>
      <c r="H1584" s="4">
        <f t="shared" si="144"/>
        <v>75</v>
      </c>
    </row>
    <row r="1585" ht="14.25" spans="1:8">
      <c r="A1585" s="3" t="str">
        <f>"11102105308"</f>
        <v>11102105308</v>
      </c>
      <c r="B1585" s="3">
        <v>1</v>
      </c>
      <c r="C1585" s="3">
        <v>53</v>
      </c>
      <c r="D1585" s="3">
        <v>8</v>
      </c>
      <c r="E1585" s="3" t="s">
        <v>8</v>
      </c>
      <c r="F1585" s="4">
        <v>83.5</v>
      </c>
      <c r="G1585" s="4"/>
      <c r="H1585" s="4">
        <f t="shared" si="144"/>
        <v>83.5</v>
      </c>
    </row>
    <row r="1586" ht="14.25" spans="1:8">
      <c r="A1586" s="3" t="str">
        <f>"11102105309"</f>
        <v>11102105309</v>
      </c>
      <c r="B1586" s="3">
        <v>1</v>
      </c>
      <c r="C1586" s="3">
        <v>53</v>
      </c>
      <c r="D1586" s="3">
        <v>9</v>
      </c>
      <c r="E1586" s="3" t="s">
        <v>8</v>
      </c>
      <c r="F1586" s="4">
        <v>86</v>
      </c>
      <c r="G1586" s="4"/>
      <c r="H1586" s="4">
        <f t="shared" si="144"/>
        <v>86</v>
      </c>
    </row>
    <row r="1587" ht="14.25" spans="1:8">
      <c r="A1587" s="3" t="str">
        <f>"11102105310"</f>
        <v>11102105310</v>
      </c>
      <c r="B1587" s="3">
        <v>1</v>
      </c>
      <c r="C1587" s="3">
        <v>53</v>
      </c>
      <c r="D1587" s="3">
        <v>10</v>
      </c>
      <c r="E1587" s="3" t="s">
        <v>8</v>
      </c>
      <c r="F1587" s="3">
        <v>0</v>
      </c>
      <c r="G1587" s="4"/>
      <c r="H1587" s="3">
        <v>0</v>
      </c>
    </row>
    <row r="1588" ht="14.25" spans="1:8">
      <c r="A1588" s="3" t="str">
        <f>"11102105311"</f>
        <v>11102105311</v>
      </c>
      <c r="B1588" s="3">
        <v>1</v>
      </c>
      <c r="C1588" s="3">
        <v>53</v>
      </c>
      <c r="D1588" s="3">
        <v>11</v>
      </c>
      <c r="E1588" s="3" t="s">
        <v>8</v>
      </c>
      <c r="F1588" s="4">
        <v>73.5</v>
      </c>
      <c r="G1588" s="4"/>
      <c r="H1588" s="4">
        <f t="shared" ref="H1588:H1600" si="145">F1588+G1588</f>
        <v>73.5</v>
      </c>
    </row>
    <row r="1589" ht="14.25" spans="1:8">
      <c r="A1589" s="3" t="str">
        <f>"11102105312"</f>
        <v>11102105312</v>
      </c>
      <c r="B1589" s="3">
        <v>1</v>
      </c>
      <c r="C1589" s="3">
        <v>53</v>
      </c>
      <c r="D1589" s="3">
        <v>12</v>
      </c>
      <c r="E1589" s="3" t="s">
        <v>8</v>
      </c>
      <c r="F1589" s="4">
        <v>77.5</v>
      </c>
      <c r="G1589" s="4"/>
      <c r="H1589" s="4">
        <f t="shared" si="145"/>
        <v>77.5</v>
      </c>
    </row>
    <row r="1590" ht="14.25" spans="1:8">
      <c r="A1590" s="3" t="str">
        <f>"11102105313"</f>
        <v>11102105313</v>
      </c>
      <c r="B1590" s="3">
        <v>1</v>
      </c>
      <c r="C1590" s="3">
        <v>53</v>
      </c>
      <c r="D1590" s="3">
        <v>13</v>
      </c>
      <c r="E1590" s="3" t="s">
        <v>8</v>
      </c>
      <c r="F1590" s="4">
        <v>84</v>
      </c>
      <c r="G1590" s="4"/>
      <c r="H1590" s="4">
        <f t="shared" si="145"/>
        <v>84</v>
      </c>
    </row>
    <row r="1591" ht="14.25" spans="1:8">
      <c r="A1591" s="3" t="str">
        <f>"11102105314"</f>
        <v>11102105314</v>
      </c>
      <c r="B1591" s="3">
        <v>1</v>
      </c>
      <c r="C1591" s="3">
        <v>53</v>
      </c>
      <c r="D1591" s="3">
        <v>14</v>
      </c>
      <c r="E1591" s="3" t="s">
        <v>8</v>
      </c>
      <c r="F1591" s="4">
        <v>70</v>
      </c>
      <c r="G1591" s="4"/>
      <c r="H1591" s="4">
        <f t="shared" si="145"/>
        <v>70</v>
      </c>
    </row>
    <row r="1592" ht="14.25" spans="1:8">
      <c r="A1592" s="3" t="str">
        <f>"11102105315"</f>
        <v>11102105315</v>
      </c>
      <c r="B1592" s="3">
        <v>1</v>
      </c>
      <c r="C1592" s="3">
        <v>53</v>
      </c>
      <c r="D1592" s="3">
        <v>15</v>
      </c>
      <c r="E1592" s="3" t="s">
        <v>8</v>
      </c>
      <c r="F1592" s="4">
        <v>59.5</v>
      </c>
      <c r="G1592" s="4"/>
      <c r="H1592" s="4">
        <f t="shared" si="145"/>
        <v>59.5</v>
      </c>
    </row>
    <row r="1593" ht="14.25" spans="1:8">
      <c r="A1593" s="3" t="str">
        <f>"11102105316"</f>
        <v>11102105316</v>
      </c>
      <c r="B1593" s="3">
        <v>1</v>
      </c>
      <c r="C1593" s="3">
        <v>53</v>
      </c>
      <c r="D1593" s="3">
        <v>16</v>
      </c>
      <c r="E1593" s="3" t="s">
        <v>8</v>
      </c>
      <c r="F1593" s="4">
        <v>74</v>
      </c>
      <c r="G1593" s="4"/>
      <c r="H1593" s="4">
        <f t="shared" si="145"/>
        <v>74</v>
      </c>
    </row>
    <row r="1594" ht="14.25" spans="1:8">
      <c r="A1594" s="3" t="str">
        <f>"11102105317"</f>
        <v>11102105317</v>
      </c>
      <c r="B1594" s="3">
        <v>1</v>
      </c>
      <c r="C1594" s="3">
        <v>53</v>
      </c>
      <c r="D1594" s="3">
        <v>17</v>
      </c>
      <c r="E1594" s="3" t="s">
        <v>8</v>
      </c>
      <c r="F1594" s="4">
        <v>73</v>
      </c>
      <c r="G1594" s="4"/>
      <c r="H1594" s="4">
        <f t="shared" si="145"/>
        <v>73</v>
      </c>
    </row>
    <row r="1595" ht="14.25" spans="1:8">
      <c r="A1595" s="3" t="str">
        <f>"11102105318"</f>
        <v>11102105318</v>
      </c>
      <c r="B1595" s="3">
        <v>1</v>
      </c>
      <c r="C1595" s="3">
        <v>53</v>
      </c>
      <c r="D1595" s="3">
        <v>18</v>
      </c>
      <c r="E1595" s="3" t="s">
        <v>8</v>
      </c>
      <c r="F1595" s="4">
        <v>70</v>
      </c>
      <c r="G1595" s="4"/>
      <c r="H1595" s="4">
        <f t="shared" si="145"/>
        <v>70</v>
      </c>
    </row>
    <row r="1596" ht="14.25" spans="1:8">
      <c r="A1596" s="3" t="str">
        <f>"11102105319"</f>
        <v>11102105319</v>
      </c>
      <c r="B1596" s="3">
        <v>1</v>
      </c>
      <c r="C1596" s="3">
        <v>53</v>
      </c>
      <c r="D1596" s="3">
        <v>19</v>
      </c>
      <c r="E1596" s="3" t="s">
        <v>8</v>
      </c>
      <c r="F1596" s="4">
        <v>81</v>
      </c>
      <c r="G1596" s="4"/>
      <c r="H1596" s="4">
        <f t="shared" si="145"/>
        <v>81</v>
      </c>
    </row>
    <row r="1597" ht="14.25" spans="1:8">
      <c r="A1597" s="3" t="str">
        <f>"11102105320"</f>
        <v>11102105320</v>
      </c>
      <c r="B1597" s="3">
        <v>1</v>
      </c>
      <c r="C1597" s="3">
        <v>53</v>
      </c>
      <c r="D1597" s="3">
        <v>20</v>
      </c>
      <c r="E1597" s="3" t="s">
        <v>8</v>
      </c>
      <c r="F1597" s="4">
        <v>84</v>
      </c>
      <c r="G1597" s="4"/>
      <c r="H1597" s="4">
        <f t="shared" si="145"/>
        <v>84</v>
      </c>
    </row>
    <row r="1598" ht="14.25" spans="1:8">
      <c r="A1598" s="3" t="str">
        <f>"11102105321"</f>
        <v>11102105321</v>
      </c>
      <c r="B1598" s="3">
        <v>1</v>
      </c>
      <c r="C1598" s="3">
        <v>53</v>
      </c>
      <c r="D1598" s="3">
        <v>21</v>
      </c>
      <c r="E1598" s="3" t="s">
        <v>8</v>
      </c>
      <c r="F1598" s="4">
        <v>76.5</v>
      </c>
      <c r="G1598" s="4"/>
      <c r="H1598" s="4">
        <f t="shared" si="145"/>
        <v>76.5</v>
      </c>
    </row>
    <row r="1599" ht="14.25" spans="1:8">
      <c r="A1599" s="3" t="str">
        <f>"11102105322"</f>
        <v>11102105322</v>
      </c>
      <c r="B1599" s="3">
        <v>1</v>
      </c>
      <c r="C1599" s="3">
        <v>53</v>
      </c>
      <c r="D1599" s="3">
        <v>22</v>
      </c>
      <c r="E1599" s="3" t="s">
        <v>8</v>
      </c>
      <c r="F1599" s="4">
        <v>76.5</v>
      </c>
      <c r="G1599" s="4"/>
      <c r="H1599" s="4">
        <f t="shared" si="145"/>
        <v>76.5</v>
      </c>
    </row>
    <row r="1600" ht="14.25" spans="1:8">
      <c r="A1600" s="3" t="str">
        <f>"11102105323"</f>
        <v>11102105323</v>
      </c>
      <c r="B1600" s="3">
        <v>1</v>
      </c>
      <c r="C1600" s="3">
        <v>53</v>
      </c>
      <c r="D1600" s="3">
        <v>23</v>
      </c>
      <c r="E1600" s="3" t="s">
        <v>8</v>
      </c>
      <c r="F1600" s="4">
        <v>75.5</v>
      </c>
      <c r="G1600" s="4"/>
      <c r="H1600" s="4">
        <f t="shared" si="145"/>
        <v>75.5</v>
      </c>
    </row>
    <row r="1601" ht="14.25" spans="1:8">
      <c r="A1601" s="3" t="str">
        <f>"11102105324"</f>
        <v>11102105324</v>
      </c>
      <c r="B1601" s="3">
        <v>1</v>
      </c>
      <c r="C1601" s="3">
        <v>53</v>
      </c>
      <c r="D1601" s="3">
        <v>24</v>
      </c>
      <c r="E1601" s="3" t="s">
        <v>8</v>
      </c>
      <c r="F1601" s="3">
        <v>0</v>
      </c>
      <c r="G1601" s="4"/>
      <c r="H1601" s="3">
        <v>0</v>
      </c>
    </row>
    <row r="1602" ht="14.25" spans="1:8">
      <c r="A1602" s="3" t="str">
        <f>"11102105325"</f>
        <v>11102105325</v>
      </c>
      <c r="B1602" s="3">
        <v>1</v>
      </c>
      <c r="C1602" s="3">
        <v>53</v>
      </c>
      <c r="D1602" s="3">
        <v>25</v>
      </c>
      <c r="E1602" s="3" t="s">
        <v>8</v>
      </c>
      <c r="F1602" s="4">
        <v>76</v>
      </c>
      <c r="G1602" s="4"/>
      <c r="H1602" s="4">
        <f t="shared" ref="H1602:H1606" si="146">F1602+G1602</f>
        <v>76</v>
      </c>
    </row>
    <row r="1603" ht="14.25" spans="1:8">
      <c r="A1603" s="3" t="str">
        <f>"11102105326"</f>
        <v>11102105326</v>
      </c>
      <c r="B1603" s="3">
        <v>1</v>
      </c>
      <c r="C1603" s="3">
        <v>53</v>
      </c>
      <c r="D1603" s="3">
        <v>26</v>
      </c>
      <c r="E1603" s="3" t="s">
        <v>8</v>
      </c>
      <c r="F1603" s="3">
        <v>0</v>
      </c>
      <c r="G1603" s="4"/>
      <c r="H1603" s="3">
        <v>0</v>
      </c>
    </row>
    <row r="1604" ht="14.25" spans="1:8">
      <c r="A1604" s="3" t="str">
        <f>"11102105327"</f>
        <v>11102105327</v>
      </c>
      <c r="B1604" s="3">
        <v>1</v>
      </c>
      <c r="C1604" s="3">
        <v>53</v>
      </c>
      <c r="D1604" s="3">
        <v>27</v>
      </c>
      <c r="E1604" s="3" t="s">
        <v>8</v>
      </c>
      <c r="F1604" s="4">
        <v>70.5</v>
      </c>
      <c r="G1604" s="4"/>
      <c r="H1604" s="4">
        <f t="shared" si="146"/>
        <v>70.5</v>
      </c>
    </row>
    <row r="1605" ht="14.25" spans="1:8">
      <c r="A1605" s="3" t="str">
        <f>"11102105328"</f>
        <v>11102105328</v>
      </c>
      <c r="B1605" s="3">
        <v>1</v>
      </c>
      <c r="C1605" s="3">
        <v>53</v>
      </c>
      <c r="D1605" s="3">
        <v>28</v>
      </c>
      <c r="E1605" s="3" t="s">
        <v>8</v>
      </c>
      <c r="F1605" s="4">
        <v>75</v>
      </c>
      <c r="G1605" s="4"/>
      <c r="H1605" s="4">
        <f t="shared" si="146"/>
        <v>75</v>
      </c>
    </row>
    <row r="1606" ht="14.25" spans="1:8">
      <c r="A1606" s="3" t="str">
        <f>"11102105329"</f>
        <v>11102105329</v>
      </c>
      <c r="B1606" s="3">
        <v>1</v>
      </c>
      <c r="C1606" s="3">
        <v>53</v>
      </c>
      <c r="D1606" s="3">
        <v>29</v>
      </c>
      <c r="E1606" s="3" t="s">
        <v>8</v>
      </c>
      <c r="F1606" s="4">
        <v>84.5</v>
      </c>
      <c r="G1606" s="4"/>
      <c r="H1606" s="4">
        <f t="shared" si="146"/>
        <v>84.5</v>
      </c>
    </row>
    <row r="1607" ht="14.25" spans="1:8">
      <c r="A1607" s="3" t="str">
        <f>"11102105330"</f>
        <v>11102105330</v>
      </c>
      <c r="B1607" s="3">
        <v>1</v>
      </c>
      <c r="C1607" s="3">
        <v>53</v>
      </c>
      <c r="D1607" s="3">
        <v>30</v>
      </c>
      <c r="E1607" s="3" t="s">
        <v>8</v>
      </c>
      <c r="F1607" s="3">
        <v>0</v>
      </c>
      <c r="G1607" s="4"/>
      <c r="H1607" s="3">
        <v>0</v>
      </c>
    </row>
    <row r="1608" ht="14.25" spans="1:8">
      <c r="A1608" s="3" t="str">
        <f>"11102105401"</f>
        <v>11102105401</v>
      </c>
      <c r="B1608" s="3">
        <v>1</v>
      </c>
      <c r="C1608" s="3">
        <v>54</v>
      </c>
      <c r="D1608" s="3">
        <v>1</v>
      </c>
      <c r="E1608" s="3" t="s">
        <v>8</v>
      </c>
      <c r="F1608" s="4">
        <v>89</v>
      </c>
      <c r="G1608" s="4"/>
      <c r="H1608" s="4">
        <f t="shared" ref="H1608:H1610" si="147">F1608+G1608</f>
        <v>89</v>
      </c>
    </row>
    <row r="1609" ht="14.25" spans="1:8">
      <c r="A1609" s="3" t="str">
        <f>"11102105402"</f>
        <v>11102105402</v>
      </c>
      <c r="B1609" s="3">
        <v>1</v>
      </c>
      <c r="C1609" s="3">
        <v>54</v>
      </c>
      <c r="D1609" s="3">
        <v>2</v>
      </c>
      <c r="E1609" s="3" t="s">
        <v>8</v>
      </c>
      <c r="F1609" s="4">
        <v>52</v>
      </c>
      <c r="G1609" s="4"/>
      <c r="H1609" s="4">
        <f t="shared" si="147"/>
        <v>52</v>
      </c>
    </row>
    <row r="1610" ht="14.25" spans="1:8">
      <c r="A1610" s="3" t="str">
        <f>"11102105403"</f>
        <v>11102105403</v>
      </c>
      <c r="B1610" s="3">
        <v>1</v>
      </c>
      <c r="C1610" s="3">
        <v>54</v>
      </c>
      <c r="D1610" s="3">
        <v>3</v>
      </c>
      <c r="E1610" s="3" t="s">
        <v>8</v>
      </c>
      <c r="F1610" s="4">
        <v>71</v>
      </c>
      <c r="G1610" s="4"/>
      <c r="H1610" s="4">
        <f t="shared" si="147"/>
        <v>71</v>
      </c>
    </row>
    <row r="1611" ht="14.25" spans="1:8">
      <c r="A1611" s="3" t="str">
        <f>"11102105404"</f>
        <v>11102105404</v>
      </c>
      <c r="B1611" s="3">
        <v>1</v>
      </c>
      <c r="C1611" s="3">
        <v>54</v>
      </c>
      <c r="D1611" s="3">
        <v>4</v>
      </c>
      <c r="E1611" s="3" t="s">
        <v>8</v>
      </c>
      <c r="F1611" s="3">
        <v>0</v>
      </c>
      <c r="G1611" s="4"/>
      <c r="H1611" s="3">
        <v>0</v>
      </c>
    </row>
    <row r="1612" ht="14.25" spans="1:8">
      <c r="A1612" s="3" t="str">
        <f>"11102105405"</f>
        <v>11102105405</v>
      </c>
      <c r="B1612" s="3">
        <v>1</v>
      </c>
      <c r="C1612" s="3">
        <v>54</v>
      </c>
      <c r="D1612" s="3">
        <v>5</v>
      </c>
      <c r="E1612" s="3" t="s">
        <v>8</v>
      </c>
      <c r="F1612" s="4">
        <v>85.5</v>
      </c>
      <c r="G1612" s="4"/>
      <c r="H1612" s="4">
        <f t="shared" ref="H1612:H1614" si="148">F1612+G1612</f>
        <v>85.5</v>
      </c>
    </row>
    <row r="1613" ht="14.25" spans="1:8">
      <c r="A1613" s="3" t="str">
        <f>"11102105406"</f>
        <v>11102105406</v>
      </c>
      <c r="B1613" s="3">
        <v>1</v>
      </c>
      <c r="C1613" s="3">
        <v>54</v>
      </c>
      <c r="D1613" s="3">
        <v>6</v>
      </c>
      <c r="E1613" s="3" t="s">
        <v>8</v>
      </c>
      <c r="F1613" s="4">
        <v>61</v>
      </c>
      <c r="G1613" s="4"/>
      <c r="H1613" s="4">
        <f t="shared" si="148"/>
        <v>61</v>
      </c>
    </row>
    <row r="1614" ht="14.25" spans="1:8">
      <c r="A1614" s="3" t="str">
        <f>"11102105407"</f>
        <v>11102105407</v>
      </c>
      <c r="B1614" s="3">
        <v>1</v>
      </c>
      <c r="C1614" s="3">
        <v>54</v>
      </c>
      <c r="D1614" s="3">
        <v>7</v>
      </c>
      <c r="E1614" s="3" t="s">
        <v>8</v>
      </c>
      <c r="F1614" s="4">
        <v>81</v>
      </c>
      <c r="G1614" s="4"/>
      <c r="H1614" s="4">
        <f t="shared" si="148"/>
        <v>81</v>
      </c>
    </row>
    <row r="1615" ht="14.25" spans="1:8">
      <c r="A1615" s="3" t="str">
        <f>"11102105408"</f>
        <v>11102105408</v>
      </c>
      <c r="B1615" s="3">
        <v>1</v>
      </c>
      <c r="C1615" s="3">
        <v>54</v>
      </c>
      <c r="D1615" s="3">
        <v>8</v>
      </c>
      <c r="E1615" s="3" t="s">
        <v>8</v>
      </c>
      <c r="F1615" s="3">
        <v>0</v>
      </c>
      <c r="G1615" s="4"/>
      <c r="H1615" s="3">
        <v>0</v>
      </c>
    </row>
    <row r="1616" ht="14.25" spans="1:8">
      <c r="A1616" s="3" t="str">
        <f>"11102105409"</f>
        <v>11102105409</v>
      </c>
      <c r="B1616" s="3">
        <v>1</v>
      </c>
      <c r="C1616" s="3">
        <v>54</v>
      </c>
      <c r="D1616" s="3">
        <v>9</v>
      </c>
      <c r="E1616" s="3" t="s">
        <v>8</v>
      </c>
      <c r="F1616" s="4">
        <v>78.5</v>
      </c>
      <c r="G1616" s="4"/>
      <c r="H1616" s="4">
        <f t="shared" ref="H1616:H1618" si="149">F1616+G1616</f>
        <v>78.5</v>
      </c>
    </row>
    <row r="1617" ht="14.25" spans="1:8">
      <c r="A1617" s="3" t="str">
        <f>"11102105410"</f>
        <v>11102105410</v>
      </c>
      <c r="B1617" s="3">
        <v>1</v>
      </c>
      <c r="C1617" s="3">
        <v>54</v>
      </c>
      <c r="D1617" s="3">
        <v>10</v>
      </c>
      <c r="E1617" s="3" t="s">
        <v>8</v>
      </c>
      <c r="F1617" s="4">
        <v>49</v>
      </c>
      <c r="G1617" s="4"/>
      <c r="H1617" s="4">
        <f t="shared" si="149"/>
        <v>49</v>
      </c>
    </row>
    <row r="1618" ht="14.25" spans="1:8">
      <c r="A1618" s="3" t="str">
        <f>"11102105411"</f>
        <v>11102105411</v>
      </c>
      <c r="B1618" s="3">
        <v>1</v>
      </c>
      <c r="C1618" s="3">
        <v>54</v>
      </c>
      <c r="D1618" s="3">
        <v>11</v>
      </c>
      <c r="E1618" s="3" t="s">
        <v>8</v>
      </c>
      <c r="F1618" s="4">
        <v>77</v>
      </c>
      <c r="G1618" s="4"/>
      <c r="H1618" s="4">
        <f t="shared" si="149"/>
        <v>77</v>
      </c>
    </row>
    <row r="1619" ht="14.25" spans="1:8">
      <c r="A1619" s="3" t="str">
        <f>"11102105412"</f>
        <v>11102105412</v>
      </c>
      <c r="B1619" s="3">
        <v>1</v>
      </c>
      <c r="C1619" s="3">
        <v>54</v>
      </c>
      <c r="D1619" s="3">
        <v>12</v>
      </c>
      <c r="E1619" s="3" t="s">
        <v>8</v>
      </c>
      <c r="F1619" s="3">
        <v>0</v>
      </c>
      <c r="G1619" s="4"/>
      <c r="H1619" s="3">
        <v>0</v>
      </c>
    </row>
    <row r="1620" ht="14.25" spans="1:8">
      <c r="A1620" s="3" t="str">
        <f>"11102105413"</f>
        <v>11102105413</v>
      </c>
      <c r="B1620" s="3">
        <v>1</v>
      </c>
      <c r="C1620" s="3">
        <v>54</v>
      </c>
      <c r="D1620" s="3">
        <v>13</v>
      </c>
      <c r="E1620" s="3" t="s">
        <v>8</v>
      </c>
      <c r="F1620" s="4">
        <v>82</v>
      </c>
      <c r="G1620" s="4"/>
      <c r="H1620" s="4">
        <f t="shared" ref="H1620:H1626" si="150">F1620+G1620</f>
        <v>82</v>
      </c>
    </row>
    <row r="1621" ht="14.25" spans="1:8">
      <c r="A1621" s="3" t="str">
        <f>"11102105414"</f>
        <v>11102105414</v>
      </c>
      <c r="B1621" s="3">
        <v>1</v>
      </c>
      <c r="C1621" s="3">
        <v>54</v>
      </c>
      <c r="D1621" s="3">
        <v>14</v>
      </c>
      <c r="E1621" s="3" t="s">
        <v>8</v>
      </c>
      <c r="F1621" s="3">
        <v>0</v>
      </c>
      <c r="G1621" s="4"/>
      <c r="H1621" s="3">
        <v>0</v>
      </c>
    </row>
    <row r="1622" ht="14.25" spans="1:8">
      <c r="A1622" s="3" t="str">
        <f>"11103105415"</f>
        <v>11103105415</v>
      </c>
      <c r="B1622" s="3">
        <v>1</v>
      </c>
      <c r="C1622" s="3">
        <v>54</v>
      </c>
      <c r="D1622" s="3">
        <v>15</v>
      </c>
      <c r="E1622" s="3" t="s">
        <v>8</v>
      </c>
      <c r="F1622" s="4">
        <v>60</v>
      </c>
      <c r="G1622" s="4"/>
      <c r="H1622" s="4">
        <f t="shared" si="150"/>
        <v>60</v>
      </c>
    </row>
    <row r="1623" ht="14.25" spans="1:8">
      <c r="A1623" s="3" t="str">
        <f>"11103105416"</f>
        <v>11103105416</v>
      </c>
      <c r="B1623" s="3">
        <v>1</v>
      </c>
      <c r="C1623" s="3">
        <v>54</v>
      </c>
      <c r="D1623" s="3">
        <v>16</v>
      </c>
      <c r="E1623" s="3" t="s">
        <v>8</v>
      </c>
      <c r="F1623" s="4">
        <v>66</v>
      </c>
      <c r="G1623" s="4"/>
      <c r="H1623" s="4">
        <f t="shared" si="150"/>
        <v>66</v>
      </c>
    </row>
    <row r="1624" ht="14.25" spans="1:8">
      <c r="A1624" s="3" t="str">
        <f>"11103105417"</f>
        <v>11103105417</v>
      </c>
      <c r="B1624" s="3">
        <v>1</v>
      </c>
      <c r="C1624" s="3">
        <v>54</v>
      </c>
      <c r="D1624" s="3">
        <v>17</v>
      </c>
      <c r="E1624" s="3" t="s">
        <v>8</v>
      </c>
      <c r="F1624" s="4">
        <v>89</v>
      </c>
      <c r="G1624" s="4"/>
      <c r="H1624" s="4">
        <f t="shared" si="150"/>
        <v>89</v>
      </c>
    </row>
    <row r="1625" ht="14.25" spans="1:8">
      <c r="A1625" s="3" t="str">
        <f>"11103105418"</f>
        <v>11103105418</v>
      </c>
      <c r="B1625" s="3">
        <v>1</v>
      </c>
      <c r="C1625" s="3">
        <v>54</v>
      </c>
      <c r="D1625" s="3">
        <v>18</v>
      </c>
      <c r="E1625" s="3" t="s">
        <v>8</v>
      </c>
      <c r="F1625" s="4">
        <v>57.5</v>
      </c>
      <c r="G1625" s="4"/>
      <c r="H1625" s="4">
        <f t="shared" si="150"/>
        <v>57.5</v>
      </c>
    </row>
    <row r="1626" ht="14.25" spans="1:8">
      <c r="A1626" s="3" t="str">
        <f>"11103105419"</f>
        <v>11103105419</v>
      </c>
      <c r="B1626" s="3">
        <v>1</v>
      </c>
      <c r="C1626" s="3">
        <v>54</v>
      </c>
      <c r="D1626" s="3">
        <v>19</v>
      </c>
      <c r="E1626" s="3" t="s">
        <v>8</v>
      </c>
      <c r="F1626" s="4">
        <v>81.5</v>
      </c>
      <c r="G1626" s="4"/>
      <c r="H1626" s="4">
        <f t="shared" si="150"/>
        <v>81.5</v>
      </c>
    </row>
    <row r="1627" ht="14.25" spans="1:8">
      <c r="A1627" s="3" t="str">
        <f>"11103105420"</f>
        <v>11103105420</v>
      </c>
      <c r="B1627" s="3">
        <v>1</v>
      </c>
      <c r="C1627" s="3">
        <v>54</v>
      </c>
      <c r="D1627" s="3">
        <v>20</v>
      </c>
      <c r="E1627" s="3" t="s">
        <v>8</v>
      </c>
      <c r="F1627" s="3">
        <v>0</v>
      </c>
      <c r="G1627" s="4"/>
      <c r="H1627" s="3">
        <v>0</v>
      </c>
    </row>
    <row r="1628" ht="14.25" spans="1:8">
      <c r="A1628" s="3" t="str">
        <f>"11103105421"</f>
        <v>11103105421</v>
      </c>
      <c r="B1628" s="3">
        <v>1</v>
      </c>
      <c r="C1628" s="3">
        <v>54</v>
      </c>
      <c r="D1628" s="3">
        <v>21</v>
      </c>
      <c r="E1628" s="3" t="s">
        <v>8</v>
      </c>
      <c r="F1628" s="4">
        <v>65.5</v>
      </c>
      <c r="G1628" s="4"/>
      <c r="H1628" s="4">
        <f t="shared" ref="H1628:H1636" si="151">F1628+G1628</f>
        <v>65.5</v>
      </c>
    </row>
    <row r="1629" ht="14.25" spans="1:8">
      <c r="A1629" s="3" t="str">
        <f>"11103105422"</f>
        <v>11103105422</v>
      </c>
      <c r="B1629" s="3">
        <v>1</v>
      </c>
      <c r="C1629" s="3">
        <v>54</v>
      </c>
      <c r="D1629" s="3">
        <v>22</v>
      </c>
      <c r="E1629" s="3" t="s">
        <v>8</v>
      </c>
      <c r="F1629" s="4">
        <v>77.5</v>
      </c>
      <c r="G1629" s="4"/>
      <c r="H1629" s="4">
        <f t="shared" si="151"/>
        <v>77.5</v>
      </c>
    </row>
    <row r="1630" ht="14.25" spans="1:8">
      <c r="A1630" s="3" t="str">
        <f>"11103105423"</f>
        <v>11103105423</v>
      </c>
      <c r="B1630" s="3">
        <v>1</v>
      </c>
      <c r="C1630" s="3">
        <v>54</v>
      </c>
      <c r="D1630" s="3">
        <v>23</v>
      </c>
      <c r="E1630" s="3" t="s">
        <v>8</v>
      </c>
      <c r="F1630" s="3">
        <v>0</v>
      </c>
      <c r="G1630" s="4"/>
      <c r="H1630" s="3">
        <v>0</v>
      </c>
    </row>
    <row r="1631" ht="14.25" spans="1:8">
      <c r="A1631" s="3" t="str">
        <f>"11103105424"</f>
        <v>11103105424</v>
      </c>
      <c r="B1631" s="3">
        <v>1</v>
      </c>
      <c r="C1631" s="3">
        <v>54</v>
      </c>
      <c r="D1631" s="3">
        <v>24</v>
      </c>
      <c r="E1631" s="3" t="s">
        <v>8</v>
      </c>
      <c r="F1631" s="4">
        <v>79</v>
      </c>
      <c r="G1631" s="4"/>
      <c r="H1631" s="4">
        <f t="shared" si="151"/>
        <v>79</v>
      </c>
    </row>
    <row r="1632" ht="14.25" spans="1:8">
      <c r="A1632" s="3" t="str">
        <f>"11103105425"</f>
        <v>11103105425</v>
      </c>
      <c r="B1632" s="3">
        <v>1</v>
      </c>
      <c r="C1632" s="3">
        <v>54</v>
      </c>
      <c r="D1632" s="3">
        <v>25</v>
      </c>
      <c r="E1632" s="3" t="s">
        <v>8</v>
      </c>
      <c r="F1632" s="4">
        <v>55</v>
      </c>
      <c r="G1632" s="4"/>
      <c r="H1632" s="4">
        <f t="shared" si="151"/>
        <v>55</v>
      </c>
    </row>
    <row r="1633" ht="14.25" spans="1:8">
      <c r="A1633" s="3" t="str">
        <f>"11103105426"</f>
        <v>11103105426</v>
      </c>
      <c r="B1633" s="3">
        <v>1</v>
      </c>
      <c r="C1633" s="3">
        <v>54</v>
      </c>
      <c r="D1633" s="3">
        <v>26</v>
      </c>
      <c r="E1633" s="3" t="s">
        <v>8</v>
      </c>
      <c r="F1633" s="4">
        <v>64</v>
      </c>
      <c r="G1633" s="4"/>
      <c r="H1633" s="4">
        <f t="shared" si="151"/>
        <v>64</v>
      </c>
    </row>
    <row r="1634" ht="14.25" spans="1:8">
      <c r="A1634" s="3" t="str">
        <f>"11103105427"</f>
        <v>11103105427</v>
      </c>
      <c r="B1634" s="3">
        <v>1</v>
      </c>
      <c r="C1634" s="3">
        <v>54</v>
      </c>
      <c r="D1634" s="3">
        <v>27</v>
      </c>
      <c r="E1634" s="3" t="s">
        <v>8</v>
      </c>
      <c r="F1634" s="4">
        <v>83.5</v>
      </c>
      <c r="G1634" s="4"/>
      <c r="H1634" s="4">
        <f t="shared" si="151"/>
        <v>83.5</v>
      </c>
    </row>
    <row r="1635" ht="14.25" spans="1:8">
      <c r="A1635" s="3" t="str">
        <f>"11103105428"</f>
        <v>11103105428</v>
      </c>
      <c r="B1635" s="3">
        <v>1</v>
      </c>
      <c r="C1635" s="3">
        <v>54</v>
      </c>
      <c r="D1635" s="3">
        <v>28</v>
      </c>
      <c r="E1635" s="3" t="s">
        <v>8</v>
      </c>
      <c r="F1635" s="4">
        <v>51</v>
      </c>
      <c r="G1635" s="4"/>
      <c r="H1635" s="4">
        <f t="shared" si="151"/>
        <v>51</v>
      </c>
    </row>
    <row r="1636" ht="14.25" spans="1:8">
      <c r="A1636" s="3" t="str">
        <f>"11103105429"</f>
        <v>11103105429</v>
      </c>
      <c r="B1636" s="3">
        <v>1</v>
      </c>
      <c r="C1636" s="3">
        <v>54</v>
      </c>
      <c r="D1636" s="3">
        <v>29</v>
      </c>
      <c r="E1636" s="3" t="s">
        <v>8</v>
      </c>
      <c r="F1636" s="4">
        <v>83.5</v>
      </c>
      <c r="G1636" s="4"/>
      <c r="H1636" s="4">
        <f t="shared" si="151"/>
        <v>83.5</v>
      </c>
    </row>
    <row r="1637" ht="14.25" spans="1:8">
      <c r="A1637" s="3" t="str">
        <f>"11103105430"</f>
        <v>11103105430</v>
      </c>
      <c r="B1637" s="3">
        <v>1</v>
      </c>
      <c r="C1637" s="3">
        <v>54</v>
      </c>
      <c r="D1637" s="3">
        <v>30</v>
      </c>
      <c r="E1637" s="3" t="s">
        <v>8</v>
      </c>
      <c r="F1637" s="3">
        <v>0</v>
      </c>
      <c r="G1637" s="4"/>
      <c r="H1637" s="3">
        <v>0</v>
      </c>
    </row>
    <row r="1638" ht="14.25" spans="1:8">
      <c r="A1638" s="3" t="str">
        <f>"11103105501"</f>
        <v>11103105501</v>
      </c>
      <c r="B1638" s="3">
        <v>1</v>
      </c>
      <c r="C1638" s="3">
        <v>55</v>
      </c>
      <c r="D1638" s="3">
        <v>1</v>
      </c>
      <c r="E1638" s="3" t="s">
        <v>8</v>
      </c>
      <c r="F1638" s="4">
        <v>81.5</v>
      </c>
      <c r="G1638" s="4"/>
      <c r="H1638" s="4">
        <f t="shared" ref="H1638:H1641" si="152">F1638+G1638</f>
        <v>81.5</v>
      </c>
    </row>
    <row r="1639" ht="14.25" spans="1:8">
      <c r="A1639" s="3" t="str">
        <f>"11103105502"</f>
        <v>11103105502</v>
      </c>
      <c r="B1639" s="3">
        <v>1</v>
      </c>
      <c r="C1639" s="3">
        <v>55</v>
      </c>
      <c r="D1639" s="3">
        <v>2</v>
      </c>
      <c r="E1639" s="3" t="s">
        <v>8</v>
      </c>
      <c r="F1639" s="4">
        <v>52.5</v>
      </c>
      <c r="G1639" s="4"/>
      <c r="H1639" s="4">
        <f t="shared" si="152"/>
        <v>52.5</v>
      </c>
    </row>
    <row r="1640" ht="14.25" spans="1:8">
      <c r="A1640" s="3" t="str">
        <f>"11103105503"</f>
        <v>11103105503</v>
      </c>
      <c r="B1640" s="3">
        <v>1</v>
      </c>
      <c r="C1640" s="3">
        <v>55</v>
      </c>
      <c r="D1640" s="3">
        <v>3</v>
      </c>
      <c r="E1640" s="3" t="s">
        <v>8</v>
      </c>
      <c r="F1640" s="4">
        <v>68.5</v>
      </c>
      <c r="G1640" s="4"/>
      <c r="H1640" s="4">
        <f t="shared" si="152"/>
        <v>68.5</v>
      </c>
    </row>
    <row r="1641" ht="14.25" spans="1:8">
      <c r="A1641" s="3" t="str">
        <f>"11103105504"</f>
        <v>11103105504</v>
      </c>
      <c r="B1641" s="3">
        <v>1</v>
      </c>
      <c r="C1641" s="3">
        <v>55</v>
      </c>
      <c r="D1641" s="3">
        <v>4</v>
      </c>
      <c r="E1641" s="3" t="s">
        <v>8</v>
      </c>
      <c r="F1641" s="4">
        <v>80.5</v>
      </c>
      <c r="G1641" s="4"/>
      <c r="H1641" s="4">
        <f t="shared" si="152"/>
        <v>80.5</v>
      </c>
    </row>
    <row r="1642" ht="14.25" spans="1:8">
      <c r="A1642" s="3" t="str">
        <f>"11103105505"</f>
        <v>11103105505</v>
      </c>
      <c r="B1642" s="3">
        <v>1</v>
      </c>
      <c r="C1642" s="3">
        <v>55</v>
      </c>
      <c r="D1642" s="3">
        <v>5</v>
      </c>
      <c r="E1642" s="3" t="s">
        <v>8</v>
      </c>
      <c r="F1642" s="3">
        <v>0</v>
      </c>
      <c r="G1642" s="4"/>
      <c r="H1642" s="3">
        <v>0</v>
      </c>
    </row>
    <row r="1643" ht="14.25" spans="1:8">
      <c r="A1643" s="3" t="str">
        <f>"11103105506"</f>
        <v>11103105506</v>
      </c>
      <c r="B1643" s="3">
        <v>1</v>
      </c>
      <c r="C1643" s="3">
        <v>55</v>
      </c>
      <c r="D1643" s="3">
        <v>6</v>
      </c>
      <c r="E1643" s="3" t="s">
        <v>8</v>
      </c>
      <c r="F1643" s="3">
        <v>0</v>
      </c>
      <c r="G1643" s="4"/>
      <c r="H1643" s="3">
        <v>0</v>
      </c>
    </row>
    <row r="1644" ht="14.25" spans="1:8">
      <c r="A1644" s="3" t="str">
        <f>"11103105507"</f>
        <v>11103105507</v>
      </c>
      <c r="B1644" s="3">
        <v>1</v>
      </c>
      <c r="C1644" s="3">
        <v>55</v>
      </c>
      <c r="D1644" s="3">
        <v>7</v>
      </c>
      <c r="E1644" s="3" t="s">
        <v>8</v>
      </c>
      <c r="F1644" s="4">
        <v>63</v>
      </c>
      <c r="G1644" s="4"/>
      <c r="H1644" s="4">
        <f t="shared" ref="H1644:H1651" si="153">F1644+G1644</f>
        <v>63</v>
      </c>
    </row>
    <row r="1645" ht="14.25" spans="1:8">
      <c r="A1645" s="3" t="str">
        <f>"11103105508"</f>
        <v>11103105508</v>
      </c>
      <c r="B1645" s="3">
        <v>1</v>
      </c>
      <c r="C1645" s="3">
        <v>55</v>
      </c>
      <c r="D1645" s="3">
        <v>8</v>
      </c>
      <c r="E1645" s="3" t="s">
        <v>8</v>
      </c>
      <c r="F1645" s="4">
        <v>91.5</v>
      </c>
      <c r="G1645" s="4"/>
      <c r="H1645" s="4">
        <f t="shared" si="153"/>
        <v>91.5</v>
      </c>
    </row>
    <row r="1646" ht="14.25" spans="1:8">
      <c r="A1646" s="3" t="str">
        <f>"11103105509"</f>
        <v>11103105509</v>
      </c>
      <c r="B1646" s="3">
        <v>1</v>
      </c>
      <c r="C1646" s="3">
        <v>55</v>
      </c>
      <c r="D1646" s="3">
        <v>9</v>
      </c>
      <c r="E1646" s="3" t="s">
        <v>8</v>
      </c>
      <c r="F1646" s="3">
        <v>0</v>
      </c>
      <c r="G1646" s="4"/>
      <c r="H1646" s="3">
        <v>0</v>
      </c>
    </row>
    <row r="1647" ht="14.25" spans="1:8">
      <c r="A1647" s="3" t="str">
        <f>"11103105510"</f>
        <v>11103105510</v>
      </c>
      <c r="B1647" s="3">
        <v>1</v>
      </c>
      <c r="C1647" s="3">
        <v>55</v>
      </c>
      <c r="D1647" s="3">
        <v>10</v>
      </c>
      <c r="E1647" s="3" t="s">
        <v>8</v>
      </c>
      <c r="F1647" s="3">
        <v>0</v>
      </c>
      <c r="G1647" s="4"/>
      <c r="H1647" s="3">
        <v>0</v>
      </c>
    </row>
    <row r="1648" ht="14.25" spans="1:8">
      <c r="A1648" s="3" t="str">
        <f>"11103105511"</f>
        <v>11103105511</v>
      </c>
      <c r="B1648" s="3">
        <v>1</v>
      </c>
      <c r="C1648" s="3">
        <v>55</v>
      </c>
      <c r="D1648" s="3">
        <v>11</v>
      </c>
      <c r="E1648" s="3" t="s">
        <v>8</v>
      </c>
      <c r="F1648" s="3">
        <v>0</v>
      </c>
      <c r="G1648" s="4"/>
      <c r="H1648" s="3">
        <v>0</v>
      </c>
    </row>
    <row r="1649" ht="14.25" spans="1:8">
      <c r="A1649" s="3" t="str">
        <f>"11103105512"</f>
        <v>11103105512</v>
      </c>
      <c r="B1649" s="3">
        <v>1</v>
      </c>
      <c r="C1649" s="3">
        <v>55</v>
      </c>
      <c r="D1649" s="3">
        <v>12</v>
      </c>
      <c r="E1649" s="3" t="s">
        <v>8</v>
      </c>
      <c r="F1649" s="4">
        <v>88.5</v>
      </c>
      <c r="G1649" s="4"/>
      <c r="H1649" s="4">
        <f t="shared" si="153"/>
        <v>88.5</v>
      </c>
    </row>
    <row r="1650" ht="14.25" spans="1:8">
      <c r="A1650" s="3" t="str">
        <f>"11103105513"</f>
        <v>11103105513</v>
      </c>
      <c r="B1650" s="3">
        <v>1</v>
      </c>
      <c r="C1650" s="3">
        <v>55</v>
      </c>
      <c r="D1650" s="3">
        <v>13</v>
      </c>
      <c r="E1650" s="3" t="s">
        <v>8</v>
      </c>
      <c r="F1650" s="4">
        <v>85</v>
      </c>
      <c r="G1650" s="4"/>
      <c r="H1650" s="4">
        <f t="shared" si="153"/>
        <v>85</v>
      </c>
    </row>
    <row r="1651" ht="14.25" spans="1:8">
      <c r="A1651" s="3" t="str">
        <f>"11103105514"</f>
        <v>11103105514</v>
      </c>
      <c r="B1651" s="3">
        <v>1</v>
      </c>
      <c r="C1651" s="3">
        <v>55</v>
      </c>
      <c r="D1651" s="3">
        <v>14</v>
      </c>
      <c r="E1651" s="3" t="s">
        <v>8</v>
      </c>
      <c r="F1651" s="4">
        <v>85.5</v>
      </c>
      <c r="G1651" s="4"/>
      <c r="H1651" s="4">
        <f t="shared" si="153"/>
        <v>85.5</v>
      </c>
    </row>
    <row r="1652" ht="14.25" spans="1:8">
      <c r="A1652" s="3" t="str">
        <f>"11103105515"</f>
        <v>11103105515</v>
      </c>
      <c r="B1652" s="3">
        <v>1</v>
      </c>
      <c r="C1652" s="3">
        <v>55</v>
      </c>
      <c r="D1652" s="3">
        <v>15</v>
      </c>
      <c r="E1652" s="3" t="s">
        <v>8</v>
      </c>
      <c r="F1652" s="3">
        <v>0</v>
      </c>
      <c r="G1652" s="4"/>
      <c r="H1652" s="3">
        <v>0</v>
      </c>
    </row>
    <row r="1653" ht="14.25" spans="1:8">
      <c r="A1653" s="3" t="str">
        <f>"11103105516"</f>
        <v>11103105516</v>
      </c>
      <c r="B1653" s="3">
        <v>1</v>
      </c>
      <c r="C1653" s="3">
        <v>55</v>
      </c>
      <c r="D1653" s="3">
        <v>16</v>
      </c>
      <c r="E1653" s="3" t="s">
        <v>8</v>
      </c>
      <c r="F1653" s="3">
        <v>0</v>
      </c>
      <c r="G1653" s="4"/>
      <c r="H1653" s="3">
        <v>0</v>
      </c>
    </row>
    <row r="1654" ht="14.25" spans="1:8">
      <c r="A1654" s="3" t="str">
        <f>"11103105517"</f>
        <v>11103105517</v>
      </c>
      <c r="B1654" s="3">
        <v>1</v>
      </c>
      <c r="C1654" s="3">
        <v>55</v>
      </c>
      <c r="D1654" s="3">
        <v>17</v>
      </c>
      <c r="E1654" s="3" t="s">
        <v>8</v>
      </c>
      <c r="F1654" s="3">
        <v>0</v>
      </c>
      <c r="G1654" s="4"/>
      <c r="H1654" s="3">
        <v>0</v>
      </c>
    </row>
    <row r="1655" ht="14.25" spans="1:8">
      <c r="A1655" s="3" t="str">
        <f>"11103105518"</f>
        <v>11103105518</v>
      </c>
      <c r="B1655" s="3">
        <v>1</v>
      </c>
      <c r="C1655" s="3">
        <v>55</v>
      </c>
      <c r="D1655" s="3">
        <v>18</v>
      </c>
      <c r="E1655" s="3" t="s">
        <v>8</v>
      </c>
      <c r="F1655" s="3">
        <v>0</v>
      </c>
      <c r="G1655" s="4"/>
      <c r="H1655" s="3">
        <v>0</v>
      </c>
    </row>
    <row r="1656" ht="14.25" spans="1:8">
      <c r="A1656" s="3" t="str">
        <f>"11103105519"</f>
        <v>11103105519</v>
      </c>
      <c r="B1656" s="3">
        <v>1</v>
      </c>
      <c r="C1656" s="3">
        <v>55</v>
      </c>
      <c r="D1656" s="3">
        <v>19</v>
      </c>
      <c r="E1656" s="3" t="s">
        <v>8</v>
      </c>
      <c r="F1656" s="4">
        <v>70.5</v>
      </c>
      <c r="G1656" s="4"/>
      <c r="H1656" s="4">
        <f t="shared" ref="H1656:H1658" si="154">F1656+G1656</f>
        <v>70.5</v>
      </c>
    </row>
    <row r="1657" ht="14.25" spans="1:8">
      <c r="A1657" s="3" t="str">
        <f>"11103105520"</f>
        <v>11103105520</v>
      </c>
      <c r="B1657" s="3">
        <v>1</v>
      </c>
      <c r="C1657" s="3">
        <v>55</v>
      </c>
      <c r="D1657" s="3">
        <v>20</v>
      </c>
      <c r="E1657" s="3" t="s">
        <v>8</v>
      </c>
      <c r="F1657" s="4">
        <v>77</v>
      </c>
      <c r="G1657" s="4"/>
      <c r="H1657" s="4">
        <f t="shared" si="154"/>
        <v>77</v>
      </c>
    </row>
    <row r="1658" ht="14.25" spans="1:8">
      <c r="A1658" s="3" t="str">
        <f>"11103105521"</f>
        <v>11103105521</v>
      </c>
      <c r="B1658" s="3">
        <v>1</v>
      </c>
      <c r="C1658" s="3">
        <v>55</v>
      </c>
      <c r="D1658" s="3">
        <v>21</v>
      </c>
      <c r="E1658" s="3" t="s">
        <v>8</v>
      </c>
      <c r="F1658" s="4">
        <v>83</v>
      </c>
      <c r="G1658" s="4"/>
      <c r="H1658" s="4">
        <f t="shared" si="154"/>
        <v>83</v>
      </c>
    </row>
    <row r="1659" ht="14.25" spans="1:8">
      <c r="A1659" s="3" t="str">
        <f>"11103105522"</f>
        <v>11103105522</v>
      </c>
      <c r="B1659" s="3">
        <v>1</v>
      </c>
      <c r="C1659" s="3">
        <v>55</v>
      </c>
      <c r="D1659" s="3">
        <v>22</v>
      </c>
      <c r="E1659" s="3" t="s">
        <v>8</v>
      </c>
      <c r="F1659" s="3">
        <v>0</v>
      </c>
      <c r="G1659" s="4"/>
      <c r="H1659" s="3">
        <v>0</v>
      </c>
    </row>
    <row r="1660" ht="14.25" spans="1:8">
      <c r="A1660" s="3" t="str">
        <f>"11103105523"</f>
        <v>11103105523</v>
      </c>
      <c r="B1660" s="3">
        <v>1</v>
      </c>
      <c r="C1660" s="3">
        <v>55</v>
      </c>
      <c r="D1660" s="3">
        <v>23</v>
      </c>
      <c r="E1660" s="3" t="s">
        <v>8</v>
      </c>
      <c r="F1660" s="4">
        <v>64.5</v>
      </c>
      <c r="G1660" s="4"/>
      <c r="H1660" s="4">
        <f t="shared" ref="H1660:H1668" si="155">F1660+G1660</f>
        <v>64.5</v>
      </c>
    </row>
    <row r="1661" ht="14.25" spans="1:8">
      <c r="A1661" s="3" t="str">
        <f>"11103105524"</f>
        <v>11103105524</v>
      </c>
      <c r="B1661" s="3">
        <v>1</v>
      </c>
      <c r="C1661" s="3">
        <v>55</v>
      </c>
      <c r="D1661" s="3">
        <v>24</v>
      </c>
      <c r="E1661" s="3" t="s">
        <v>8</v>
      </c>
      <c r="F1661" s="3">
        <v>0</v>
      </c>
      <c r="G1661" s="4"/>
      <c r="H1661" s="3">
        <v>0</v>
      </c>
    </row>
    <row r="1662" ht="14.25" spans="1:8">
      <c r="A1662" s="3" t="str">
        <f>"11103105525"</f>
        <v>11103105525</v>
      </c>
      <c r="B1662" s="3">
        <v>1</v>
      </c>
      <c r="C1662" s="3">
        <v>55</v>
      </c>
      <c r="D1662" s="3">
        <v>25</v>
      </c>
      <c r="E1662" s="3" t="s">
        <v>8</v>
      </c>
      <c r="F1662" s="4">
        <v>71</v>
      </c>
      <c r="G1662" s="4"/>
      <c r="H1662" s="4">
        <f t="shared" si="155"/>
        <v>71</v>
      </c>
    </row>
    <row r="1663" ht="14.25" spans="1:8">
      <c r="A1663" s="3" t="str">
        <f>"11103105526"</f>
        <v>11103105526</v>
      </c>
      <c r="B1663" s="3">
        <v>1</v>
      </c>
      <c r="C1663" s="3">
        <v>55</v>
      </c>
      <c r="D1663" s="3">
        <v>26</v>
      </c>
      <c r="E1663" s="3" t="s">
        <v>8</v>
      </c>
      <c r="F1663" s="4">
        <v>65.5</v>
      </c>
      <c r="G1663" s="4"/>
      <c r="H1663" s="4">
        <f t="shared" si="155"/>
        <v>65.5</v>
      </c>
    </row>
    <row r="1664" ht="14.25" spans="1:8">
      <c r="A1664" s="3" t="str">
        <f>"11103105527"</f>
        <v>11103105527</v>
      </c>
      <c r="B1664" s="3">
        <v>1</v>
      </c>
      <c r="C1664" s="3">
        <v>55</v>
      </c>
      <c r="D1664" s="3">
        <v>27</v>
      </c>
      <c r="E1664" s="3" t="s">
        <v>8</v>
      </c>
      <c r="F1664" s="4">
        <v>60.5</v>
      </c>
      <c r="G1664" s="4"/>
      <c r="H1664" s="4">
        <f t="shared" si="155"/>
        <v>60.5</v>
      </c>
    </row>
    <row r="1665" ht="14.25" spans="1:8">
      <c r="A1665" s="3" t="str">
        <f>"11103105528"</f>
        <v>11103105528</v>
      </c>
      <c r="B1665" s="3">
        <v>1</v>
      </c>
      <c r="C1665" s="3">
        <v>55</v>
      </c>
      <c r="D1665" s="3">
        <v>28</v>
      </c>
      <c r="E1665" s="3" t="s">
        <v>8</v>
      </c>
      <c r="F1665" s="4">
        <v>88</v>
      </c>
      <c r="G1665" s="4"/>
      <c r="H1665" s="4">
        <f t="shared" si="155"/>
        <v>88</v>
      </c>
    </row>
    <row r="1666" ht="14.25" spans="1:8">
      <c r="A1666" s="3" t="str">
        <f>"11103105529"</f>
        <v>11103105529</v>
      </c>
      <c r="B1666" s="3">
        <v>1</v>
      </c>
      <c r="C1666" s="3">
        <v>55</v>
      </c>
      <c r="D1666" s="3">
        <v>29</v>
      </c>
      <c r="E1666" s="3" t="s">
        <v>8</v>
      </c>
      <c r="F1666" s="4">
        <v>56.5</v>
      </c>
      <c r="G1666" s="4"/>
      <c r="H1666" s="4">
        <f t="shared" si="155"/>
        <v>56.5</v>
      </c>
    </row>
    <row r="1667" ht="14.25" spans="1:8">
      <c r="A1667" s="3" t="str">
        <f>"11103105530"</f>
        <v>11103105530</v>
      </c>
      <c r="B1667" s="3">
        <v>1</v>
      </c>
      <c r="C1667" s="3">
        <v>55</v>
      </c>
      <c r="D1667" s="3">
        <v>30</v>
      </c>
      <c r="E1667" s="3" t="s">
        <v>8</v>
      </c>
      <c r="F1667" s="4">
        <v>71.5</v>
      </c>
      <c r="G1667" s="4"/>
      <c r="H1667" s="4">
        <f t="shared" si="155"/>
        <v>71.5</v>
      </c>
    </row>
    <row r="1668" ht="14.25" spans="1:8">
      <c r="A1668" s="3" t="str">
        <f>"11103105601"</f>
        <v>11103105601</v>
      </c>
      <c r="B1668" s="3">
        <v>1</v>
      </c>
      <c r="C1668" s="3">
        <v>56</v>
      </c>
      <c r="D1668" s="3">
        <v>1</v>
      </c>
      <c r="E1668" s="3" t="s">
        <v>8</v>
      </c>
      <c r="F1668" s="4">
        <v>83</v>
      </c>
      <c r="G1668" s="4"/>
      <c r="H1668" s="4">
        <f t="shared" si="155"/>
        <v>83</v>
      </c>
    </row>
    <row r="1669" ht="14.25" spans="1:8">
      <c r="A1669" s="3" t="str">
        <f>"11103105602"</f>
        <v>11103105602</v>
      </c>
      <c r="B1669" s="3">
        <v>1</v>
      </c>
      <c r="C1669" s="3">
        <v>56</v>
      </c>
      <c r="D1669" s="3">
        <v>2</v>
      </c>
      <c r="E1669" s="3" t="s">
        <v>8</v>
      </c>
      <c r="F1669" s="3">
        <v>0</v>
      </c>
      <c r="G1669" s="4"/>
      <c r="H1669" s="3">
        <v>0</v>
      </c>
    </row>
    <row r="1670" ht="14.25" spans="1:8">
      <c r="A1670" s="3" t="str">
        <f>"11103105603"</f>
        <v>11103105603</v>
      </c>
      <c r="B1670" s="3">
        <v>1</v>
      </c>
      <c r="C1670" s="3">
        <v>56</v>
      </c>
      <c r="D1670" s="3">
        <v>3</v>
      </c>
      <c r="E1670" s="3" t="s">
        <v>8</v>
      </c>
      <c r="F1670" s="4">
        <v>76.5</v>
      </c>
      <c r="G1670" s="4"/>
      <c r="H1670" s="4">
        <f t="shared" ref="H1670:H1684" si="156">F1670+G1670</f>
        <v>76.5</v>
      </c>
    </row>
    <row r="1671" ht="14.25" spans="1:8">
      <c r="A1671" s="3" t="str">
        <f>"11103105604"</f>
        <v>11103105604</v>
      </c>
      <c r="B1671" s="3">
        <v>1</v>
      </c>
      <c r="C1671" s="3">
        <v>56</v>
      </c>
      <c r="D1671" s="3">
        <v>4</v>
      </c>
      <c r="E1671" s="3" t="s">
        <v>8</v>
      </c>
      <c r="F1671" s="3">
        <v>0</v>
      </c>
      <c r="G1671" s="4"/>
      <c r="H1671" s="3">
        <v>0</v>
      </c>
    </row>
    <row r="1672" ht="14.25" spans="1:8">
      <c r="A1672" s="3" t="str">
        <f>"11103105605"</f>
        <v>11103105605</v>
      </c>
      <c r="B1672" s="3">
        <v>1</v>
      </c>
      <c r="C1672" s="3">
        <v>56</v>
      </c>
      <c r="D1672" s="3">
        <v>5</v>
      </c>
      <c r="E1672" s="3" t="s">
        <v>8</v>
      </c>
      <c r="F1672" s="3">
        <v>0</v>
      </c>
      <c r="G1672" s="4"/>
      <c r="H1672" s="3">
        <v>0</v>
      </c>
    </row>
    <row r="1673" ht="14.25" spans="1:8">
      <c r="A1673" s="3" t="str">
        <f>"11103105606"</f>
        <v>11103105606</v>
      </c>
      <c r="B1673" s="3">
        <v>1</v>
      </c>
      <c r="C1673" s="3">
        <v>56</v>
      </c>
      <c r="D1673" s="3">
        <v>6</v>
      </c>
      <c r="E1673" s="3" t="s">
        <v>8</v>
      </c>
      <c r="F1673" s="4">
        <v>66</v>
      </c>
      <c r="G1673" s="4"/>
      <c r="H1673" s="4">
        <f t="shared" si="156"/>
        <v>66</v>
      </c>
    </row>
    <row r="1674" ht="14.25" spans="1:8">
      <c r="A1674" s="3" t="str">
        <f>"11103105607"</f>
        <v>11103105607</v>
      </c>
      <c r="B1674" s="3">
        <v>1</v>
      </c>
      <c r="C1674" s="3">
        <v>56</v>
      </c>
      <c r="D1674" s="3">
        <v>7</v>
      </c>
      <c r="E1674" s="3" t="s">
        <v>8</v>
      </c>
      <c r="F1674" s="4">
        <v>82.5</v>
      </c>
      <c r="G1674" s="4"/>
      <c r="H1674" s="4">
        <f t="shared" si="156"/>
        <v>82.5</v>
      </c>
    </row>
    <row r="1675" ht="14.25" spans="1:8">
      <c r="A1675" s="3" t="str">
        <f>"11103105608"</f>
        <v>11103105608</v>
      </c>
      <c r="B1675" s="3">
        <v>1</v>
      </c>
      <c r="C1675" s="3">
        <v>56</v>
      </c>
      <c r="D1675" s="3">
        <v>8</v>
      </c>
      <c r="E1675" s="3" t="s">
        <v>8</v>
      </c>
      <c r="F1675" s="4">
        <v>52.5</v>
      </c>
      <c r="G1675" s="4"/>
      <c r="H1675" s="4">
        <f t="shared" si="156"/>
        <v>52.5</v>
      </c>
    </row>
    <row r="1676" ht="14.25" spans="1:8">
      <c r="A1676" s="3" t="str">
        <f>"11103105609"</f>
        <v>11103105609</v>
      </c>
      <c r="B1676" s="3">
        <v>1</v>
      </c>
      <c r="C1676" s="3">
        <v>56</v>
      </c>
      <c r="D1676" s="3">
        <v>9</v>
      </c>
      <c r="E1676" s="3" t="s">
        <v>8</v>
      </c>
      <c r="F1676" s="4">
        <v>58.5</v>
      </c>
      <c r="G1676" s="4"/>
      <c r="H1676" s="4">
        <f t="shared" si="156"/>
        <v>58.5</v>
      </c>
    </row>
    <row r="1677" ht="14.25" spans="1:8">
      <c r="A1677" s="3" t="str">
        <f>"11103105610"</f>
        <v>11103105610</v>
      </c>
      <c r="B1677" s="3">
        <v>1</v>
      </c>
      <c r="C1677" s="3">
        <v>56</v>
      </c>
      <c r="D1677" s="3">
        <v>10</v>
      </c>
      <c r="E1677" s="3" t="s">
        <v>8</v>
      </c>
      <c r="F1677" s="4">
        <v>86</v>
      </c>
      <c r="G1677" s="4"/>
      <c r="H1677" s="4">
        <f t="shared" si="156"/>
        <v>86</v>
      </c>
    </row>
    <row r="1678" ht="14.25" spans="1:8">
      <c r="A1678" s="3" t="str">
        <f>"11103105611"</f>
        <v>11103105611</v>
      </c>
      <c r="B1678" s="3">
        <v>1</v>
      </c>
      <c r="C1678" s="3">
        <v>56</v>
      </c>
      <c r="D1678" s="3">
        <v>11</v>
      </c>
      <c r="E1678" s="3" t="s">
        <v>8</v>
      </c>
      <c r="F1678" s="4">
        <v>55.5</v>
      </c>
      <c r="G1678" s="4"/>
      <c r="H1678" s="4">
        <f t="shared" si="156"/>
        <v>55.5</v>
      </c>
    </row>
    <row r="1679" ht="14.25" spans="1:8">
      <c r="A1679" s="3" t="str">
        <f>"11103105612"</f>
        <v>11103105612</v>
      </c>
      <c r="B1679" s="3">
        <v>1</v>
      </c>
      <c r="C1679" s="3">
        <v>56</v>
      </c>
      <c r="D1679" s="3">
        <v>12</v>
      </c>
      <c r="E1679" s="3" t="s">
        <v>8</v>
      </c>
      <c r="F1679" s="4">
        <v>76</v>
      </c>
      <c r="G1679" s="4"/>
      <c r="H1679" s="4">
        <f t="shared" si="156"/>
        <v>76</v>
      </c>
    </row>
    <row r="1680" ht="14.25" spans="1:8">
      <c r="A1680" s="3" t="str">
        <f>"11103105613"</f>
        <v>11103105613</v>
      </c>
      <c r="B1680" s="3">
        <v>1</v>
      </c>
      <c r="C1680" s="3">
        <v>56</v>
      </c>
      <c r="D1680" s="3">
        <v>13</v>
      </c>
      <c r="E1680" s="3" t="s">
        <v>8</v>
      </c>
      <c r="F1680" s="4">
        <v>89</v>
      </c>
      <c r="G1680" s="4"/>
      <c r="H1680" s="4">
        <f t="shared" si="156"/>
        <v>89</v>
      </c>
    </row>
    <row r="1681" ht="14.25" spans="1:8">
      <c r="A1681" s="3" t="str">
        <f>"11103105614"</f>
        <v>11103105614</v>
      </c>
      <c r="B1681" s="3">
        <v>1</v>
      </c>
      <c r="C1681" s="3">
        <v>56</v>
      </c>
      <c r="D1681" s="3">
        <v>14</v>
      </c>
      <c r="E1681" s="3" t="s">
        <v>8</v>
      </c>
      <c r="F1681" s="4">
        <v>84.5</v>
      </c>
      <c r="G1681" s="4"/>
      <c r="H1681" s="4">
        <f t="shared" si="156"/>
        <v>84.5</v>
      </c>
    </row>
    <row r="1682" ht="14.25" spans="1:8">
      <c r="A1682" s="3" t="str">
        <f>"11103105615"</f>
        <v>11103105615</v>
      </c>
      <c r="B1682" s="3">
        <v>1</v>
      </c>
      <c r="C1682" s="3">
        <v>56</v>
      </c>
      <c r="D1682" s="3">
        <v>15</v>
      </c>
      <c r="E1682" s="3" t="s">
        <v>8</v>
      </c>
      <c r="F1682" s="4">
        <v>84.5</v>
      </c>
      <c r="G1682" s="4"/>
      <c r="H1682" s="4">
        <f t="shared" si="156"/>
        <v>84.5</v>
      </c>
    </row>
    <row r="1683" ht="14.25" spans="1:8">
      <c r="A1683" s="3" t="str">
        <f>"11103105616"</f>
        <v>11103105616</v>
      </c>
      <c r="B1683" s="3">
        <v>1</v>
      </c>
      <c r="C1683" s="3">
        <v>56</v>
      </c>
      <c r="D1683" s="3">
        <v>16</v>
      </c>
      <c r="E1683" s="3" t="s">
        <v>8</v>
      </c>
      <c r="F1683" s="4">
        <v>78</v>
      </c>
      <c r="G1683" s="4"/>
      <c r="H1683" s="4">
        <f t="shared" si="156"/>
        <v>78</v>
      </c>
    </row>
    <row r="1684" ht="14.25" spans="1:8">
      <c r="A1684" s="3" t="str">
        <f>"11103105617"</f>
        <v>11103105617</v>
      </c>
      <c r="B1684" s="3">
        <v>1</v>
      </c>
      <c r="C1684" s="3">
        <v>56</v>
      </c>
      <c r="D1684" s="3">
        <v>17</v>
      </c>
      <c r="E1684" s="3" t="s">
        <v>8</v>
      </c>
      <c r="F1684" s="4">
        <v>72.5</v>
      </c>
      <c r="G1684" s="4"/>
      <c r="H1684" s="4">
        <f t="shared" si="156"/>
        <v>72.5</v>
      </c>
    </row>
    <row r="1685" ht="14.25" spans="1:8">
      <c r="A1685" s="3" t="str">
        <f>"11103105618"</f>
        <v>11103105618</v>
      </c>
      <c r="B1685" s="3">
        <v>1</v>
      </c>
      <c r="C1685" s="3">
        <v>56</v>
      </c>
      <c r="D1685" s="3">
        <v>18</v>
      </c>
      <c r="E1685" s="3" t="s">
        <v>8</v>
      </c>
      <c r="F1685" s="3">
        <v>0</v>
      </c>
      <c r="G1685" s="4"/>
      <c r="H1685" s="3">
        <v>0</v>
      </c>
    </row>
    <row r="1686" ht="14.25" spans="1:8">
      <c r="A1686" s="3" t="str">
        <f>"11103105619"</f>
        <v>11103105619</v>
      </c>
      <c r="B1686" s="3">
        <v>1</v>
      </c>
      <c r="C1686" s="3">
        <v>56</v>
      </c>
      <c r="D1686" s="3">
        <v>19</v>
      </c>
      <c r="E1686" s="3" t="s">
        <v>8</v>
      </c>
      <c r="F1686" s="4">
        <v>69.5</v>
      </c>
      <c r="G1686" s="4"/>
      <c r="H1686" s="4">
        <f t="shared" ref="H1686:H1693" si="157">F1686+G1686</f>
        <v>69.5</v>
      </c>
    </row>
    <row r="1687" ht="14.25" spans="1:8">
      <c r="A1687" s="3" t="str">
        <f>"11103105620"</f>
        <v>11103105620</v>
      </c>
      <c r="B1687" s="3">
        <v>1</v>
      </c>
      <c r="C1687" s="3">
        <v>56</v>
      </c>
      <c r="D1687" s="3">
        <v>20</v>
      </c>
      <c r="E1687" s="3" t="s">
        <v>8</v>
      </c>
      <c r="F1687" s="4">
        <v>81</v>
      </c>
      <c r="G1687" s="4"/>
      <c r="H1687" s="4">
        <f t="shared" si="157"/>
        <v>81</v>
      </c>
    </row>
    <row r="1688" ht="14.25" spans="1:8">
      <c r="A1688" s="3" t="str">
        <f>"11103105621"</f>
        <v>11103105621</v>
      </c>
      <c r="B1688" s="3">
        <v>1</v>
      </c>
      <c r="C1688" s="3">
        <v>56</v>
      </c>
      <c r="D1688" s="3">
        <v>21</v>
      </c>
      <c r="E1688" s="3" t="s">
        <v>8</v>
      </c>
      <c r="F1688" s="4">
        <v>64.5</v>
      </c>
      <c r="G1688" s="4"/>
      <c r="H1688" s="4">
        <f t="shared" si="157"/>
        <v>64.5</v>
      </c>
    </row>
    <row r="1689" ht="14.25" spans="1:8">
      <c r="A1689" s="3" t="str">
        <f>"11103105622"</f>
        <v>11103105622</v>
      </c>
      <c r="B1689" s="3">
        <v>1</v>
      </c>
      <c r="C1689" s="3">
        <v>56</v>
      </c>
      <c r="D1689" s="3">
        <v>22</v>
      </c>
      <c r="E1689" s="3" t="s">
        <v>8</v>
      </c>
      <c r="F1689" s="4">
        <v>78.5</v>
      </c>
      <c r="G1689" s="4"/>
      <c r="H1689" s="4">
        <f t="shared" si="157"/>
        <v>78.5</v>
      </c>
    </row>
    <row r="1690" ht="14.25" spans="1:8">
      <c r="A1690" s="3" t="str">
        <f>"11103105623"</f>
        <v>11103105623</v>
      </c>
      <c r="B1690" s="3">
        <v>1</v>
      </c>
      <c r="C1690" s="3">
        <v>56</v>
      </c>
      <c r="D1690" s="3">
        <v>23</v>
      </c>
      <c r="E1690" s="3" t="s">
        <v>8</v>
      </c>
      <c r="F1690" s="4">
        <v>55.5</v>
      </c>
      <c r="G1690" s="4"/>
      <c r="H1690" s="4">
        <f t="shared" si="157"/>
        <v>55.5</v>
      </c>
    </row>
    <row r="1691" ht="14.25" spans="1:8">
      <c r="A1691" s="3" t="str">
        <f>"11103105624"</f>
        <v>11103105624</v>
      </c>
      <c r="B1691" s="3">
        <v>1</v>
      </c>
      <c r="C1691" s="3">
        <v>56</v>
      </c>
      <c r="D1691" s="3">
        <v>24</v>
      </c>
      <c r="E1691" s="3" t="s">
        <v>8</v>
      </c>
      <c r="F1691" s="4">
        <v>82.5</v>
      </c>
      <c r="G1691" s="4"/>
      <c r="H1691" s="4">
        <f t="shared" si="157"/>
        <v>82.5</v>
      </c>
    </row>
    <row r="1692" ht="14.25" spans="1:8">
      <c r="A1692" s="3" t="str">
        <f>"11103105625"</f>
        <v>11103105625</v>
      </c>
      <c r="B1692" s="3">
        <v>1</v>
      </c>
      <c r="C1692" s="3">
        <v>56</v>
      </c>
      <c r="D1692" s="3">
        <v>25</v>
      </c>
      <c r="E1692" s="3" t="s">
        <v>8</v>
      </c>
      <c r="F1692" s="4">
        <v>57.5</v>
      </c>
      <c r="G1692" s="4"/>
      <c r="H1692" s="4">
        <f t="shared" si="157"/>
        <v>57.5</v>
      </c>
    </row>
    <row r="1693" ht="14.25" spans="1:8">
      <c r="A1693" s="3" t="str">
        <f>"11103105626"</f>
        <v>11103105626</v>
      </c>
      <c r="B1693" s="3">
        <v>1</v>
      </c>
      <c r="C1693" s="3">
        <v>56</v>
      </c>
      <c r="D1693" s="3">
        <v>26</v>
      </c>
      <c r="E1693" s="3" t="s">
        <v>8</v>
      </c>
      <c r="F1693" s="4">
        <v>80</v>
      </c>
      <c r="G1693" s="4"/>
      <c r="H1693" s="4">
        <f t="shared" si="157"/>
        <v>80</v>
      </c>
    </row>
    <row r="1694" ht="14.25" spans="1:8">
      <c r="A1694" s="3" t="str">
        <f>"11103105627"</f>
        <v>11103105627</v>
      </c>
      <c r="B1694" s="3">
        <v>1</v>
      </c>
      <c r="C1694" s="3">
        <v>56</v>
      </c>
      <c r="D1694" s="3">
        <v>27</v>
      </c>
      <c r="E1694" s="3" t="s">
        <v>8</v>
      </c>
      <c r="F1694" s="3">
        <v>0</v>
      </c>
      <c r="G1694" s="4"/>
      <c r="H1694" s="3">
        <v>0</v>
      </c>
    </row>
    <row r="1695" ht="14.25" spans="1:8">
      <c r="A1695" s="3" t="str">
        <f>"11103105628"</f>
        <v>11103105628</v>
      </c>
      <c r="B1695" s="3">
        <v>1</v>
      </c>
      <c r="C1695" s="3">
        <v>56</v>
      </c>
      <c r="D1695" s="3">
        <v>28</v>
      </c>
      <c r="E1695" s="3" t="s">
        <v>8</v>
      </c>
      <c r="F1695" s="4">
        <v>77.5</v>
      </c>
      <c r="G1695" s="4"/>
      <c r="H1695" s="4">
        <f t="shared" ref="H1695:H1697" si="158">F1695+G1695</f>
        <v>77.5</v>
      </c>
    </row>
    <row r="1696" ht="14.25" spans="1:8">
      <c r="A1696" s="3" t="str">
        <f>"11103105629"</f>
        <v>11103105629</v>
      </c>
      <c r="B1696" s="3">
        <v>1</v>
      </c>
      <c r="C1696" s="3">
        <v>56</v>
      </c>
      <c r="D1696" s="3">
        <v>29</v>
      </c>
      <c r="E1696" s="3" t="s">
        <v>8</v>
      </c>
      <c r="F1696" s="4">
        <v>52</v>
      </c>
      <c r="G1696" s="4"/>
      <c r="H1696" s="4">
        <f t="shared" si="158"/>
        <v>52</v>
      </c>
    </row>
    <row r="1697" ht="14.25" spans="1:8">
      <c r="A1697" s="3" t="str">
        <f>"11103105630"</f>
        <v>11103105630</v>
      </c>
      <c r="B1697" s="3">
        <v>1</v>
      </c>
      <c r="C1697" s="3">
        <v>56</v>
      </c>
      <c r="D1697" s="3">
        <v>30</v>
      </c>
      <c r="E1697" s="3" t="s">
        <v>8</v>
      </c>
      <c r="F1697" s="4">
        <v>71</v>
      </c>
      <c r="G1697" s="4"/>
      <c r="H1697" s="4">
        <f t="shared" si="158"/>
        <v>71</v>
      </c>
    </row>
    <row r="1698" ht="14.25" spans="1:8">
      <c r="A1698" s="3" t="str">
        <f>"11103105701"</f>
        <v>11103105701</v>
      </c>
      <c r="B1698" s="3">
        <v>1</v>
      </c>
      <c r="C1698" s="3">
        <v>57</v>
      </c>
      <c r="D1698" s="3">
        <v>1</v>
      </c>
      <c r="E1698" s="3" t="s">
        <v>8</v>
      </c>
      <c r="F1698" s="3">
        <v>0</v>
      </c>
      <c r="G1698" s="4"/>
      <c r="H1698" s="3">
        <v>0</v>
      </c>
    </row>
    <row r="1699" ht="14.25" spans="1:8">
      <c r="A1699" s="3" t="str">
        <f>"11103105702"</f>
        <v>11103105702</v>
      </c>
      <c r="B1699" s="3">
        <v>1</v>
      </c>
      <c r="C1699" s="3">
        <v>57</v>
      </c>
      <c r="D1699" s="3">
        <v>2</v>
      </c>
      <c r="E1699" s="3" t="s">
        <v>8</v>
      </c>
      <c r="F1699" s="4">
        <v>86</v>
      </c>
      <c r="G1699" s="4"/>
      <c r="H1699" s="4">
        <f t="shared" ref="H1699:H1701" si="159">F1699+G1699</f>
        <v>86</v>
      </c>
    </row>
    <row r="1700" ht="14.25" spans="1:8">
      <c r="A1700" s="3" t="str">
        <f>"11103105703"</f>
        <v>11103105703</v>
      </c>
      <c r="B1700" s="3">
        <v>1</v>
      </c>
      <c r="C1700" s="3">
        <v>57</v>
      </c>
      <c r="D1700" s="3">
        <v>3</v>
      </c>
      <c r="E1700" s="3" t="s">
        <v>8</v>
      </c>
      <c r="F1700" s="4">
        <v>84.5</v>
      </c>
      <c r="G1700" s="4"/>
      <c r="H1700" s="4">
        <f t="shared" si="159"/>
        <v>84.5</v>
      </c>
    </row>
    <row r="1701" ht="14.25" spans="1:8">
      <c r="A1701" s="3" t="str">
        <f>"11103105704"</f>
        <v>11103105704</v>
      </c>
      <c r="B1701" s="3">
        <v>1</v>
      </c>
      <c r="C1701" s="3">
        <v>57</v>
      </c>
      <c r="D1701" s="3">
        <v>4</v>
      </c>
      <c r="E1701" s="3" t="s">
        <v>8</v>
      </c>
      <c r="F1701" s="4">
        <v>69</v>
      </c>
      <c r="G1701" s="4"/>
      <c r="H1701" s="4">
        <f t="shared" si="159"/>
        <v>69</v>
      </c>
    </row>
    <row r="1702" ht="14.25" spans="1:8">
      <c r="A1702" s="3" t="str">
        <f>"11103105705"</f>
        <v>11103105705</v>
      </c>
      <c r="B1702" s="3">
        <v>1</v>
      </c>
      <c r="C1702" s="3">
        <v>57</v>
      </c>
      <c r="D1702" s="3">
        <v>5</v>
      </c>
      <c r="E1702" s="3" t="s">
        <v>8</v>
      </c>
      <c r="F1702" s="3">
        <v>0</v>
      </c>
      <c r="G1702" s="4"/>
      <c r="H1702" s="3">
        <v>0</v>
      </c>
    </row>
    <row r="1703" ht="14.25" spans="1:8">
      <c r="A1703" s="3" t="str">
        <f>"11103105706"</f>
        <v>11103105706</v>
      </c>
      <c r="B1703" s="3">
        <v>1</v>
      </c>
      <c r="C1703" s="3">
        <v>57</v>
      </c>
      <c r="D1703" s="3">
        <v>6</v>
      </c>
      <c r="E1703" s="3" t="s">
        <v>8</v>
      </c>
      <c r="F1703" s="4">
        <v>83.5</v>
      </c>
      <c r="G1703" s="4"/>
      <c r="H1703" s="4">
        <f t="shared" ref="H1703:H1707" si="160">F1703+G1703</f>
        <v>83.5</v>
      </c>
    </row>
    <row r="1704" ht="14.25" spans="1:8">
      <c r="A1704" s="3" t="str">
        <f>"11103105707"</f>
        <v>11103105707</v>
      </c>
      <c r="B1704" s="3">
        <v>1</v>
      </c>
      <c r="C1704" s="3">
        <v>57</v>
      </c>
      <c r="D1704" s="3">
        <v>7</v>
      </c>
      <c r="E1704" s="3" t="s">
        <v>8</v>
      </c>
      <c r="F1704" s="4">
        <v>61.5</v>
      </c>
      <c r="G1704" s="4"/>
      <c r="H1704" s="4">
        <f t="shared" si="160"/>
        <v>61.5</v>
      </c>
    </row>
    <row r="1705" ht="14.25" spans="1:8">
      <c r="A1705" s="3" t="str">
        <f>"11103105708"</f>
        <v>11103105708</v>
      </c>
      <c r="B1705" s="3">
        <v>1</v>
      </c>
      <c r="C1705" s="3">
        <v>57</v>
      </c>
      <c r="D1705" s="3">
        <v>8</v>
      </c>
      <c r="E1705" s="3" t="s">
        <v>8</v>
      </c>
      <c r="F1705" s="4">
        <v>87.5</v>
      </c>
      <c r="G1705" s="4"/>
      <c r="H1705" s="4">
        <f t="shared" si="160"/>
        <v>87.5</v>
      </c>
    </row>
    <row r="1706" ht="14.25" spans="1:8">
      <c r="A1706" s="3" t="str">
        <f>"11103105709"</f>
        <v>11103105709</v>
      </c>
      <c r="B1706" s="3">
        <v>1</v>
      </c>
      <c r="C1706" s="3">
        <v>57</v>
      </c>
      <c r="D1706" s="3">
        <v>9</v>
      </c>
      <c r="E1706" s="3" t="s">
        <v>8</v>
      </c>
      <c r="F1706" s="4">
        <v>76</v>
      </c>
      <c r="G1706" s="4"/>
      <c r="H1706" s="4">
        <f t="shared" si="160"/>
        <v>76</v>
      </c>
    </row>
    <row r="1707" ht="14.25" spans="1:8">
      <c r="A1707" s="3" t="str">
        <f>"11103105710"</f>
        <v>11103105710</v>
      </c>
      <c r="B1707" s="3">
        <v>1</v>
      </c>
      <c r="C1707" s="3">
        <v>57</v>
      </c>
      <c r="D1707" s="3">
        <v>10</v>
      </c>
      <c r="E1707" s="3" t="s">
        <v>8</v>
      </c>
      <c r="F1707" s="4">
        <v>77</v>
      </c>
      <c r="G1707" s="4"/>
      <c r="H1707" s="4">
        <f t="shared" si="160"/>
        <v>77</v>
      </c>
    </row>
    <row r="1708" ht="14.25" spans="1:8">
      <c r="A1708" s="3" t="str">
        <f>"11104105711"</f>
        <v>11104105711</v>
      </c>
      <c r="B1708" s="3">
        <v>1</v>
      </c>
      <c r="C1708" s="3">
        <v>57</v>
      </c>
      <c r="D1708" s="3">
        <v>11</v>
      </c>
      <c r="E1708" s="3" t="s">
        <v>8</v>
      </c>
      <c r="F1708" s="3">
        <v>0</v>
      </c>
      <c r="G1708" s="4"/>
      <c r="H1708" s="3">
        <v>0</v>
      </c>
    </row>
    <row r="1709" ht="14.25" spans="1:8">
      <c r="A1709" s="3" t="str">
        <f>"11104105712"</f>
        <v>11104105712</v>
      </c>
      <c r="B1709" s="3">
        <v>1</v>
      </c>
      <c r="C1709" s="3">
        <v>57</v>
      </c>
      <c r="D1709" s="3">
        <v>12</v>
      </c>
      <c r="E1709" s="3" t="s">
        <v>8</v>
      </c>
      <c r="F1709" s="4">
        <v>78.5</v>
      </c>
      <c r="G1709" s="4"/>
      <c r="H1709" s="4">
        <f t="shared" ref="H1709:H1714" si="161">F1709+G1709</f>
        <v>78.5</v>
      </c>
    </row>
    <row r="1710" ht="14.25" spans="1:8">
      <c r="A1710" s="3" t="str">
        <f>"11104105713"</f>
        <v>11104105713</v>
      </c>
      <c r="B1710" s="3">
        <v>1</v>
      </c>
      <c r="C1710" s="3">
        <v>57</v>
      </c>
      <c r="D1710" s="3">
        <v>13</v>
      </c>
      <c r="E1710" s="3" t="s">
        <v>8</v>
      </c>
      <c r="F1710" s="4">
        <v>55.5</v>
      </c>
      <c r="G1710" s="4"/>
      <c r="H1710" s="4">
        <f t="shared" si="161"/>
        <v>55.5</v>
      </c>
    </row>
    <row r="1711" ht="14.25" spans="1:8">
      <c r="A1711" s="3" t="str">
        <f>"11104105714"</f>
        <v>11104105714</v>
      </c>
      <c r="B1711" s="3">
        <v>1</v>
      </c>
      <c r="C1711" s="3">
        <v>57</v>
      </c>
      <c r="D1711" s="3">
        <v>14</v>
      </c>
      <c r="E1711" s="3" t="s">
        <v>8</v>
      </c>
      <c r="F1711" s="4">
        <v>84.5</v>
      </c>
      <c r="G1711" s="4"/>
      <c r="H1711" s="4">
        <f t="shared" si="161"/>
        <v>84.5</v>
      </c>
    </row>
    <row r="1712" ht="14.25" spans="1:8">
      <c r="A1712" s="3" t="str">
        <f>"11104105715"</f>
        <v>11104105715</v>
      </c>
      <c r="B1712" s="3">
        <v>1</v>
      </c>
      <c r="C1712" s="3">
        <v>57</v>
      </c>
      <c r="D1712" s="3">
        <v>15</v>
      </c>
      <c r="E1712" s="3" t="s">
        <v>8</v>
      </c>
      <c r="F1712" s="4">
        <v>55</v>
      </c>
      <c r="G1712" s="4"/>
      <c r="H1712" s="4">
        <f t="shared" si="161"/>
        <v>55</v>
      </c>
    </row>
    <row r="1713" ht="14.25" spans="1:8">
      <c r="A1713" s="3" t="str">
        <f>"11104105716"</f>
        <v>11104105716</v>
      </c>
      <c r="B1713" s="3">
        <v>1</v>
      </c>
      <c r="C1713" s="3">
        <v>57</v>
      </c>
      <c r="D1713" s="3">
        <v>16</v>
      </c>
      <c r="E1713" s="3" t="s">
        <v>8</v>
      </c>
      <c r="F1713" s="4">
        <v>64</v>
      </c>
      <c r="G1713" s="4"/>
      <c r="H1713" s="4">
        <f t="shared" si="161"/>
        <v>64</v>
      </c>
    </row>
    <row r="1714" ht="14.25" spans="1:8">
      <c r="A1714" s="3" t="str">
        <f>"11104105717"</f>
        <v>11104105717</v>
      </c>
      <c r="B1714" s="3">
        <v>1</v>
      </c>
      <c r="C1714" s="3">
        <v>57</v>
      </c>
      <c r="D1714" s="3">
        <v>17</v>
      </c>
      <c r="E1714" s="3" t="s">
        <v>8</v>
      </c>
      <c r="F1714" s="4">
        <v>56.5</v>
      </c>
      <c r="G1714" s="4"/>
      <c r="H1714" s="4">
        <f t="shared" si="161"/>
        <v>56.5</v>
      </c>
    </row>
    <row r="1715" ht="14.25" spans="1:8">
      <c r="A1715" s="3" t="str">
        <f>"11104105718"</f>
        <v>11104105718</v>
      </c>
      <c r="B1715" s="3">
        <v>1</v>
      </c>
      <c r="C1715" s="3">
        <v>57</v>
      </c>
      <c r="D1715" s="3">
        <v>18</v>
      </c>
      <c r="E1715" s="3" t="s">
        <v>8</v>
      </c>
      <c r="F1715" s="3">
        <v>0</v>
      </c>
      <c r="G1715" s="4"/>
      <c r="H1715" s="3">
        <v>0</v>
      </c>
    </row>
    <row r="1716" ht="14.25" spans="1:8">
      <c r="A1716" s="3" t="str">
        <f>"11104105719"</f>
        <v>11104105719</v>
      </c>
      <c r="B1716" s="3">
        <v>1</v>
      </c>
      <c r="C1716" s="3">
        <v>57</v>
      </c>
      <c r="D1716" s="3">
        <v>19</v>
      </c>
      <c r="E1716" s="3" t="s">
        <v>8</v>
      </c>
      <c r="F1716" s="4">
        <v>57.5</v>
      </c>
      <c r="G1716" s="4"/>
      <c r="H1716" s="4">
        <f t="shared" ref="H1716:H1719" si="162">F1716+G1716</f>
        <v>57.5</v>
      </c>
    </row>
    <row r="1717" ht="14.25" spans="1:8">
      <c r="A1717" s="3" t="str">
        <f>"11104105720"</f>
        <v>11104105720</v>
      </c>
      <c r="B1717" s="3">
        <v>1</v>
      </c>
      <c r="C1717" s="3">
        <v>57</v>
      </c>
      <c r="D1717" s="3">
        <v>20</v>
      </c>
      <c r="E1717" s="3" t="s">
        <v>8</v>
      </c>
      <c r="F1717" s="4">
        <v>60.5</v>
      </c>
      <c r="G1717" s="4"/>
      <c r="H1717" s="4">
        <f t="shared" si="162"/>
        <v>60.5</v>
      </c>
    </row>
    <row r="1718" ht="14.25" spans="1:8">
      <c r="A1718" s="3" t="str">
        <f>"11104105721"</f>
        <v>11104105721</v>
      </c>
      <c r="B1718" s="3">
        <v>1</v>
      </c>
      <c r="C1718" s="3">
        <v>57</v>
      </c>
      <c r="D1718" s="3">
        <v>21</v>
      </c>
      <c r="E1718" s="3" t="s">
        <v>8</v>
      </c>
      <c r="F1718" s="4">
        <v>65</v>
      </c>
      <c r="G1718" s="4"/>
      <c r="H1718" s="4">
        <f t="shared" si="162"/>
        <v>65</v>
      </c>
    </row>
    <row r="1719" ht="14.25" spans="1:8">
      <c r="A1719" s="3" t="str">
        <f>"11105105722"</f>
        <v>11105105722</v>
      </c>
      <c r="B1719" s="3">
        <v>1</v>
      </c>
      <c r="C1719" s="3">
        <v>57</v>
      </c>
      <c r="D1719" s="3">
        <v>22</v>
      </c>
      <c r="E1719" s="3" t="s">
        <v>8</v>
      </c>
      <c r="F1719" s="4">
        <v>55</v>
      </c>
      <c r="G1719" s="4"/>
      <c r="H1719" s="4">
        <f t="shared" si="162"/>
        <v>55</v>
      </c>
    </row>
    <row r="1720" ht="14.25" spans="1:8">
      <c r="A1720" s="3" t="str">
        <f>"11105105723"</f>
        <v>11105105723</v>
      </c>
      <c r="B1720" s="3">
        <v>1</v>
      </c>
      <c r="C1720" s="3">
        <v>57</v>
      </c>
      <c r="D1720" s="3">
        <v>23</v>
      </c>
      <c r="E1720" s="3" t="s">
        <v>8</v>
      </c>
      <c r="F1720" s="3">
        <v>0</v>
      </c>
      <c r="G1720" s="4"/>
      <c r="H1720" s="3">
        <v>0</v>
      </c>
    </row>
    <row r="1721" ht="14.25" spans="1:8">
      <c r="A1721" s="3" t="str">
        <f>"11105105724"</f>
        <v>11105105724</v>
      </c>
      <c r="B1721" s="3">
        <v>1</v>
      </c>
      <c r="C1721" s="3">
        <v>57</v>
      </c>
      <c r="D1721" s="3">
        <v>24</v>
      </c>
      <c r="E1721" s="3" t="s">
        <v>8</v>
      </c>
      <c r="F1721" s="4">
        <v>56</v>
      </c>
      <c r="G1721" s="4"/>
      <c r="H1721" s="4">
        <f t="shared" ref="H1721:H1723" si="163">F1721+G1721</f>
        <v>56</v>
      </c>
    </row>
    <row r="1722" ht="14.25" spans="1:8">
      <c r="A1722" s="3" t="str">
        <f>"11105105725"</f>
        <v>11105105725</v>
      </c>
      <c r="B1722" s="3">
        <v>1</v>
      </c>
      <c r="C1722" s="3">
        <v>57</v>
      </c>
      <c r="D1722" s="3">
        <v>25</v>
      </c>
      <c r="E1722" s="3" t="s">
        <v>8</v>
      </c>
      <c r="F1722" s="4">
        <v>57.5</v>
      </c>
      <c r="G1722" s="4"/>
      <c r="H1722" s="4">
        <f t="shared" si="163"/>
        <v>57.5</v>
      </c>
    </row>
    <row r="1723" ht="14.25" spans="1:8">
      <c r="A1723" s="3" t="str">
        <f>"11105105726"</f>
        <v>11105105726</v>
      </c>
      <c r="B1723" s="3">
        <v>1</v>
      </c>
      <c r="C1723" s="3">
        <v>57</v>
      </c>
      <c r="D1723" s="3">
        <v>26</v>
      </c>
      <c r="E1723" s="3" t="s">
        <v>8</v>
      </c>
      <c r="F1723" s="4">
        <v>61</v>
      </c>
      <c r="G1723" s="4"/>
      <c r="H1723" s="4">
        <f t="shared" si="163"/>
        <v>61</v>
      </c>
    </row>
    <row r="1724" ht="14.25" spans="1:8">
      <c r="A1724" s="3" t="str">
        <f>"11105105727"</f>
        <v>11105105727</v>
      </c>
      <c r="B1724" s="3">
        <v>1</v>
      </c>
      <c r="C1724" s="3">
        <v>57</v>
      </c>
      <c r="D1724" s="3">
        <v>27</v>
      </c>
      <c r="E1724" s="3" t="s">
        <v>8</v>
      </c>
      <c r="F1724" s="3">
        <v>0</v>
      </c>
      <c r="G1724" s="4"/>
      <c r="H1724" s="3">
        <v>0</v>
      </c>
    </row>
    <row r="1725" ht="14.25" spans="1:8">
      <c r="A1725" s="3" t="str">
        <f>"11105105728"</f>
        <v>11105105728</v>
      </c>
      <c r="B1725" s="3">
        <v>1</v>
      </c>
      <c r="C1725" s="3">
        <v>57</v>
      </c>
      <c r="D1725" s="3">
        <v>28</v>
      </c>
      <c r="E1725" s="3" t="s">
        <v>8</v>
      </c>
      <c r="F1725" s="4">
        <v>62</v>
      </c>
      <c r="G1725" s="4"/>
      <c r="H1725" s="4">
        <f t="shared" ref="H1725:H1727" si="164">F1725+G1725</f>
        <v>62</v>
      </c>
    </row>
    <row r="1726" ht="14.25" spans="1:8">
      <c r="A1726" s="3" t="str">
        <f>"11105105729"</f>
        <v>11105105729</v>
      </c>
      <c r="B1726" s="3">
        <v>1</v>
      </c>
      <c r="C1726" s="3">
        <v>57</v>
      </c>
      <c r="D1726" s="3">
        <v>29</v>
      </c>
      <c r="E1726" s="3" t="s">
        <v>8</v>
      </c>
      <c r="F1726" s="4">
        <v>87</v>
      </c>
      <c r="G1726" s="4"/>
      <c r="H1726" s="4">
        <f t="shared" si="164"/>
        <v>87</v>
      </c>
    </row>
    <row r="1727" ht="14.25" spans="1:8">
      <c r="A1727" s="3" t="str">
        <f>"11105105730"</f>
        <v>11105105730</v>
      </c>
      <c r="B1727" s="3">
        <v>1</v>
      </c>
      <c r="C1727" s="3">
        <v>57</v>
      </c>
      <c r="D1727" s="3">
        <v>30</v>
      </c>
      <c r="E1727" s="3" t="s">
        <v>8</v>
      </c>
      <c r="F1727" s="4">
        <v>74.5</v>
      </c>
      <c r="G1727" s="4"/>
      <c r="H1727" s="4">
        <f t="shared" si="164"/>
        <v>74.5</v>
      </c>
    </row>
    <row r="1728" ht="14.25" spans="1:8">
      <c r="A1728" s="3" t="str">
        <f>"11105105801"</f>
        <v>11105105801</v>
      </c>
      <c r="B1728" s="3">
        <v>1</v>
      </c>
      <c r="C1728" s="3">
        <v>58</v>
      </c>
      <c r="D1728" s="3">
        <v>1</v>
      </c>
      <c r="E1728" s="3" t="s">
        <v>8</v>
      </c>
      <c r="F1728" s="3">
        <v>0</v>
      </c>
      <c r="G1728" s="4"/>
      <c r="H1728" s="3">
        <v>0</v>
      </c>
    </row>
    <row r="1729" ht="14.25" spans="1:8">
      <c r="A1729" s="3" t="str">
        <f>"11105105802"</f>
        <v>11105105802</v>
      </c>
      <c r="B1729" s="3">
        <v>1</v>
      </c>
      <c r="C1729" s="3">
        <v>58</v>
      </c>
      <c r="D1729" s="3">
        <v>2</v>
      </c>
      <c r="E1729" s="3" t="s">
        <v>8</v>
      </c>
      <c r="F1729" s="4">
        <v>79</v>
      </c>
      <c r="G1729" s="4"/>
      <c r="H1729" s="4">
        <f t="shared" ref="H1729:H1734" si="165">F1729+G1729</f>
        <v>79</v>
      </c>
    </row>
    <row r="1730" ht="14.25" spans="1:8">
      <c r="A1730" s="3" t="str">
        <f>"11105105803"</f>
        <v>11105105803</v>
      </c>
      <c r="B1730" s="3">
        <v>1</v>
      </c>
      <c r="C1730" s="3">
        <v>58</v>
      </c>
      <c r="D1730" s="3">
        <v>3</v>
      </c>
      <c r="E1730" s="3" t="s">
        <v>8</v>
      </c>
      <c r="F1730" s="4">
        <v>60</v>
      </c>
      <c r="G1730" s="4"/>
      <c r="H1730" s="4">
        <f t="shared" si="165"/>
        <v>60</v>
      </c>
    </row>
    <row r="1731" ht="14.25" spans="1:8">
      <c r="A1731" s="3" t="str">
        <f>"11105105804"</f>
        <v>11105105804</v>
      </c>
      <c r="B1731" s="3">
        <v>1</v>
      </c>
      <c r="C1731" s="3">
        <v>58</v>
      </c>
      <c r="D1731" s="3">
        <v>4</v>
      </c>
      <c r="E1731" s="3" t="s">
        <v>8</v>
      </c>
      <c r="F1731" s="4">
        <v>73</v>
      </c>
      <c r="G1731" s="4"/>
      <c r="H1731" s="4">
        <f t="shared" si="165"/>
        <v>73</v>
      </c>
    </row>
    <row r="1732" ht="14.25" spans="1:8">
      <c r="A1732" s="3" t="str">
        <f>"11105105805"</f>
        <v>11105105805</v>
      </c>
      <c r="B1732" s="3">
        <v>1</v>
      </c>
      <c r="C1732" s="3">
        <v>58</v>
      </c>
      <c r="D1732" s="3">
        <v>5</v>
      </c>
      <c r="E1732" s="3" t="s">
        <v>8</v>
      </c>
      <c r="F1732" s="4">
        <v>61.5</v>
      </c>
      <c r="G1732" s="4"/>
      <c r="H1732" s="4">
        <f t="shared" si="165"/>
        <v>61.5</v>
      </c>
    </row>
    <row r="1733" ht="14.25" spans="1:8">
      <c r="A1733" s="3" t="str">
        <f>"11105105806"</f>
        <v>11105105806</v>
      </c>
      <c r="B1733" s="3">
        <v>1</v>
      </c>
      <c r="C1733" s="3">
        <v>58</v>
      </c>
      <c r="D1733" s="3">
        <v>6</v>
      </c>
      <c r="E1733" s="3" t="s">
        <v>8</v>
      </c>
      <c r="F1733" s="4">
        <v>67.5</v>
      </c>
      <c r="G1733" s="4"/>
      <c r="H1733" s="4">
        <f t="shared" si="165"/>
        <v>67.5</v>
      </c>
    </row>
    <row r="1734" ht="14.25" spans="1:8">
      <c r="A1734" s="3" t="str">
        <f>"11105105807"</f>
        <v>11105105807</v>
      </c>
      <c r="B1734" s="3">
        <v>1</v>
      </c>
      <c r="C1734" s="3">
        <v>58</v>
      </c>
      <c r="D1734" s="3">
        <v>7</v>
      </c>
      <c r="E1734" s="3" t="s">
        <v>8</v>
      </c>
      <c r="F1734" s="4">
        <v>57.5</v>
      </c>
      <c r="G1734" s="4"/>
      <c r="H1734" s="4">
        <f t="shared" si="165"/>
        <v>57.5</v>
      </c>
    </row>
    <row r="1735" ht="14.25" spans="1:8">
      <c r="A1735" s="3" t="str">
        <f>"11105105808"</f>
        <v>11105105808</v>
      </c>
      <c r="B1735" s="3">
        <v>1</v>
      </c>
      <c r="C1735" s="3">
        <v>58</v>
      </c>
      <c r="D1735" s="3">
        <v>8</v>
      </c>
      <c r="E1735" s="3" t="s">
        <v>8</v>
      </c>
      <c r="F1735" s="3">
        <v>0</v>
      </c>
      <c r="G1735" s="4"/>
      <c r="H1735" s="3">
        <v>0</v>
      </c>
    </row>
    <row r="1736" ht="14.25" spans="1:8">
      <c r="A1736" s="3" t="str">
        <f>"11106105809"</f>
        <v>11106105809</v>
      </c>
      <c r="B1736" s="3">
        <v>1</v>
      </c>
      <c r="C1736" s="3">
        <v>58</v>
      </c>
      <c r="D1736" s="3">
        <v>9</v>
      </c>
      <c r="E1736" s="3" t="s">
        <v>8</v>
      </c>
      <c r="F1736" s="4">
        <v>59.5</v>
      </c>
      <c r="G1736" s="4"/>
      <c r="H1736" s="4">
        <f t="shared" ref="H1736:H1742" si="166">F1736+G1736</f>
        <v>59.5</v>
      </c>
    </row>
    <row r="1737" ht="14.25" spans="1:8">
      <c r="A1737" s="3" t="str">
        <f>"11106105810"</f>
        <v>11106105810</v>
      </c>
      <c r="B1737" s="3">
        <v>1</v>
      </c>
      <c r="C1737" s="3">
        <v>58</v>
      </c>
      <c r="D1737" s="3">
        <v>10</v>
      </c>
      <c r="E1737" s="3" t="s">
        <v>8</v>
      </c>
      <c r="F1737" s="4">
        <v>70</v>
      </c>
      <c r="G1737" s="4"/>
      <c r="H1737" s="4">
        <f t="shared" si="166"/>
        <v>70</v>
      </c>
    </row>
    <row r="1738" ht="14.25" spans="1:8">
      <c r="A1738" s="3" t="str">
        <f>"11106105811"</f>
        <v>11106105811</v>
      </c>
      <c r="B1738" s="3">
        <v>1</v>
      </c>
      <c r="C1738" s="3">
        <v>58</v>
      </c>
      <c r="D1738" s="3">
        <v>11</v>
      </c>
      <c r="E1738" s="3" t="s">
        <v>8</v>
      </c>
      <c r="F1738" s="4">
        <v>78</v>
      </c>
      <c r="G1738" s="4"/>
      <c r="H1738" s="4">
        <f t="shared" si="166"/>
        <v>78</v>
      </c>
    </row>
    <row r="1739" ht="14.25" spans="1:8">
      <c r="A1739" s="3" t="str">
        <f>"11106105812"</f>
        <v>11106105812</v>
      </c>
      <c r="B1739" s="3">
        <v>1</v>
      </c>
      <c r="C1739" s="3">
        <v>58</v>
      </c>
      <c r="D1739" s="3">
        <v>12</v>
      </c>
      <c r="E1739" s="3" t="s">
        <v>8</v>
      </c>
      <c r="F1739" s="4">
        <v>50.5</v>
      </c>
      <c r="G1739" s="4"/>
      <c r="H1739" s="4">
        <f t="shared" si="166"/>
        <v>50.5</v>
      </c>
    </row>
    <row r="1740" ht="14.25" spans="1:8">
      <c r="A1740" s="3" t="str">
        <f>"11106105813"</f>
        <v>11106105813</v>
      </c>
      <c r="B1740" s="3">
        <v>1</v>
      </c>
      <c r="C1740" s="3">
        <v>58</v>
      </c>
      <c r="D1740" s="3">
        <v>13</v>
      </c>
      <c r="E1740" s="3" t="s">
        <v>8</v>
      </c>
      <c r="F1740" s="4">
        <v>85.5</v>
      </c>
      <c r="G1740" s="4"/>
      <c r="H1740" s="4">
        <f t="shared" si="166"/>
        <v>85.5</v>
      </c>
    </row>
    <row r="1741" ht="14.25" spans="1:8">
      <c r="A1741" s="3" t="str">
        <f>"11106105814"</f>
        <v>11106105814</v>
      </c>
      <c r="B1741" s="3">
        <v>1</v>
      </c>
      <c r="C1741" s="3">
        <v>58</v>
      </c>
      <c r="D1741" s="3">
        <v>14</v>
      </c>
      <c r="E1741" s="3" t="s">
        <v>8</v>
      </c>
      <c r="F1741" s="4">
        <v>77</v>
      </c>
      <c r="G1741" s="4"/>
      <c r="H1741" s="4">
        <f t="shared" si="166"/>
        <v>77</v>
      </c>
    </row>
    <row r="1742" ht="14.25" spans="1:8">
      <c r="A1742" s="3" t="str">
        <f>"11106105815"</f>
        <v>11106105815</v>
      </c>
      <c r="B1742" s="3">
        <v>1</v>
      </c>
      <c r="C1742" s="3">
        <v>58</v>
      </c>
      <c r="D1742" s="3">
        <v>15</v>
      </c>
      <c r="E1742" s="3" t="s">
        <v>8</v>
      </c>
      <c r="F1742" s="4">
        <v>68.5</v>
      </c>
      <c r="G1742" s="4"/>
      <c r="H1742" s="4">
        <f t="shared" si="166"/>
        <v>68.5</v>
      </c>
    </row>
    <row r="1743" ht="14.25" spans="1:8">
      <c r="A1743" s="3" t="str">
        <f>"11106105816"</f>
        <v>11106105816</v>
      </c>
      <c r="B1743" s="3">
        <v>1</v>
      </c>
      <c r="C1743" s="3">
        <v>58</v>
      </c>
      <c r="D1743" s="3">
        <v>16</v>
      </c>
      <c r="E1743" s="3" t="s">
        <v>8</v>
      </c>
      <c r="F1743" s="3">
        <v>0</v>
      </c>
      <c r="G1743" s="4"/>
      <c r="H1743" s="3">
        <v>0</v>
      </c>
    </row>
    <row r="1744" ht="14.25" spans="1:8">
      <c r="A1744" s="3" t="str">
        <f>"11106105817"</f>
        <v>11106105817</v>
      </c>
      <c r="B1744" s="3">
        <v>1</v>
      </c>
      <c r="C1744" s="3">
        <v>58</v>
      </c>
      <c r="D1744" s="3">
        <v>17</v>
      </c>
      <c r="E1744" s="3" t="s">
        <v>8</v>
      </c>
      <c r="F1744" s="4">
        <v>64</v>
      </c>
      <c r="G1744" s="4"/>
      <c r="H1744" s="4">
        <f t="shared" ref="H1744:H1748" si="167">F1744+G1744</f>
        <v>64</v>
      </c>
    </row>
    <row r="1745" ht="14.25" spans="1:8">
      <c r="A1745" s="3" t="str">
        <f>"11106105818"</f>
        <v>11106105818</v>
      </c>
      <c r="B1745" s="3">
        <v>1</v>
      </c>
      <c r="C1745" s="3">
        <v>58</v>
      </c>
      <c r="D1745" s="3">
        <v>18</v>
      </c>
      <c r="E1745" s="3" t="s">
        <v>8</v>
      </c>
      <c r="F1745" s="4">
        <v>86.5</v>
      </c>
      <c r="G1745" s="4"/>
      <c r="H1745" s="4">
        <f t="shared" si="167"/>
        <v>86.5</v>
      </c>
    </row>
    <row r="1746" ht="14.25" spans="1:8">
      <c r="A1746" s="3" t="str">
        <f>"11106105819"</f>
        <v>11106105819</v>
      </c>
      <c r="B1746" s="3">
        <v>1</v>
      </c>
      <c r="C1746" s="3">
        <v>58</v>
      </c>
      <c r="D1746" s="3">
        <v>19</v>
      </c>
      <c r="E1746" s="3" t="s">
        <v>8</v>
      </c>
      <c r="F1746" s="4">
        <v>59</v>
      </c>
      <c r="G1746" s="4"/>
      <c r="H1746" s="4">
        <f t="shared" si="167"/>
        <v>59</v>
      </c>
    </row>
    <row r="1747" ht="14.25" spans="1:8">
      <c r="A1747" s="3" t="str">
        <f>"11106105820"</f>
        <v>11106105820</v>
      </c>
      <c r="B1747" s="3">
        <v>1</v>
      </c>
      <c r="C1747" s="3">
        <v>58</v>
      </c>
      <c r="D1747" s="3">
        <v>20</v>
      </c>
      <c r="E1747" s="3" t="s">
        <v>8</v>
      </c>
      <c r="F1747" s="4">
        <v>86</v>
      </c>
      <c r="G1747" s="4"/>
      <c r="H1747" s="4">
        <f t="shared" si="167"/>
        <v>86</v>
      </c>
    </row>
    <row r="1748" ht="14.25" spans="1:8">
      <c r="A1748" s="3" t="str">
        <f>"11106105821"</f>
        <v>11106105821</v>
      </c>
      <c r="B1748" s="3">
        <v>1</v>
      </c>
      <c r="C1748" s="3">
        <v>58</v>
      </c>
      <c r="D1748" s="3">
        <v>21</v>
      </c>
      <c r="E1748" s="3" t="s">
        <v>8</v>
      </c>
      <c r="F1748" s="4">
        <v>46.5</v>
      </c>
      <c r="G1748" s="4"/>
      <c r="H1748" s="4">
        <f t="shared" si="167"/>
        <v>46.5</v>
      </c>
    </row>
    <row r="1749" ht="14.25" spans="1:8">
      <c r="A1749" s="3" t="str">
        <f>"11106105822"</f>
        <v>11106105822</v>
      </c>
      <c r="B1749" s="3">
        <v>1</v>
      </c>
      <c r="C1749" s="3">
        <v>58</v>
      </c>
      <c r="D1749" s="3">
        <v>22</v>
      </c>
      <c r="E1749" s="3" t="s">
        <v>8</v>
      </c>
      <c r="F1749" s="3">
        <v>0</v>
      </c>
      <c r="G1749" s="4"/>
      <c r="H1749" s="3">
        <v>0</v>
      </c>
    </row>
    <row r="1750" ht="14.25" spans="1:8">
      <c r="A1750" s="3" t="str">
        <f>"11106105823"</f>
        <v>11106105823</v>
      </c>
      <c r="B1750" s="3">
        <v>1</v>
      </c>
      <c r="C1750" s="3">
        <v>58</v>
      </c>
      <c r="D1750" s="3">
        <v>23</v>
      </c>
      <c r="E1750" s="3" t="s">
        <v>8</v>
      </c>
      <c r="F1750" s="4">
        <v>73</v>
      </c>
      <c r="G1750" s="4"/>
      <c r="H1750" s="4">
        <f t="shared" ref="H1750:H1763" si="168">F1750+G1750</f>
        <v>73</v>
      </c>
    </row>
    <row r="1751" ht="14.25" spans="1:8">
      <c r="A1751" s="3" t="str">
        <f>"11106105824"</f>
        <v>11106105824</v>
      </c>
      <c r="B1751" s="3">
        <v>1</v>
      </c>
      <c r="C1751" s="3">
        <v>58</v>
      </c>
      <c r="D1751" s="3">
        <v>24</v>
      </c>
      <c r="E1751" s="3" t="s">
        <v>8</v>
      </c>
      <c r="F1751" s="4">
        <v>84.5</v>
      </c>
      <c r="G1751" s="4"/>
      <c r="H1751" s="4">
        <f t="shared" si="168"/>
        <v>84.5</v>
      </c>
    </row>
    <row r="1752" ht="14.25" spans="1:8">
      <c r="A1752" s="3" t="str">
        <f>"11106105825"</f>
        <v>11106105825</v>
      </c>
      <c r="B1752" s="3">
        <v>1</v>
      </c>
      <c r="C1752" s="3">
        <v>58</v>
      </c>
      <c r="D1752" s="3">
        <v>25</v>
      </c>
      <c r="E1752" s="3" t="s">
        <v>8</v>
      </c>
      <c r="F1752" s="4">
        <v>78</v>
      </c>
      <c r="G1752" s="4"/>
      <c r="H1752" s="4">
        <f t="shared" si="168"/>
        <v>78</v>
      </c>
    </row>
    <row r="1753" ht="14.25" spans="1:8">
      <c r="A1753" s="3" t="str">
        <f>"11106105826"</f>
        <v>11106105826</v>
      </c>
      <c r="B1753" s="3">
        <v>1</v>
      </c>
      <c r="C1753" s="3">
        <v>58</v>
      </c>
      <c r="D1753" s="3">
        <v>26</v>
      </c>
      <c r="E1753" s="3" t="s">
        <v>8</v>
      </c>
      <c r="F1753" s="4">
        <v>56</v>
      </c>
      <c r="G1753" s="4"/>
      <c r="H1753" s="4">
        <f t="shared" si="168"/>
        <v>56</v>
      </c>
    </row>
    <row r="1754" ht="14.25" spans="1:8">
      <c r="A1754" s="3" t="str">
        <f>"11106105827"</f>
        <v>11106105827</v>
      </c>
      <c r="B1754" s="3">
        <v>1</v>
      </c>
      <c r="C1754" s="3">
        <v>58</v>
      </c>
      <c r="D1754" s="3">
        <v>27</v>
      </c>
      <c r="E1754" s="3" t="s">
        <v>8</v>
      </c>
      <c r="F1754" s="4">
        <v>87</v>
      </c>
      <c r="G1754" s="4"/>
      <c r="H1754" s="4">
        <f t="shared" si="168"/>
        <v>87</v>
      </c>
    </row>
    <row r="1755" ht="14.25" spans="1:8">
      <c r="A1755" s="3" t="str">
        <f>"11106105828"</f>
        <v>11106105828</v>
      </c>
      <c r="B1755" s="3">
        <v>1</v>
      </c>
      <c r="C1755" s="3">
        <v>58</v>
      </c>
      <c r="D1755" s="3">
        <v>28</v>
      </c>
      <c r="E1755" s="3" t="s">
        <v>8</v>
      </c>
      <c r="F1755" s="4">
        <v>78</v>
      </c>
      <c r="G1755" s="4"/>
      <c r="H1755" s="4">
        <f t="shared" si="168"/>
        <v>78</v>
      </c>
    </row>
    <row r="1756" ht="14.25" spans="1:8">
      <c r="A1756" s="3" t="str">
        <f>"11106105829"</f>
        <v>11106105829</v>
      </c>
      <c r="B1756" s="3">
        <v>1</v>
      </c>
      <c r="C1756" s="3">
        <v>58</v>
      </c>
      <c r="D1756" s="3">
        <v>29</v>
      </c>
      <c r="E1756" s="3" t="s">
        <v>8</v>
      </c>
      <c r="F1756" s="4">
        <v>67</v>
      </c>
      <c r="G1756" s="4"/>
      <c r="H1756" s="4">
        <f t="shared" si="168"/>
        <v>67</v>
      </c>
    </row>
    <row r="1757" ht="14.25" spans="1:8">
      <c r="A1757" s="3" t="str">
        <f>"11106105830"</f>
        <v>11106105830</v>
      </c>
      <c r="B1757" s="3">
        <v>1</v>
      </c>
      <c r="C1757" s="3">
        <v>58</v>
      </c>
      <c r="D1757" s="3">
        <v>30</v>
      </c>
      <c r="E1757" s="3" t="s">
        <v>8</v>
      </c>
      <c r="F1757" s="4">
        <v>70</v>
      </c>
      <c r="G1757" s="4"/>
      <c r="H1757" s="4">
        <f t="shared" si="168"/>
        <v>70</v>
      </c>
    </row>
    <row r="1758" ht="14.25" spans="1:8">
      <c r="A1758" s="3" t="str">
        <f>"11106105901"</f>
        <v>11106105901</v>
      </c>
      <c r="B1758" s="3">
        <v>1</v>
      </c>
      <c r="C1758" s="3">
        <v>59</v>
      </c>
      <c r="D1758" s="3">
        <v>1</v>
      </c>
      <c r="E1758" s="3" t="s">
        <v>8</v>
      </c>
      <c r="F1758" s="4">
        <v>61</v>
      </c>
      <c r="G1758" s="4"/>
      <c r="H1758" s="4">
        <f t="shared" si="168"/>
        <v>61</v>
      </c>
    </row>
    <row r="1759" ht="14.25" spans="1:8">
      <c r="A1759" s="3" t="str">
        <f>"11106105902"</f>
        <v>11106105902</v>
      </c>
      <c r="B1759" s="3">
        <v>1</v>
      </c>
      <c r="C1759" s="3">
        <v>59</v>
      </c>
      <c r="D1759" s="3">
        <v>2</v>
      </c>
      <c r="E1759" s="3" t="s">
        <v>8</v>
      </c>
      <c r="F1759" s="4">
        <v>73</v>
      </c>
      <c r="G1759" s="4"/>
      <c r="H1759" s="4">
        <f t="shared" si="168"/>
        <v>73</v>
      </c>
    </row>
    <row r="1760" ht="14.25" spans="1:8">
      <c r="A1760" s="3" t="str">
        <f>"11106105903"</f>
        <v>11106105903</v>
      </c>
      <c r="B1760" s="3">
        <v>1</v>
      </c>
      <c r="C1760" s="3">
        <v>59</v>
      </c>
      <c r="D1760" s="3">
        <v>3</v>
      </c>
      <c r="E1760" s="3" t="s">
        <v>8</v>
      </c>
      <c r="F1760" s="4">
        <v>53</v>
      </c>
      <c r="G1760" s="4"/>
      <c r="H1760" s="4">
        <f t="shared" si="168"/>
        <v>53</v>
      </c>
    </row>
    <row r="1761" ht="14.25" spans="1:8">
      <c r="A1761" s="3" t="str">
        <f>"11106105904"</f>
        <v>11106105904</v>
      </c>
      <c r="B1761" s="3">
        <v>1</v>
      </c>
      <c r="C1761" s="3">
        <v>59</v>
      </c>
      <c r="D1761" s="3">
        <v>4</v>
      </c>
      <c r="E1761" s="3" t="s">
        <v>8</v>
      </c>
      <c r="F1761" s="4">
        <v>86.5</v>
      </c>
      <c r="G1761" s="4"/>
      <c r="H1761" s="4">
        <f t="shared" si="168"/>
        <v>86.5</v>
      </c>
    </row>
    <row r="1762" ht="14.25" spans="1:8">
      <c r="A1762" s="3" t="str">
        <f>"11106105905"</f>
        <v>11106105905</v>
      </c>
      <c r="B1762" s="3">
        <v>1</v>
      </c>
      <c r="C1762" s="3">
        <v>59</v>
      </c>
      <c r="D1762" s="3">
        <v>5</v>
      </c>
      <c r="E1762" s="3" t="s">
        <v>8</v>
      </c>
      <c r="F1762" s="4">
        <v>84</v>
      </c>
      <c r="G1762" s="4"/>
      <c r="H1762" s="4">
        <f t="shared" si="168"/>
        <v>84</v>
      </c>
    </row>
    <row r="1763" ht="14.25" spans="1:8">
      <c r="A1763" s="3" t="str">
        <f>"11106105906"</f>
        <v>11106105906</v>
      </c>
      <c r="B1763" s="3">
        <v>1</v>
      </c>
      <c r="C1763" s="3">
        <v>59</v>
      </c>
      <c r="D1763" s="3">
        <v>6</v>
      </c>
      <c r="E1763" s="3" t="s">
        <v>8</v>
      </c>
      <c r="F1763" s="4">
        <v>84.5</v>
      </c>
      <c r="G1763" s="4"/>
      <c r="H1763" s="4">
        <f t="shared" si="168"/>
        <v>84.5</v>
      </c>
    </row>
    <row r="1764" ht="14.25" spans="1:8">
      <c r="A1764" s="3" t="str">
        <f>"11106105907"</f>
        <v>11106105907</v>
      </c>
      <c r="B1764" s="3">
        <v>1</v>
      </c>
      <c r="C1764" s="3">
        <v>59</v>
      </c>
      <c r="D1764" s="3">
        <v>7</v>
      </c>
      <c r="E1764" s="3" t="s">
        <v>8</v>
      </c>
      <c r="F1764" s="3">
        <v>0</v>
      </c>
      <c r="G1764" s="4"/>
      <c r="H1764" s="3">
        <v>0</v>
      </c>
    </row>
    <row r="1765" ht="14.25" spans="1:8">
      <c r="A1765" s="3" t="str">
        <f>"11106105908"</f>
        <v>11106105908</v>
      </c>
      <c r="B1765" s="3">
        <v>1</v>
      </c>
      <c r="C1765" s="3">
        <v>59</v>
      </c>
      <c r="D1765" s="3">
        <v>8</v>
      </c>
      <c r="E1765" s="3" t="s">
        <v>8</v>
      </c>
      <c r="F1765" s="4">
        <v>53.5</v>
      </c>
      <c r="G1765" s="4"/>
      <c r="H1765" s="4">
        <f t="shared" ref="H1765:H1767" si="169">F1765+G1765</f>
        <v>53.5</v>
      </c>
    </row>
    <row r="1766" ht="14.25" spans="1:8">
      <c r="A1766" s="3" t="str">
        <f>"11106105909"</f>
        <v>11106105909</v>
      </c>
      <c r="B1766" s="3">
        <v>1</v>
      </c>
      <c r="C1766" s="3">
        <v>59</v>
      </c>
      <c r="D1766" s="3">
        <v>9</v>
      </c>
      <c r="E1766" s="3" t="s">
        <v>8</v>
      </c>
      <c r="F1766" s="4">
        <v>81</v>
      </c>
      <c r="G1766" s="4"/>
      <c r="H1766" s="4">
        <f t="shared" si="169"/>
        <v>81</v>
      </c>
    </row>
    <row r="1767" ht="14.25" spans="1:8">
      <c r="A1767" s="3" t="str">
        <f>"11106105910"</f>
        <v>11106105910</v>
      </c>
      <c r="B1767" s="3">
        <v>1</v>
      </c>
      <c r="C1767" s="3">
        <v>59</v>
      </c>
      <c r="D1767" s="3">
        <v>10</v>
      </c>
      <c r="E1767" s="3" t="s">
        <v>8</v>
      </c>
      <c r="F1767" s="4">
        <v>68</v>
      </c>
      <c r="G1767" s="4"/>
      <c r="H1767" s="4">
        <f t="shared" si="169"/>
        <v>68</v>
      </c>
    </row>
    <row r="1768" ht="14.25" spans="1:8">
      <c r="A1768" s="3" t="str">
        <f>"11106105911"</f>
        <v>11106105911</v>
      </c>
      <c r="B1768" s="3">
        <v>1</v>
      </c>
      <c r="C1768" s="3">
        <v>59</v>
      </c>
      <c r="D1768" s="3">
        <v>11</v>
      </c>
      <c r="E1768" s="3" t="s">
        <v>8</v>
      </c>
      <c r="F1768" s="3">
        <v>0</v>
      </c>
      <c r="G1768" s="4"/>
      <c r="H1768" s="3">
        <v>0</v>
      </c>
    </row>
    <row r="1769" ht="14.25" spans="1:8">
      <c r="A1769" s="3" t="str">
        <f>"11106105912"</f>
        <v>11106105912</v>
      </c>
      <c r="B1769" s="3">
        <v>1</v>
      </c>
      <c r="C1769" s="3">
        <v>59</v>
      </c>
      <c r="D1769" s="3">
        <v>12</v>
      </c>
      <c r="E1769" s="3" t="s">
        <v>8</v>
      </c>
      <c r="F1769" s="4">
        <v>71.5</v>
      </c>
      <c r="G1769" s="4"/>
      <c r="H1769" s="4">
        <f t="shared" ref="H1769:H1772" si="170">F1769+G1769</f>
        <v>71.5</v>
      </c>
    </row>
    <row r="1770" ht="14.25" spans="1:8">
      <c r="A1770" s="3" t="str">
        <f>"11106105913"</f>
        <v>11106105913</v>
      </c>
      <c r="B1770" s="3">
        <v>1</v>
      </c>
      <c r="C1770" s="3">
        <v>59</v>
      </c>
      <c r="D1770" s="3">
        <v>13</v>
      </c>
      <c r="E1770" s="3" t="s">
        <v>8</v>
      </c>
      <c r="F1770" s="3">
        <v>0</v>
      </c>
      <c r="G1770" s="4"/>
      <c r="H1770" s="3">
        <v>0</v>
      </c>
    </row>
    <row r="1771" ht="14.25" spans="1:8">
      <c r="A1771" s="3" t="str">
        <f>"11106105914"</f>
        <v>11106105914</v>
      </c>
      <c r="B1771" s="3">
        <v>1</v>
      </c>
      <c r="C1771" s="3">
        <v>59</v>
      </c>
      <c r="D1771" s="3">
        <v>14</v>
      </c>
      <c r="E1771" s="3" t="s">
        <v>8</v>
      </c>
      <c r="F1771" s="4">
        <v>72.5</v>
      </c>
      <c r="G1771" s="4"/>
      <c r="H1771" s="4">
        <f t="shared" si="170"/>
        <v>72.5</v>
      </c>
    </row>
    <row r="1772" ht="14.25" spans="1:8">
      <c r="A1772" s="3" t="str">
        <f>"11106105915"</f>
        <v>11106105915</v>
      </c>
      <c r="B1772" s="3">
        <v>1</v>
      </c>
      <c r="C1772" s="3">
        <v>59</v>
      </c>
      <c r="D1772" s="3">
        <v>15</v>
      </c>
      <c r="E1772" s="3" t="s">
        <v>8</v>
      </c>
      <c r="F1772" s="4">
        <v>74</v>
      </c>
      <c r="G1772" s="4"/>
      <c r="H1772" s="4">
        <f t="shared" si="170"/>
        <v>74</v>
      </c>
    </row>
    <row r="1773" ht="14.25" spans="1:8">
      <c r="A1773" s="3" t="str">
        <f>"11106105916"</f>
        <v>11106105916</v>
      </c>
      <c r="B1773" s="3">
        <v>1</v>
      </c>
      <c r="C1773" s="3">
        <v>59</v>
      </c>
      <c r="D1773" s="3">
        <v>16</v>
      </c>
      <c r="E1773" s="3" t="s">
        <v>8</v>
      </c>
      <c r="F1773" s="3">
        <v>0</v>
      </c>
      <c r="G1773" s="4"/>
      <c r="H1773" s="3">
        <v>0</v>
      </c>
    </row>
    <row r="1774" ht="14.25" spans="1:8">
      <c r="A1774" s="3" t="str">
        <f>"11106105917"</f>
        <v>11106105917</v>
      </c>
      <c r="B1774" s="3">
        <v>1</v>
      </c>
      <c r="C1774" s="3">
        <v>59</v>
      </c>
      <c r="D1774" s="3">
        <v>17</v>
      </c>
      <c r="E1774" s="3" t="s">
        <v>8</v>
      </c>
      <c r="F1774" s="4">
        <v>50</v>
      </c>
      <c r="G1774" s="4"/>
      <c r="H1774" s="4">
        <f t="shared" ref="H1774:H1778" si="171">F1774+G1774</f>
        <v>50</v>
      </c>
    </row>
    <row r="1775" ht="14.25" spans="1:8">
      <c r="A1775" s="3" t="str">
        <f>"11106105918"</f>
        <v>11106105918</v>
      </c>
      <c r="B1775" s="3">
        <v>1</v>
      </c>
      <c r="C1775" s="3">
        <v>59</v>
      </c>
      <c r="D1775" s="3">
        <v>18</v>
      </c>
      <c r="E1775" s="3" t="s">
        <v>8</v>
      </c>
      <c r="F1775" s="4">
        <v>79.5</v>
      </c>
      <c r="G1775" s="4"/>
      <c r="H1775" s="4">
        <f t="shared" si="171"/>
        <v>79.5</v>
      </c>
    </row>
    <row r="1776" ht="14.25" spans="1:8">
      <c r="A1776" s="3" t="str">
        <f>"11106105919"</f>
        <v>11106105919</v>
      </c>
      <c r="B1776" s="3">
        <v>1</v>
      </c>
      <c r="C1776" s="3">
        <v>59</v>
      </c>
      <c r="D1776" s="3">
        <v>19</v>
      </c>
      <c r="E1776" s="3" t="s">
        <v>8</v>
      </c>
      <c r="F1776" s="3">
        <v>0</v>
      </c>
      <c r="G1776" s="4"/>
      <c r="H1776" s="3">
        <v>0</v>
      </c>
    </row>
    <row r="1777" ht="14.25" spans="1:8">
      <c r="A1777" s="3" t="str">
        <f>"11106105920"</f>
        <v>11106105920</v>
      </c>
      <c r="B1777" s="3">
        <v>1</v>
      </c>
      <c r="C1777" s="3">
        <v>59</v>
      </c>
      <c r="D1777" s="3">
        <v>20</v>
      </c>
      <c r="E1777" s="3" t="s">
        <v>8</v>
      </c>
      <c r="F1777" s="4">
        <v>73</v>
      </c>
      <c r="G1777" s="4"/>
      <c r="H1777" s="4">
        <f t="shared" si="171"/>
        <v>73</v>
      </c>
    </row>
    <row r="1778" ht="14.25" spans="1:8">
      <c r="A1778" s="3" t="str">
        <f>"11106105921"</f>
        <v>11106105921</v>
      </c>
      <c r="B1778" s="3">
        <v>1</v>
      </c>
      <c r="C1778" s="3">
        <v>59</v>
      </c>
      <c r="D1778" s="3">
        <v>21</v>
      </c>
      <c r="E1778" s="3" t="s">
        <v>8</v>
      </c>
      <c r="F1778" s="4">
        <v>37.5</v>
      </c>
      <c r="G1778" s="4"/>
      <c r="H1778" s="4">
        <f t="shared" si="171"/>
        <v>37.5</v>
      </c>
    </row>
    <row r="1779" ht="14.25" spans="1:8">
      <c r="A1779" s="3" t="str">
        <f>"11106105922"</f>
        <v>11106105922</v>
      </c>
      <c r="B1779" s="3">
        <v>1</v>
      </c>
      <c r="C1779" s="3">
        <v>59</v>
      </c>
      <c r="D1779" s="3">
        <v>22</v>
      </c>
      <c r="E1779" s="3" t="s">
        <v>8</v>
      </c>
      <c r="F1779" s="3">
        <v>0</v>
      </c>
      <c r="G1779" s="4"/>
      <c r="H1779" s="3">
        <v>0</v>
      </c>
    </row>
    <row r="1780" ht="14.25" spans="1:8">
      <c r="A1780" s="3" t="str">
        <f>"11106105923"</f>
        <v>11106105923</v>
      </c>
      <c r="B1780" s="3">
        <v>1</v>
      </c>
      <c r="C1780" s="3">
        <v>59</v>
      </c>
      <c r="D1780" s="3">
        <v>23</v>
      </c>
      <c r="E1780" s="3" t="s">
        <v>8</v>
      </c>
      <c r="F1780" s="4">
        <v>69.5</v>
      </c>
      <c r="G1780" s="4"/>
      <c r="H1780" s="4">
        <f t="shared" ref="H1780:H1783" si="172">F1780+G1780</f>
        <v>69.5</v>
      </c>
    </row>
    <row r="1781" ht="14.25" spans="1:8">
      <c r="A1781" s="3" t="str">
        <f>"11106105924"</f>
        <v>11106105924</v>
      </c>
      <c r="B1781" s="3">
        <v>1</v>
      </c>
      <c r="C1781" s="3">
        <v>59</v>
      </c>
      <c r="D1781" s="3">
        <v>24</v>
      </c>
      <c r="E1781" s="3" t="s">
        <v>8</v>
      </c>
      <c r="F1781" s="3">
        <v>0</v>
      </c>
      <c r="G1781" s="4"/>
      <c r="H1781" s="3">
        <v>0</v>
      </c>
    </row>
    <row r="1782" ht="14.25" spans="1:8">
      <c r="A1782" s="3" t="str">
        <f>"11106105925"</f>
        <v>11106105925</v>
      </c>
      <c r="B1782" s="3">
        <v>1</v>
      </c>
      <c r="C1782" s="3">
        <v>59</v>
      </c>
      <c r="D1782" s="3">
        <v>25</v>
      </c>
      <c r="E1782" s="3" t="s">
        <v>8</v>
      </c>
      <c r="F1782" s="4">
        <v>79.5</v>
      </c>
      <c r="G1782" s="4"/>
      <c r="H1782" s="4">
        <f t="shared" si="172"/>
        <v>79.5</v>
      </c>
    </row>
    <row r="1783" ht="14.25" spans="1:8">
      <c r="A1783" s="3" t="str">
        <f>"11106105926"</f>
        <v>11106105926</v>
      </c>
      <c r="B1783" s="3">
        <v>1</v>
      </c>
      <c r="C1783" s="3">
        <v>59</v>
      </c>
      <c r="D1783" s="3">
        <v>26</v>
      </c>
      <c r="E1783" s="3" t="s">
        <v>8</v>
      </c>
      <c r="F1783" s="4">
        <v>78.5</v>
      </c>
      <c r="G1783" s="4"/>
      <c r="H1783" s="4">
        <f t="shared" si="172"/>
        <v>78.5</v>
      </c>
    </row>
    <row r="1784" ht="14.25" spans="1:8">
      <c r="A1784" s="3" t="str">
        <f>"11106105927"</f>
        <v>11106105927</v>
      </c>
      <c r="B1784" s="3">
        <v>1</v>
      </c>
      <c r="C1784" s="3">
        <v>59</v>
      </c>
      <c r="D1784" s="3">
        <v>27</v>
      </c>
      <c r="E1784" s="3" t="s">
        <v>8</v>
      </c>
      <c r="F1784" s="3">
        <v>0</v>
      </c>
      <c r="G1784" s="4"/>
      <c r="H1784" s="3">
        <v>0</v>
      </c>
    </row>
    <row r="1785" ht="14.25" spans="1:8">
      <c r="A1785" s="3" t="str">
        <f>"11106105928"</f>
        <v>11106105928</v>
      </c>
      <c r="B1785" s="3">
        <v>1</v>
      </c>
      <c r="C1785" s="3">
        <v>59</v>
      </c>
      <c r="D1785" s="3">
        <v>28</v>
      </c>
      <c r="E1785" s="3" t="s">
        <v>8</v>
      </c>
      <c r="F1785" s="4">
        <v>62</v>
      </c>
      <c r="G1785" s="4"/>
      <c r="H1785" s="4">
        <f t="shared" ref="H1785:H1787" si="173">F1785+G1785</f>
        <v>62</v>
      </c>
    </row>
    <row r="1786" ht="14.25" spans="1:8">
      <c r="A1786" s="3" t="str">
        <f>"11106105929"</f>
        <v>11106105929</v>
      </c>
      <c r="B1786" s="3">
        <v>1</v>
      </c>
      <c r="C1786" s="3">
        <v>59</v>
      </c>
      <c r="D1786" s="3">
        <v>29</v>
      </c>
      <c r="E1786" s="3" t="s">
        <v>8</v>
      </c>
      <c r="F1786" s="4">
        <v>77.5</v>
      </c>
      <c r="G1786" s="4"/>
      <c r="H1786" s="4">
        <f t="shared" si="173"/>
        <v>77.5</v>
      </c>
    </row>
    <row r="1787" ht="14.25" spans="1:8">
      <c r="A1787" s="3" t="str">
        <f>"11106105930"</f>
        <v>11106105930</v>
      </c>
      <c r="B1787" s="3">
        <v>1</v>
      </c>
      <c r="C1787" s="3">
        <v>59</v>
      </c>
      <c r="D1787" s="3">
        <v>30</v>
      </c>
      <c r="E1787" s="3" t="s">
        <v>8</v>
      </c>
      <c r="F1787" s="4">
        <v>55</v>
      </c>
      <c r="G1787" s="4"/>
      <c r="H1787" s="4">
        <f t="shared" si="173"/>
        <v>55</v>
      </c>
    </row>
    <row r="1788" ht="14.25" spans="1:8">
      <c r="A1788" s="3" t="str">
        <f>"11106106001"</f>
        <v>11106106001</v>
      </c>
      <c r="B1788" s="3">
        <v>1</v>
      </c>
      <c r="C1788" s="3">
        <v>60</v>
      </c>
      <c r="D1788" s="3">
        <v>1</v>
      </c>
      <c r="E1788" s="3" t="s">
        <v>8</v>
      </c>
      <c r="F1788" s="3">
        <v>0</v>
      </c>
      <c r="G1788" s="4"/>
      <c r="H1788" s="3">
        <v>0</v>
      </c>
    </row>
    <row r="1789" ht="14.25" spans="1:8">
      <c r="A1789" s="3" t="str">
        <f>"11106106002"</f>
        <v>11106106002</v>
      </c>
      <c r="B1789" s="3">
        <v>1</v>
      </c>
      <c r="C1789" s="3">
        <v>60</v>
      </c>
      <c r="D1789" s="3">
        <v>2</v>
      </c>
      <c r="E1789" s="3" t="s">
        <v>8</v>
      </c>
      <c r="F1789" s="4">
        <v>69.5</v>
      </c>
      <c r="G1789" s="4"/>
      <c r="H1789" s="4">
        <f t="shared" ref="H1789:H1792" si="174">F1789+G1789</f>
        <v>69.5</v>
      </c>
    </row>
    <row r="1790" ht="14.25" spans="1:8">
      <c r="A1790" s="3" t="str">
        <f>"11106106003"</f>
        <v>11106106003</v>
      </c>
      <c r="B1790" s="3">
        <v>1</v>
      </c>
      <c r="C1790" s="3">
        <v>60</v>
      </c>
      <c r="D1790" s="3">
        <v>3</v>
      </c>
      <c r="E1790" s="3" t="s">
        <v>8</v>
      </c>
      <c r="F1790" s="3">
        <v>0</v>
      </c>
      <c r="G1790" s="4"/>
      <c r="H1790" s="3">
        <v>0</v>
      </c>
    </row>
    <row r="1791" ht="14.25" spans="1:8">
      <c r="A1791" s="3" t="str">
        <f>"11106106004"</f>
        <v>11106106004</v>
      </c>
      <c r="B1791" s="3">
        <v>1</v>
      </c>
      <c r="C1791" s="3">
        <v>60</v>
      </c>
      <c r="D1791" s="3">
        <v>4</v>
      </c>
      <c r="E1791" s="3" t="s">
        <v>8</v>
      </c>
      <c r="F1791" s="4">
        <v>79</v>
      </c>
      <c r="G1791" s="4"/>
      <c r="H1791" s="4">
        <f t="shared" si="174"/>
        <v>79</v>
      </c>
    </row>
    <row r="1792" ht="14.25" spans="1:8">
      <c r="A1792" s="3" t="str">
        <f>"11106106005"</f>
        <v>11106106005</v>
      </c>
      <c r="B1792" s="3">
        <v>1</v>
      </c>
      <c r="C1792" s="3">
        <v>60</v>
      </c>
      <c r="D1792" s="3">
        <v>5</v>
      </c>
      <c r="E1792" s="3" t="s">
        <v>8</v>
      </c>
      <c r="F1792" s="4">
        <v>65</v>
      </c>
      <c r="G1792" s="4"/>
      <c r="H1792" s="4">
        <f t="shared" si="174"/>
        <v>65</v>
      </c>
    </row>
    <row r="1793" ht="14.25" spans="1:8">
      <c r="A1793" s="3" t="str">
        <f>"11106106006"</f>
        <v>11106106006</v>
      </c>
      <c r="B1793" s="3">
        <v>1</v>
      </c>
      <c r="C1793" s="3">
        <v>60</v>
      </c>
      <c r="D1793" s="3">
        <v>6</v>
      </c>
      <c r="E1793" s="3" t="s">
        <v>8</v>
      </c>
      <c r="F1793" s="3">
        <v>0</v>
      </c>
      <c r="G1793" s="4"/>
      <c r="H1793" s="3">
        <v>0</v>
      </c>
    </row>
    <row r="1794" ht="14.25" spans="1:8">
      <c r="A1794" s="3" t="str">
        <f>"11201106007"</f>
        <v>11201106007</v>
      </c>
      <c r="B1794" s="3">
        <v>1</v>
      </c>
      <c r="C1794" s="3">
        <v>60</v>
      </c>
      <c r="D1794" s="3">
        <v>7</v>
      </c>
      <c r="E1794" s="3" t="s">
        <v>8</v>
      </c>
      <c r="F1794" s="4">
        <v>48.5</v>
      </c>
      <c r="G1794" s="4"/>
      <c r="H1794" s="4">
        <f t="shared" ref="H1794:H1801" si="175">F1794+G1794</f>
        <v>48.5</v>
      </c>
    </row>
    <row r="1795" ht="14.25" spans="1:8">
      <c r="A1795" s="3" t="str">
        <f>"11201106008"</f>
        <v>11201106008</v>
      </c>
      <c r="B1795" s="3">
        <v>1</v>
      </c>
      <c r="C1795" s="3">
        <v>60</v>
      </c>
      <c r="D1795" s="3">
        <v>8</v>
      </c>
      <c r="E1795" s="3" t="s">
        <v>8</v>
      </c>
      <c r="F1795" s="4">
        <v>72</v>
      </c>
      <c r="G1795" s="4"/>
      <c r="H1795" s="4">
        <f t="shared" si="175"/>
        <v>72</v>
      </c>
    </row>
    <row r="1796" ht="14.25" spans="1:8">
      <c r="A1796" s="3" t="str">
        <f>"11201106009"</f>
        <v>11201106009</v>
      </c>
      <c r="B1796" s="3">
        <v>1</v>
      </c>
      <c r="C1796" s="3">
        <v>60</v>
      </c>
      <c r="D1796" s="3">
        <v>9</v>
      </c>
      <c r="E1796" s="3" t="s">
        <v>8</v>
      </c>
      <c r="F1796" s="3">
        <v>0</v>
      </c>
      <c r="G1796" s="4"/>
      <c r="H1796" s="3">
        <v>0</v>
      </c>
    </row>
    <row r="1797" ht="14.25" spans="1:8">
      <c r="A1797" s="3" t="str">
        <f>"11201106010"</f>
        <v>11201106010</v>
      </c>
      <c r="B1797" s="3">
        <v>1</v>
      </c>
      <c r="C1797" s="3">
        <v>60</v>
      </c>
      <c r="D1797" s="3">
        <v>10</v>
      </c>
      <c r="E1797" s="3" t="s">
        <v>8</v>
      </c>
      <c r="F1797" s="4">
        <v>59.5</v>
      </c>
      <c r="G1797" s="4"/>
      <c r="H1797" s="4">
        <f t="shared" si="175"/>
        <v>59.5</v>
      </c>
    </row>
    <row r="1798" ht="14.25" spans="1:8">
      <c r="A1798" s="3" t="str">
        <f>"11201106011"</f>
        <v>11201106011</v>
      </c>
      <c r="B1798" s="3">
        <v>1</v>
      </c>
      <c r="C1798" s="3">
        <v>60</v>
      </c>
      <c r="D1798" s="3">
        <v>11</v>
      </c>
      <c r="E1798" s="3" t="s">
        <v>8</v>
      </c>
      <c r="F1798" s="4">
        <v>82.5</v>
      </c>
      <c r="G1798" s="4"/>
      <c r="H1798" s="4">
        <f t="shared" si="175"/>
        <v>82.5</v>
      </c>
    </row>
    <row r="1799" ht="14.25" spans="1:8">
      <c r="A1799" s="3" t="str">
        <f>"11201106012"</f>
        <v>11201106012</v>
      </c>
      <c r="B1799" s="3">
        <v>1</v>
      </c>
      <c r="C1799" s="3">
        <v>60</v>
      </c>
      <c r="D1799" s="3">
        <v>12</v>
      </c>
      <c r="E1799" s="3" t="s">
        <v>8</v>
      </c>
      <c r="F1799" s="4">
        <v>60.5</v>
      </c>
      <c r="G1799" s="4"/>
      <c r="H1799" s="4">
        <f t="shared" si="175"/>
        <v>60.5</v>
      </c>
    </row>
    <row r="1800" ht="14.25" spans="1:8">
      <c r="A1800" s="3" t="str">
        <f>"11201106013"</f>
        <v>11201106013</v>
      </c>
      <c r="B1800" s="3">
        <v>1</v>
      </c>
      <c r="C1800" s="3">
        <v>60</v>
      </c>
      <c r="D1800" s="3">
        <v>13</v>
      </c>
      <c r="E1800" s="3" t="s">
        <v>8</v>
      </c>
      <c r="F1800" s="4">
        <v>71</v>
      </c>
      <c r="G1800" s="4"/>
      <c r="H1800" s="4">
        <f t="shared" si="175"/>
        <v>71</v>
      </c>
    </row>
    <row r="1801" ht="14.25" spans="1:8">
      <c r="A1801" s="3" t="str">
        <f>"11201106014"</f>
        <v>11201106014</v>
      </c>
      <c r="B1801" s="3">
        <v>1</v>
      </c>
      <c r="C1801" s="3">
        <v>60</v>
      </c>
      <c r="D1801" s="3">
        <v>14</v>
      </c>
      <c r="E1801" s="3" t="s">
        <v>8</v>
      </c>
      <c r="F1801" s="4">
        <v>68.5</v>
      </c>
      <c r="G1801" s="4"/>
      <c r="H1801" s="4">
        <f t="shared" si="175"/>
        <v>68.5</v>
      </c>
    </row>
    <row r="1802" ht="14.25" spans="1:8">
      <c r="A1802" s="3" t="str">
        <f>"11201106015"</f>
        <v>11201106015</v>
      </c>
      <c r="B1802" s="3">
        <v>1</v>
      </c>
      <c r="C1802" s="3">
        <v>60</v>
      </c>
      <c r="D1802" s="3">
        <v>15</v>
      </c>
      <c r="E1802" s="3" t="s">
        <v>8</v>
      </c>
      <c r="F1802" s="3">
        <v>0</v>
      </c>
      <c r="G1802" s="4"/>
      <c r="H1802" s="3">
        <v>0</v>
      </c>
    </row>
    <row r="1803" ht="14.25" spans="1:8">
      <c r="A1803" s="3" t="str">
        <f>"11201106016"</f>
        <v>11201106016</v>
      </c>
      <c r="B1803" s="3">
        <v>1</v>
      </c>
      <c r="C1803" s="3">
        <v>60</v>
      </c>
      <c r="D1803" s="3">
        <v>16</v>
      </c>
      <c r="E1803" s="3" t="s">
        <v>8</v>
      </c>
      <c r="F1803" s="4">
        <v>84</v>
      </c>
      <c r="G1803" s="4"/>
      <c r="H1803" s="4">
        <f t="shared" ref="H1803:H1814" si="176">F1803+G1803</f>
        <v>84</v>
      </c>
    </row>
    <row r="1804" ht="14.25" spans="1:8">
      <c r="A1804" s="3" t="str">
        <f>"11201106017"</f>
        <v>11201106017</v>
      </c>
      <c r="B1804" s="3">
        <v>1</v>
      </c>
      <c r="C1804" s="3">
        <v>60</v>
      </c>
      <c r="D1804" s="3">
        <v>17</v>
      </c>
      <c r="E1804" s="3" t="s">
        <v>8</v>
      </c>
      <c r="F1804" s="4">
        <v>88.5</v>
      </c>
      <c r="G1804" s="4"/>
      <c r="H1804" s="4">
        <f t="shared" si="176"/>
        <v>88.5</v>
      </c>
    </row>
    <row r="1805" ht="14.25" spans="1:8">
      <c r="A1805" s="3" t="str">
        <f>"11201106018"</f>
        <v>11201106018</v>
      </c>
      <c r="B1805" s="3">
        <v>1</v>
      </c>
      <c r="C1805" s="3">
        <v>60</v>
      </c>
      <c r="D1805" s="3">
        <v>18</v>
      </c>
      <c r="E1805" s="3" t="s">
        <v>8</v>
      </c>
      <c r="F1805" s="4">
        <v>80</v>
      </c>
      <c r="G1805" s="4"/>
      <c r="H1805" s="4">
        <f t="shared" si="176"/>
        <v>80</v>
      </c>
    </row>
    <row r="1806" ht="14.25" spans="1:8">
      <c r="A1806" s="3" t="str">
        <f>"11201106019"</f>
        <v>11201106019</v>
      </c>
      <c r="B1806" s="3">
        <v>1</v>
      </c>
      <c r="C1806" s="3">
        <v>60</v>
      </c>
      <c r="D1806" s="3">
        <v>19</v>
      </c>
      <c r="E1806" s="3" t="s">
        <v>8</v>
      </c>
      <c r="F1806" s="4">
        <v>90.5</v>
      </c>
      <c r="G1806" s="4"/>
      <c r="H1806" s="4">
        <f t="shared" si="176"/>
        <v>90.5</v>
      </c>
    </row>
    <row r="1807" ht="14.25" spans="1:8">
      <c r="A1807" s="3" t="str">
        <f>"11201106020"</f>
        <v>11201106020</v>
      </c>
      <c r="B1807" s="3">
        <v>1</v>
      </c>
      <c r="C1807" s="3">
        <v>60</v>
      </c>
      <c r="D1807" s="3">
        <v>20</v>
      </c>
      <c r="E1807" s="3" t="s">
        <v>8</v>
      </c>
      <c r="F1807" s="4">
        <v>65</v>
      </c>
      <c r="G1807" s="4"/>
      <c r="H1807" s="4">
        <f t="shared" si="176"/>
        <v>65</v>
      </c>
    </row>
    <row r="1808" ht="14.25" spans="1:8">
      <c r="A1808" s="3" t="str">
        <f>"11201106021"</f>
        <v>11201106021</v>
      </c>
      <c r="B1808" s="3">
        <v>1</v>
      </c>
      <c r="C1808" s="3">
        <v>60</v>
      </c>
      <c r="D1808" s="3">
        <v>21</v>
      </c>
      <c r="E1808" s="3" t="s">
        <v>8</v>
      </c>
      <c r="F1808" s="4">
        <v>81.5</v>
      </c>
      <c r="G1808" s="4"/>
      <c r="H1808" s="4">
        <f t="shared" si="176"/>
        <v>81.5</v>
      </c>
    </row>
    <row r="1809" ht="14.25" spans="1:8">
      <c r="A1809" s="3" t="str">
        <f>"11201106022"</f>
        <v>11201106022</v>
      </c>
      <c r="B1809" s="3">
        <v>1</v>
      </c>
      <c r="C1809" s="3">
        <v>60</v>
      </c>
      <c r="D1809" s="3">
        <v>22</v>
      </c>
      <c r="E1809" s="3" t="s">
        <v>8</v>
      </c>
      <c r="F1809" s="4">
        <v>79</v>
      </c>
      <c r="G1809" s="4"/>
      <c r="H1809" s="4">
        <f t="shared" si="176"/>
        <v>79</v>
      </c>
    </row>
    <row r="1810" ht="14.25" spans="1:8">
      <c r="A1810" s="3" t="str">
        <f>"11201106023"</f>
        <v>11201106023</v>
      </c>
      <c r="B1810" s="3">
        <v>1</v>
      </c>
      <c r="C1810" s="3">
        <v>60</v>
      </c>
      <c r="D1810" s="3">
        <v>23</v>
      </c>
      <c r="E1810" s="3" t="s">
        <v>8</v>
      </c>
      <c r="F1810" s="4">
        <v>72</v>
      </c>
      <c r="G1810" s="4"/>
      <c r="H1810" s="4">
        <f t="shared" si="176"/>
        <v>72</v>
      </c>
    </row>
    <row r="1811" ht="14.25" spans="1:8">
      <c r="A1811" s="3" t="str">
        <f>"11201106024"</f>
        <v>11201106024</v>
      </c>
      <c r="B1811" s="3">
        <v>1</v>
      </c>
      <c r="C1811" s="3">
        <v>60</v>
      </c>
      <c r="D1811" s="3">
        <v>24</v>
      </c>
      <c r="E1811" s="3" t="s">
        <v>8</v>
      </c>
      <c r="F1811" s="4">
        <v>47</v>
      </c>
      <c r="G1811" s="4"/>
      <c r="H1811" s="4">
        <f t="shared" si="176"/>
        <v>47</v>
      </c>
    </row>
    <row r="1812" ht="14.25" spans="1:8">
      <c r="A1812" s="3" t="str">
        <f>"11201106025"</f>
        <v>11201106025</v>
      </c>
      <c r="B1812" s="3">
        <v>1</v>
      </c>
      <c r="C1812" s="3">
        <v>60</v>
      </c>
      <c r="D1812" s="3">
        <v>25</v>
      </c>
      <c r="E1812" s="3" t="s">
        <v>8</v>
      </c>
      <c r="F1812" s="4">
        <v>84.5</v>
      </c>
      <c r="G1812" s="4"/>
      <c r="H1812" s="4">
        <f t="shared" si="176"/>
        <v>84.5</v>
      </c>
    </row>
    <row r="1813" ht="14.25" spans="1:8">
      <c r="A1813" s="3" t="str">
        <f>"11201106026"</f>
        <v>11201106026</v>
      </c>
      <c r="B1813" s="3">
        <v>1</v>
      </c>
      <c r="C1813" s="3">
        <v>60</v>
      </c>
      <c r="D1813" s="3">
        <v>26</v>
      </c>
      <c r="E1813" s="3" t="s">
        <v>8</v>
      </c>
      <c r="F1813" s="4">
        <v>83.5</v>
      </c>
      <c r="G1813" s="4"/>
      <c r="H1813" s="4">
        <f t="shared" si="176"/>
        <v>83.5</v>
      </c>
    </row>
    <row r="1814" ht="14.25" spans="1:8">
      <c r="A1814" s="3" t="str">
        <f>"11201106027"</f>
        <v>11201106027</v>
      </c>
      <c r="B1814" s="3">
        <v>1</v>
      </c>
      <c r="C1814" s="3">
        <v>60</v>
      </c>
      <c r="D1814" s="3">
        <v>27</v>
      </c>
      <c r="E1814" s="3" t="s">
        <v>8</v>
      </c>
      <c r="F1814" s="4">
        <v>78.5</v>
      </c>
      <c r="G1814" s="4"/>
      <c r="H1814" s="4">
        <f t="shared" si="176"/>
        <v>78.5</v>
      </c>
    </row>
    <row r="1815" ht="14.25" spans="1:8">
      <c r="A1815" s="3" t="str">
        <f>"11201106028"</f>
        <v>11201106028</v>
      </c>
      <c r="B1815" s="3">
        <v>1</v>
      </c>
      <c r="C1815" s="3">
        <v>60</v>
      </c>
      <c r="D1815" s="3">
        <v>28</v>
      </c>
      <c r="E1815" s="3" t="s">
        <v>8</v>
      </c>
      <c r="F1815" s="3">
        <v>0</v>
      </c>
      <c r="G1815" s="4"/>
      <c r="H1815" s="3">
        <v>0</v>
      </c>
    </row>
    <row r="1816" ht="14.25" spans="1:8">
      <c r="A1816" s="3" t="str">
        <f>"11201106029"</f>
        <v>11201106029</v>
      </c>
      <c r="B1816" s="3">
        <v>1</v>
      </c>
      <c r="C1816" s="3">
        <v>60</v>
      </c>
      <c r="D1816" s="3">
        <v>29</v>
      </c>
      <c r="E1816" s="3" t="s">
        <v>8</v>
      </c>
      <c r="F1816" s="3">
        <v>0</v>
      </c>
      <c r="G1816" s="4"/>
      <c r="H1816" s="3">
        <v>0</v>
      </c>
    </row>
    <row r="1817" ht="14.25" spans="1:8">
      <c r="A1817" s="3" t="str">
        <f>"11201106030"</f>
        <v>11201106030</v>
      </c>
      <c r="B1817" s="3">
        <v>1</v>
      </c>
      <c r="C1817" s="3">
        <v>60</v>
      </c>
      <c r="D1817" s="3">
        <v>30</v>
      </c>
      <c r="E1817" s="3" t="s">
        <v>8</v>
      </c>
      <c r="F1817" s="4">
        <v>82</v>
      </c>
      <c r="G1817" s="4"/>
      <c r="H1817" s="4">
        <f t="shared" ref="H1817:H1869" si="177">F1817+G1817</f>
        <v>82</v>
      </c>
    </row>
    <row r="1818" ht="14.25" spans="1:8">
      <c r="A1818" s="3" t="str">
        <f>"11201206101"</f>
        <v>11201206101</v>
      </c>
      <c r="B1818" s="3">
        <v>2</v>
      </c>
      <c r="C1818" s="3">
        <v>61</v>
      </c>
      <c r="D1818" s="3">
        <v>1</v>
      </c>
      <c r="E1818" s="3" t="s">
        <v>10</v>
      </c>
      <c r="F1818" s="4">
        <v>79.5</v>
      </c>
      <c r="G1818" s="4"/>
      <c r="H1818" s="4">
        <f t="shared" si="177"/>
        <v>79.5</v>
      </c>
    </row>
    <row r="1819" ht="14.25" spans="1:8">
      <c r="A1819" s="3" t="str">
        <f>"11201206102"</f>
        <v>11201206102</v>
      </c>
      <c r="B1819" s="3">
        <v>2</v>
      </c>
      <c r="C1819" s="3">
        <v>61</v>
      </c>
      <c r="D1819" s="3">
        <v>2</v>
      </c>
      <c r="E1819" s="3" t="s">
        <v>10</v>
      </c>
      <c r="F1819" s="4">
        <v>73</v>
      </c>
      <c r="G1819" s="4"/>
      <c r="H1819" s="4">
        <f t="shared" si="177"/>
        <v>73</v>
      </c>
    </row>
    <row r="1820" ht="14.25" spans="1:8">
      <c r="A1820" s="3" t="str">
        <f>"11201206103"</f>
        <v>11201206103</v>
      </c>
      <c r="B1820" s="3">
        <v>2</v>
      </c>
      <c r="C1820" s="3">
        <v>61</v>
      </c>
      <c r="D1820" s="3">
        <v>3</v>
      </c>
      <c r="E1820" s="3" t="s">
        <v>10</v>
      </c>
      <c r="F1820" s="4">
        <v>71.5</v>
      </c>
      <c r="G1820" s="4"/>
      <c r="H1820" s="4">
        <f t="shared" si="177"/>
        <v>71.5</v>
      </c>
    </row>
    <row r="1821" ht="14.25" spans="1:8">
      <c r="A1821" s="3" t="str">
        <f>"11201206104"</f>
        <v>11201206104</v>
      </c>
      <c r="B1821" s="3">
        <v>2</v>
      </c>
      <c r="C1821" s="3">
        <v>61</v>
      </c>
      <c r="D1821" s="3">
        <v>4</v>
      </c>
      <c r="E1821" s="3" t="s">
        <v>10</v>
      </c>
      <c r="F1821" s="4">
        <v>58.5</v>
      </c>
      <c r="G1821" s="4"/>
      <c r="H1821" s="4">
        <f t="shared" si="177"/>
        <v>58.5</v>
      </c>
    </row>
    <row r="1822" ht="14.25" spans="1:8">
      <c r="A1822" s="3" t="str">
        <f>"11201206105"</f>
        <v>11201206105</v>
      </c>
      <c r="B1822" s="3">
        <v>2</v>
      </c>
      <c r="C1822" s="3">
        <v>61</v>
      </c>
      <c r="D1822" s="3">
        <v>5</v>
      </c>
      <c r="E1822" s="3" t="s">
        <v>10</v>
      </c>
      <c r="F1822" s="4">
        <v>81</v>
      </c>
      <c r="G1822" s="4"/>
      <c r="H1822" s="4">
        <f t="shared" si="177"/>
        <v>81</v>
      </c>
    </row>
    <row r="1823" ht="14.25" spans="1:8">
      <c r="A1823" s="3" t="str">
        <f>"11201206106"</f>
        <v>11201206106</v>
      </c>
      <c r="B1823" s="3">
        <v>2</v>
      </c>
      <c r="C1823" s="3">
        <v>61</v>
      </c>
      <c r="D1823" s="3">
        <v>6</v>
      </c>
      <c r="E1823" s="3" t="s">
        <v>10</v>
      </c>
      <c r="F1823" s="4">
        <v>83.5</v>
      </c>
      <c r="G1823" s="4"/>
      <c r="H1823" s="4">
        <f t="shared" si="177"/>
        <v>83.5</v>
      </c>
    </row>
    <row r="1824" ht="14.25" spans="1:8">
      <c r="A1824" s="3" t="str">
        <f>"11201206107"</f>
        <v>11201206107</v>
      </c>
      <c r="B1824" s="3">
        <v>2</v>
      </c>
      <c r="C1824" s="3">
        <v>61</v>
      </c>
      <c r="D1824" s="3">
        <v>7</v>
      </c>
      <c r="E1824" s="3" t="s">
        <v>10</v>
      </c>
      <c r="F1824" s="4">
        <v>67</v>
      </c>
      <c r="G1824" s="4"/>
      <c r="H1824" s="4">
        <f t="shared" si="177"/>
        <v>67</v>
      </c>
    </row>
    <row r="1825" ht="14.25" spans="1:8">
      <c r="A1825" s="3" t="str">
        <f>"11201206108"</f>
        <v>11201206108</v>
      </c>
      <c r="B1825" s="3">
        <v>2</v>
      </c>
      <c r="C1825" s="3">
        <v>61</v>
      </c>
      <c r="D1825" s="3">
        <v>8</v>
      </c>
      <c r="E1825" s="3" t="s">
        <v>10</v>
      </c>
      <c r="F1825" s="4">
        <v>75</v>
      </c>
      <c r="G1825" s="4"/>
      <c r="H1825" s="4">
        <f t="shared" si="177"/>
        <v>75</v>
      </c>
    </row>
    <row r="1826" ht="14.25" spans="1:8">
      <c r="A1826" s="3" t="str">
        <f>"11201206109"</f>
        <v>11201206109</v>
      </c>
      <c r="B1826" s="3">
        <v>2</v>
      </c>
      <c r="C1826" s="3">
        <v>61</v>
      </c>
      <c r="D1826" s="3">
        <v>9</v>
      </c>
      <c r="E1826" s="3" t="s">
        <v>10</v>
      </c>
      <c r="F1826" s="4">
        <v>65</v>
      </c>
      <c r="G1826" s="4"/>
      <c r="H1826" s="4">
        <f t="shared" si="177"/>
        <v>65</v>
      </c>
    </row>
    <row r="1827" ht="14.25" spans="1:8">
      <c r="A1827" s="3" t="str">
        <f>"11201206110"</f>
        <v>11201206110</v>
      </c>
      <c r="B1827" s="3">
        <v>2</v>
      </c>
      <c r="C1827" s="3">
        <v>61</v>
      </c>
      <c r="D1827" s="3">
        <v>10</v>
      </c>
      <c r="E1827" s="3" t="s">
        <v>10</v>
      </c>
      <c r="F1827" s="4">
        <v>70.5</v>
      </c>
      <c r="G1827" s="4"/>
      <c r="H1827" s="4">
        <f t="shared" si="177"/>
        <v>70.5</v>
      </c>
    </row>
    <row r="1828" ht="14.25" spans="1:8">
      <c r="A1828" s="3" t="str">
        <f>"11201206111"</f>
        <v>11201206111</v>
      </c>
      <c r="B1828" s="3">
        <v>2</v>
      </c>
      <c r="C1828" s="3">
        <v>61</v>
      </c>
      <c r="D1828" s="3">
        <v>11</v>
      </c>
      <c r="E1828" s="3" t="s">
        <v>10</v>
      </c>
      <c r="F1828" s="4">
        <v>81.5</v>
      </c>
      <c r="G1828" s="4"/>
      <c r="H1828" s="4">
        <f t="shared" si="177"/>
        <v>81.5</v>
      </c>
    </row>
    <row r="1829" ht="14.25" spans="1:8">
      <c r="A1829" s="3" t="str">
        <f>"11201206112"</f>
        <v>11201206112</v>
      </c>
      <c r="B1829" s="3">
        <v>2</v>
      </c>
      <c r="C1829" s="3">
        <v>61</v>
      </c>
      <c r="D1829" s="3">
        <v>12</v>
      </c>
      <c r="E1829" s="3" t="s">
        <v>10</v>
      </c>
      <c r="F1829" s="4">
        <v>79</v>
      </c>
      <c r="G1829" s="4"/>
      <c r="H1829" s="4">
        <f t="shared" si="177"/>
        <v>79</v>
      </c>
    </row>
    <row r="1830" ht="14.25" spans="1:8">
      <c r="A1830" s="3" t="str">
        <f>"11201206113"</f>
        <v>11201206113</v>
      </c>
      <c r="B1830" s="3">
        <v>2</v>
      </c>
      <c r="C1830" s="3">
        <v>61</v>
      </c>
      <c r="D1830" s="3">
        <v>13</v>
      </c>
      <c r="E1830" s="3" t="s">
        <v>10</v>
      </c>
      <c r="F1830" s="4">
        <v>75</v>
      </c>
      <c r="G1830" s="4"/>
      <c r="H1830" s="4">
        <f t="shared" si="177"/>
        <v>75</v>
      </c>
    </row>
    <row r="1831" ht="14.25" spans="1:8">
      <c r="A1831" s="3" t="str">
        <f>"11201206114"</f>
        <v>11201206114</v>
      </c>
      <c r="B1831" s="3">
        <v>2</v>
      </c>
      <c r="C1831" s="3">
        <v>61</v>
      </c>
      <c r="D1831" s="3">
        <v>14</v>
      </c>
      <c r="E1831" s="3" t="s">
        <v>10</v>
      </c>
      <c r="F1831" s="4">
        <v>72</v>
      </c>
      <c r="G1831" s="4"/>
      <c r="H1831" s="4">
        <f t="shared" si="177"/>
        <v>72</v>
      </c>
    </row>
    <row r="1832" ht="14.25" spans="1:8">
      <c r="A1832" s="3" t="str">
        <f>"11201206115"</f>
        <v>11201206115</v>
      </c>
      <c r="B1832" s="3">
        <v>2</v>
      </c>
      <c r="C1832" s="3">
        <v>61</v>
      </c>
      <c r="D1832" s="3">
        <v>15</v>
      </c>
      <c r="E1832" s="3" t="s">
        <v>10</v>
      </c>
      <c r="F1832" s="4">
        <v>75</v>
      </c>
      <c r="G1832" s="4"/>
      <c r="H1832" s="4">
        <f t="shared" si="177"/>
        <v>75</v>
      </c>
    </row>
    <row r="1833" ht="14.25" spans="1:8">
      <c r="A1833" s="3" t="str">
        <f>"11201206116"</f>
        <v>11201206116</v>
      </c>
      <c r="B1833" s="3">
        <v>2</v>
      </c>
      <c r="C1833" s="3">
        <v>61</v>
      </c>
      <c r="D1833" s="3">
        <v>16</v>
      </c>
      <c r="E1833" s="3" t="s">
        <v>10</v>
      </c>
      <c r="F1833" s="4">
        <v>64</v>
      </c>
      <c r="G1833" s="4"/>
      <c r="H1833" s="4">
        <f t="shared" si="177"/>
        <v>64</v>
      </c>
    </row>
    <row r="1834" ht="14.25" spans="1:8">
      <c r="A1834" s="3" t="str">
        <f>"11202206117"</f>
        <v>11202206117</v>
      </c>
      <c r="B1834" s="3">
        <v>2</v>
      </c>
      <c r="C1834" s="3">
        <v>61</v>
      </c>
      <c r="D1834" s="3">
        <v>17</v>
      </c>
      <c r="E1834" s="3" t="s">
        <v>10</v>
      </c>
      <c r="F1834" s="4">
        <v>82.5</v>
      </c>
      <c r="G1834" s="4"/>
      <c r="H1834" s="4">
        <f t="shared" si="177"/>
        <v>82.5</v>
      </c>
    </row>
    <row r="1835" ht="14.25" spans="1:8">
      <c r="A1835" s="3" t="str">
        <f>"11202206118"</f>
        <v>11202206118</v>
      </c>
      <c r="B1835" s="3">
        <v>2</v>
      </c>
      <c r="C1835" s="3">
        <v>61</v>
      </c>
      <c r="D1835" s="3">
        <v>18</v>
      </c>
      <c r="E1835" s="3" t="s">
        <v>10</v>
      </c>
      <c r="F1835" s="4">
        <v>63.5</v>
      </c>
      <c r="G1835" s="4"/>
      <c r="H1835" s="4">
        <f t="shared" si="177"/>
        <v>63.5</v>
      </c>
    </row>
    <row r="1836" ht="14.25" spans="1:8">
      <c r="A1836" s="3" t="str">
        <f>"11202206119"</f>
        <v>11202206119</v>
      </c>
      <c r="B1836" s="3">
        <v>2</v>
      </c>
      <c r="C1836" s="3">
        <v>61</v>
      </c>
      <c r="D1836" s="3">
        <v>19</v>
      </c>
      <c r="E1836" s="3" t="s">
        <v>10</v>
      </c>
      <c r="F1836" s="4">
        <v>71.5</v>
      </c>
      <c r="G1836" s="4"/>
      <c r="H1836" s="4">
        <f t="shared" si="177"/>
        <v>71.5</v>
      </c>
    </row>
    <row r="1837" ht="14.25" spans="1:8">
      <c r="A1837" s="3" t="str">
        <f>"11202206120"</f>
        <v>11202206120</v>
      </c>
      <c r="B1837" s="3">
        <v>2</v>
      </c>
      <c r="C1837" s="3">
        <v>61</v>
      </c>
      <c r="D1837" s="3">
        <v>20</v>
      </c>
      <c r="E1837" s="3" t="s">
        <v>10</v>
      </c>
      <c r="F1837" s="4">
        <v>76</v>
      </c>
      <c r="G1837" s="4"/>
      <c r="H1837" s="4">
        <f t="shared" si="177"/>
        <v>76</v>
      </c>
    </row>
    <row r="1838" ht="14.25" spans="1:8">
      <c r="A1838" s="3" t="str">
        <f>"11202206121"</f>
        <v>11202206121</v>
      </c>
      <c r="B1838" s="3">
        <v>2</v>
      </c>
      <c r="C1838" s="3">
        <v>61</v>
      </c>
      <c r="D1838" s="3">
        <v>21</v>
      </c>
      <c r="E1838" s="3" t="s">
        <v>10</v>
      </c>
      <c r="F1838" s="4">
        <v>62.5</v>
      </c>
      <c r="G1838" s="4"/>
      <c r="H1838" s="4">
        <f t="shared" si="177"/>
        <v>62.5</v>
      </c>
    </row>
    <row r="1839" ht="14.25" spans="1:8">
      <c r="A1839" s="3" t="str">
        <f>"11202206122"</f>
        <v>11202206122</v>
      </c>
      <c r="B1839" s="3">
        <v>2</v>
      </c>
      <c r="C1839" s="3">
        <v>61</v>
      </c>
      <c r="D1839" s="3">
        <v>22</v>
      </c>
      <c r="E1839" s="3" t="s">
        <v>10</v>
      </c>
      <c r="F1839" s="4">
        <v>77</v>
      </c>
      <c r="G1839" s="4"/>
      <c r="H1839" s="4">
        <f t="shared" si="177"/>
        <v>77</v>
      </c>
    </row>
    <row r="1840" ht="14.25" spans="1:8">
      <c r="A1840" s="3" t="str">
        <f>"11202206123"</f>
        <v>11202206123</v>
      </c>
      <c r="B1840" s="3">
        <v>2</v>
      </c>
      <c r="C1840" s="3">
        <v>61</v>
      </c>
      <c r="D1840" s="3">
        <v>23</v>
      </c>
      <c r="E1840" s="3" t="s">
        <v>10</v>
      </c>
      <c r="F1840" s="4">
        <v>81</v>
      </c>
      <c r="G1840" s="4"/>
      <c r="H1840" s="4">
        <f t="shared" si="177"/>
        <v>81</v>
      </c>
    </row>
    <row r="1841" ht="14.25" spans="1:8">
      <c r="A1841" s="3" t="str">
        <f>"11202206124"</f>
        <v>11202206124</v>
      </c>
      <c r="B1841" s="3">
        <v>2</v>
      </c>
      <c r="C1841" s="3">
        <v>61</v>
      </c>
      <c r="D1841" s="3">
        <v>24</v>
      </c>
      <c r="E1841" s="3" t="s">
        <v>10</v>
      </c>
      <c r="F1841" s="4">
        <v>70</v>
      </c>
      <c r="G1841" s="4"/>
      <c r="H1841" s="4">
        <f t="shared" si="177"/>
        <v>70</v>
      </c>
    </row>
    <row r="1842" ht="14.25" spans="1:8">
      <c r="A1842" s="3" t="str">
        <f>"11202206125"</f>
        <v>11202206125</v>
      </c>
      <c r="B1842" s="3">
        <v>2</v>
      </c>
      <c r="C1842" s="3">
        <v>61</v>
      </c>
      <c r="D1842" s="3">
        <v>25</v>
      </c>
      <c r="E1842" s="3" t="s">
        <v>10</v>
      </c>
      <c r="F1842" s="4">
        <v>78.5</v>
      </c>
      <c r="G1842" s="4"/>
      <c r="H1842" s="4">
        <f t="shared" si="177"/>
        <v>78.5</v>
      </c>
    </row>
    <row r="1843" ht="14.25" spans="1:8">
      <c r="A1843" s="3" t="str">
        <f>"11202206126"</f>
        <v>11202206126</v>
      </c>
      <c r="B1843" s="3">
        <v>2</v>
      </c>
      <c r="C1843" s="3">
        <v>61</v>
      </c>
      <c r="D1843" s="3">
        <v>26</v>
      </c>
      <c r="E1843" s="3" t="s">
        <v>10</v>
      </c>
      <c r="F1843" s="4">
        <v>84</v>
      </c>
      <c r="G1843" s="4"/>
      <c r="H1843" s="4">
        <f t="shared" si="177"/>
        <v>84</v>
      </c>
    </row>
    <row r="1844" ht="14.25" spans="1:8">
      <c r="A1844" s="3" t="str">
        <f>"11202206127"</f>
        <v>11202206127</v>
      </c>
      <c r="B1844" s="3">
        <v>2</v>
      </c>
      <c r="C1844" s="3">
        <v>61</v>
      </c>
      <c r="D1844" s="3">
        <v>27</v>
      </c>
      <c r="E1844" s="3" t="s">
        <v>10</v>
      </c>
      <c r="F1844" s="4">
        <v>84</v>
      </c>
      <c r="G1844" s="4"/>
      <c r="H1844" s="4">
        <f t="shared" si="177"/>
        <v>84</v>
      </c>
    </row>
    <row r="1845" ht="14.25" spans="1:8">
      <c r="A1845" s="3" t="str">
        <f>"11202206128"</f>
        <v>11202206128</v>
      </c>
      <c r="B1845" s="3">
        <v>2</v>
      </c>
      <c r="C1845" s="3">
        <v>61</v>
      </c>
      <c r="D1845" s="3">
        <v>28</v>
      </c>
      <c r="E1845" s="3" t="s">
        <v>10</v>
      </c>
      <c r="F1845" s="4">
        <v>74.5</v>
      </c>
      <c r="G1845" s="4"/>
      <c r="H1845" s="4">
        <f t="shared" si="177"/>
        <v>74.5</v>
      </c>
    </row>
    <row r="1846" ht="14.25" spans="1:8">
      <c r="A1846" s="3" t="str">
        <f>"11202206129"</f>
        <v>11202206129</v>
      </c>
      <c r="B1846" s="3">
        <v>2</v>
      </c>
      <c r="C1846" s="3">
        <v>61</v>
      </c>
      <c r="D1846" s="3">
        <v>29</v>
      </c>
      <c r="E1846" s="3" t="s">
        <v>10</v>
      </c>
      <c r="F1846" s="4">
        <v>84.5</v>
      </c>
      <c r="G1846" s="4"/>
      <c r="H1846" s="4">
        <f t="shared" si="177"/>
        <v>84.5</v>
      </c>
    </row>
    <row r="1847" ht="14.25" spans="1:8">
      <c r="A1847" s="3" t="str">
        <f>"11202206130"</f>
        <v>11202206130</v>
      </c>
      <c r="B1847" s="3">
        <v>2</v>
      </c>
      <c r="C1847" s="3">
        <v>61</v>
      </c>
      <c r="D1847" s="3">
        <v>30</v>
      </c>
      <c r="E1847" s="3" t="s">
        <v>10</v>
      </c>
      <c r="F1847" s="4">
        <v>90.5</v>
      </c>
      <c r="G1847" s="4"/>
      <c r="H1847" s="4">
        <f t="shared" si="177"/>
        <v>90.5</v>
      </c>
    </row>
    <row r="1848" ht="14.25" spans="1:8">
      <c r="A1848" s="3" t="str">
        <f>"11202206201"</f>
        <v>11202206201</v>
      </c>
      <c r="B1848" s="3">
        <v>2</v>
      </c>
      <c r="C1848" s="3">
        <v>62</v>
      </c>
      <c r="D1848" s="3">
        <v>1</v>
      </c>
      <c r="E1848" s="3" t="s">
        <v>10</v>
      </c>
      <c r="F1848" s="4">
        <v>81.5</v>
      </c>
      <c r="G1848" s="4"/>
      <c r="H1848" s="4">
        <f t="shared" si="177"/>
        <v>81.5</v>
      </c>
    </row>
    <row r="1849" ht="14.25" spans="1:8">
      <c r="A1849" s="3" t="str">
        <f>"11202206202"</f>
        <v>11202206202</v>
      </c>
      <c r="B1849" s="3">
        <v>2</v>
      </c>
      <c r="C1849" s="3">
        <v>62</v>
      </c>
      <c r="D1849" s="3">
        <v>2</v>
      </c>
      <c r="E1849" s="3" t="s">
        <v>10</v>
      </c>
      <c r="F1849" s="4">
        <v>83</v>
      </c>
      <c r="G1849" s="4"/>
      <c r="H1849" s="4">
        <f t="shared" si="177"/>
        <v>83</v>
      </c>
    </row>
    <row r="1850" ht="14.25" spans="1:8">
      <c r="A1850" s="3" t="str">
        <f>"11202206203"</f>
        <v>11202206203</v>
      </c>
      <c r="B1850" s="3">
        <v>2</v>
      </c>
      <c r="C1850" s="3">
        <v>62</v>
      </c>
      <c r="D1850" s="3">
        <v>3</v>
      </c>
      <c r="E1850" s="3" t="s">
        <v>10</v>
      </c>
      <c r="F1850" s="4">
        <v>75.5</v>
      </c>
      <c r="G1850" s="4"/>
      <c r="H1850" s="4">
        <f t="shared" si="177"/>
        <v>75.5</v>
      </c>
    </row>
    <row r="1851" ht="14.25" spans="1:8">
      <c r="A1851" s="3" t="str">
        <f>"11202206204"</f>
        <v>11202206204</v>
      </c>
      <c r="B1851" s="3">
        <v>2</v>
      </c>
      <c r="C1851" s="3">
        <v>62</v>
      </c>
      <c r="D1851" s="3">
        <v>4</v>
      </c>
      <c r="E1851" s="3" t="s">
        <v>10</v>
      </c>
      <c r="F1851" s="4">
        <v>62.5</v>
      </c>
      <c r="G1851" s="4"/>
      <c r="H1851" s="4">
        <f t="shared" si="177"/>
        <v>62.5</v>
      </c>
    </row>
    <row r="1852" ht="14.25" spans="1:8">
      <c r="A1852" s="3" t="str">
        <f>"11202206205"</f>
        <v>11202206205</v>
      </c>
      <c r="B1852" s="3">
        <v>2</v>
      </c>
      <c r="C1852" s="3">
        <v>62</v>
      </c>
      <c r="D1852" s="3">
        <v>5</v>
      </c>
      <c r="E1852" s="3" t="s">
        <v>10</v>
      </c>
      <c r="F1852" s="4">
        <v>85.5</v>
      </c>
      <c r="G1852" s="4"/>
      <c r="H1852" s="4">
        <f t="shared" si="177"/>
        <v>85.5</v>
      </c>
    </row>
    <row r="1853" ht="14.25" spans="1:8">
      <c r="A1853" s="3" t="str">
        <f>"11202206206"</f>
        <v>11202206206</v>
      </c>
      <c r="B1853" s="3">
        <v>2</v>
      </c>
      <c r="C1853" s="3">
        <v>62</v>
      </c>
      <c r="D1853" s="3">
        <v>6</v>
      </c>
      <c r="E1853" s="3" t="s">
        <v>10</v>
      </c>
      <c r="F1853" s="4">
        <v>83</v>
      </c>
      <c r="G1853" s="4"/>
      <c r="H1853" s="4">
        <f t="shared" si="177"/>
        <v>83</v>
      </c>
    </row>
    <row r="1854" ht="14.25" spans="1:8">
      <c r="A1854" s="3" t="str">
        <f>"11202206207"</f>
        <v>11202206207</v>
      </c>
      <c r="B1854" s="3">
        <v>2</v>
      </c>
      <c r="C1854" s="3">
        <v>62</v>
      </c>
      <c r="D1854" s="3">
        <v>7</v>
      </c>
      <c r="E1854" s="3" t="s">
        <v>10</v>
      </c>
      <c r="F1854" s="4">
        <v>82.5</v>
      </c>
      <c r="G1854" s="4"/>
      <c r="H1854" s="4">
        <f t="shared" si="177"/>
        <v>82.5</v>
      </c>
    </row>
    <row r="1855" ht="14.25" spans="1:8">
      <c r="A1855" s="3" t="str">
        <f>"11202206208"</f>
        <v>11202206208</v>
      </c>
      <c r="B1855" s="3">
        <v>2</v>
      </c>
      <c r="C1855" s="3">
        <v>62</v>
      </c>
      <c r="D1855" s="3">
        <v>8</v>
      </c>
      <c r="E1855" s="3" t="s">
        <v>10</v>
      </c>
      <c r="F1855" s="4">
        <v>82</v>
      </c>
      <c r="G1855" s="4"/>
      <c r="H1855" s="4">
        <f t="shared" si="177"/>
        <v>82</v>
      </c>
    </row>
    <row r="1856" ht="14.25" spans="1:8">
      <c r="A1856" s="3" t="str">
        <f>"11202206209"</f>
        <v>11202206209</v>
      </c>
      <c r="B1856" s="3">
        <v>2</v>
      </c>
      <c r="C1856" s="3">
        <v>62</v>
      </c>
      <c r="D1856" s="3">
        <v>9</v>
      </c>
      <c r="E1856" s="3" t="s">
        <v>10</v>
      </c>
      <c r="F1856" s="4">
        <v>84.5</v>
      </c>
      <c r="G1856" s="4"/>
      <c r="H1856" s="4">
        <f t="shared" si="177"/>
        <v>84.5</v>
      </c>
    </row>
    <row r="1857" ht="14.25" spans="1:8">
      <c r="A1857" s="3" t="str">
        <f>"11202206210"</f>
        <v>11202206210</v>
      </c>
      <c r="B1857" s="3">
        <v>2</v>
      </c>
      <c r="C1857" s="3">
        <v>62</v>
      </c>
      <c r="D1857" s="3">
        <v>10</v>
      </c>
      <c r="E1857" s="3" t="s">
        <v>10</v>
      </c>
      <c r="F1857" s="4">
        <v>67</v>
      </c>
      <c r="G1857" s="4"/>
      <c r="H1857" s="4">
        <f t="shared" si="177"/>
        <v>67</v>
      </c>
    </row>
    <row r="1858" ht="14.25" spans="1:8">
      <c r="A1858" s="3" t="str">
        <f>"11202206211"</f>
        <v>11202206211</v>
      </c>
      <c r="B1858" s="3">
        <v>2</v>
      </c>
      <c r="C1858" s="3">
        <v>62</v>
      </c>
      <c r="D1858" s="3">
        <v>11</v>
      </c>
      <c r="E1858" s="3" t="s">
        <v>10</v>
      </c>
      <c r="F1858" s="4">
        <v>73</v>
      </c>
      <c r="G1858" s="4"/>
      <c r="H1858" s="4">
        <f t="shared" si="177"/>
        <v>73</v>
      </c>
    </row>
    <row r="1859" ht="14.25" spans="1:8">
      <c r="A1859" s="3" t="str">
        <f>"11202206212"</f>
        <v>11202206212</v>
      </c>
      <c r="B1859" s="3">
        <v>2</v>
      </c>
      <c r="C1859" s="3">
        <v>62</v>
      </c>
      <c r="D1859" s="3">
        <v>12</v>
      </c>
      <c r="E1859" s="3" t="s">
        <v>10</v>
      </c>
      <c r="F1859" s="4">
        <v>53</v>
      </c>
      <c r="G1859" s="4"/>
      <c r="H1859" s="4">
        <f t="shared" si="177"/>
        <v>53</v>
      </c>
    </row>
    <row r="1860" ht="14.25" spans="1:8">
      <c r="A1860" s="3" t="str">
        <f>"11202206213"</f>
        <v>11202206213</v>
      </c>
      <c r="B1860" s="3">
        <v>2</v>
      </c>
      <c r="C1860" s="3">
        <v>62</v>
      </c>
      <c r="D1860" s="3">
        <v>13</v>
      </c>
      <c r="E1860" s="3" t="s">
        <v>10</v>
      </c>
      <c r="F1860" s="4">
        <v>82</v>
      </c>
      <c r="G1860" s="4"/>
      <c r="H1860" s="4">
        <f t="shared" si="177"/>
        <v>82</v>
      </c>
    </row>
    <row r="1861" ht="14.25" spans="1:8">
      <c r="A1861" s="3" t="str">
        <f>"11202206214"</f>
        <v>11202206214</v>
      </c>
      <c r="B1861" s="3">
        <v>2</v>
      </c>
      <c r="C1861" s="3">
        <v>62</v>
      </c>
      <c r="D1861" s="3">
        <v>14</v>
      </c>
      <c r="E1861" s="3" t="s">
        <v>10</v>
      </c>
      <c r="F1861" s="4">
        <v>83</v>
      </c>
      <c r="G1861" s="4"/>
      <c r="H1861" s="4">
        <f t="shared" si="177"/>
        <v>83</v>
      </c>
    </row>
    <row r="1862" ht="14.25" spans="1:8">
      <c r="A1862" s="3" t="str">
        <f>"11202206215"</f>
        <v>11202206215</v>
      </c>
      <c r="B1862" s="3">
        <v>2</v>
      </c>
      <c r="C1862" s="3">
        <v>62</v>
      </c>
      <c r="D1862" s="3">
        <v>15</v>
      </c>
      <c r="E1862" s="3" t="s">
        <v>10</v>
      </c>
      <c r="F1862" s="4">
        <v>52</v>
      </c>
      <c r="G1862" s="4"/>
      <c r="H1862" s="4">
        <f t="shared" si="177"/>
        <v>52</v>
      </c>
    </row>
    <row r="1863" ht="14.25" spans="1:8">
      <c r="A1863" s="3" t="str">
        <f>"11202206216"</f>
        <v>11202206216</v>
      </c>
      <c r="B1863" s="3">
        <v>2</v>
      </c>
      <c r="C1863" s="3">
        <v>62</v>
      </c>
      <c r="D1863" s="3">
        <v>16</v>
      </c>
      <c r="E1863" s="3" t="s">
        <v>10</v>
      </c>
      <c r="F1863" s="4">
        <v>59.5</v>
      </c>
      <c r="G1863" s="4"/>
      <c r="H1863" s="4">
        <f t="shared" si="177"/>
        <v>59.5</v>
      </c>
    </row>
    <row r="1864" ht="14.25" spans="1:8">
      <c r="A1864" s="3" t="str">
        <f>"11202206217"</f>
        <v>11202206217</v>
      </c>
      <c r="B1864" s="3">
        <v>2</v>
      </c>
      <c r="C1864" s="3">
        <v>62</v>
      </c>
      <c r="D1864" s="3">
        <v>17</v>
      </c>
      <c r="E1864" s="3" t="s">
        <v>10</v>
      </c>
      <c r="F1864" s="4">
        <v>82</v>
      </c>
      <c r="G1864" s="4"/>
      <c r="H1864" s="4">
        <f t="shared" si="177"/>
        <v>82</v>
      </c>
    </row>
    <row r="1865" ht="14.25" spans="1:8">
      <c r="A1865" s="3" t="str">
        <f>"11202206218"</f>
        <v>11202206218</v>
      </c>
      <c r="B1865" s="3">
        <v>2</v>
      </c>
      <c r="C1865" s="3">
        <v>62</v>
      </c>
      <c r="D1865" s="3">
        <v>18</v>
      </c>
      <c r="E1865" s="3" t="s">
        <v>10</v>
      </c>
      <c r="F1865" s="4">
        <v>86</v>
      </c>
      <c r="G1865" s="4"/>
      <c r="H1865" s="4">
        <f t="shared" si="177"/>
        <v>86</v>
      </c>
    </row>
    <row r="1866" ht="14.25" spans="1:8">
      <c r="A1866" s="3" t="str">
        <f>"11202206219"</f>
        <v>11202206219</v>
      </c>
      <c r="B1866" s="3">
        <v>2</v>
      </c>
      <c r="C1866" s="3">
        <v>62</v>
      </c>
      <c r="D1866" s="3">
        <v>19</v>
      </c>
      <c r="E1866" s="3" t="s">
        <v>10</v>
      </c>
      <c r="F1866" s="4">
        <v>73.5</v>
      </c>
      <c r="G1866" s="4"/>
      <c r="H1866" s="4">
        <f t="shared" si="177"/>
        <v>73.5</v>
      </c>
    </row>
    <row r="1867" ht="14.25" spans="1:8">
      <c r="A1867" s="3" t="str">
        <f>"11202206220"</f>
        <v>11202206220</v>
      </c>
      <c r="B1867" s="3">
        <v>2</v>
      </c>
      <c r="C1867" s="3">
        <v>62</v>
      </c>
      <c r="D1867" s="3">
        <v>20</v>
      </c>
      <c r="E1867" s="3" t="s">
        <v>10</v>
      </c>
      <c r="F1867" s="4">
        <v>86.5</v>
      </c>
      <c r="G1867" s="4"/>
      <c r="H1867" s="4">
        <f t="shared" si="177"/>
        <v>86.5</v>
      </c>
    </row>
    <row r="1868" ht="14.25" spans="1:8">
      <c r="A1868" s="3" t="str">
        <f>"11202206221"</f>
        <v>11202206221</v>
      </c>
      <c r="B1868" s="3">
        <v>2</v>
      </c>
      <c r="C1868" s="3">
        <v>62</v>
      </c>
      <c r="D1868" s="3">
        <v>21</v>
      </c>
      <c r="E1868" s="3" t="s">
        <v>10</v>
      </c>
      <c r="F1868" s="4">
        <v>72</v>
      </c>
      <c r="G1868" s="4"/>
      <c r="H1868" s="4">
        <f t="shared" si="177"/>
        <v>72</v>
      </c>
    </row>
    <row r="1869" ht="14.25" spans="1:8">
      <c r="A1869" s="3" t="str">
        <f>"11203206222"</f>
        <v>11203206222</v>
      </c>
      <c r="B1869" s="3">
        <v>2</v>
      </c>
      <c r="C1869" s="3">
        <v>62</v>
      </c>
      <c r="D1869" s="3">
        <v>22</v>
      </c>
      <c r="E1869" s="3" t="s">
        <v>10</v>
      </c>
      <c r="F1869" s="4">
        <v>79</v>
      </c>
      <c r="G1869" s="4"/>
      <c r="H1869" s="4">
        <f t="shared" si="177"/>
        <v>79</v>
      </c>
    </row>
    <row r="1870" ht="14.25" spans="1:8">
      <c r="A1870" s="3" t="str">
        <f>"11203206223"</f>
        <v>11203206223</v>
      </c>
      <c r="B1870" s="3">
        <v>2</v>
      </c>
      <c r="C1870" s="3">
        <v>62</v>
      </c>
      <c r="D1870" s="3">
        <v>23</v>
      </c>
      <c r="E1870" s="3" t="s">
        <v>10</v>
      </c>
      <c r="F1870" s="3">
        <v>0</v>
      </c>
      <c r="G1870" s="4"/>
      <c r="H1870" s="3">
        <v>0</v>
      </c>
    </row>
    <row r="1871" ht="14.25" spans="1:8">
      <c r="A1871" s="3" t="str">
        <f>"11203206224"</f>
        <v>11203206224</v>
      </c>
      <c r="B1871" s="3">
        <v>2</v>
      </c>
      <c r="C1871" s="3">
        <v>62</v>
      </c>
      <c r="D1871" s="3">
        <v>24</v>
      </c>
      <c r="E1871" s="3" t="s">
        <v>10</v>
      </c>
      <c r="F1871" s="4">
        <v>85</v>
      </c>
      <c r="G1871" s="4"/>
      <c r="H1871" s="4">
        <f t="shared" ref="H1871:H1880" si="178">F1871+G1871</f>
        <v>85</v>
      </c>
    </row>
    <row r="1872" ht="14.25" spans="1:8">
      <c r="A1872" s="3" t="str">
        <f>"11203206225"</f>
        <v>11203206225</v>
      </c>
      <c r="B1872" s="3">
        <v>2</v>
      </c>
      <c r="C1872" s="3">
        <v>62</v>
      </c>
      <c r="D1872" s="3">
        <v>25</v>
      </c>
      <c r="E1872" s="3" t="s">
        <v>10</v>
      </c>
      <c r="F1872" s="4">
        <v>67.5</v>
      </c>
      <c r="G1872" s="4"/>
      <c r="H1872" s="4">
        <f t="shared" si="178"/>
        <v>67.5</v>
      </c>
    </row>
    <row r="1873" ht="14.25" spans="1:8">
      <c r="A1873" s="3" t="str">
        <f>"11203206226"</f>
        <v>11203206226</v>
      </c>
      <c r="B1873" s="3">
        <v>2</v>
      </c>
      <c r="C1873" s="3">
        <v>62</v>
      </c>
      <c r="D1873" s="3">
        <v>26</v>
      </c>
      <c r="E1873" s="3" t="s">
        <v>10</v>
      </c>
      <c r="F1873" s="4">
        <v>59</v>
      </c>
      <c r="G1873" s="4"/>
      <c r="H1873" s="4">
        <f t="shared" si="178"/>
        <v>59</v>
      </c>
    </row>
    <row r="1874" ht="14.25" spans="1:8">
      <c r="A1874" s="3" t="str">
        <f>"11204206227"</f>
        <v>11204206227</v>
      </c>
      <c r="B1874" s="3">
        <v>2</v>
      </c>
      <c r="C1874" s="3">
        <v>62</v>
      </c>
      <c r="D1874" s="3">
        <v>27</v>
      </c>
      <c r="E1874" s="3" t="s">
        <v>10</v>
      </c>
      <c r="F1874" s="4">
        <v>69.5</v>
      </c>
      <c r="G1874" s="4"/>
      <c r="H1874" s="4">
        <f t="shared" si="178"/>
        <v>69.5</v>
      </c>
    </row>
    <row r="1875" ht="14.25" spans="1:8">
      <c r="A1875" s="3" t="str">
        <f>"11204206228"</f>
        <v>11204206228</v>
      </c>
      <c r="B1875" s="3">
        <v>2</v>
      </c>
      <c r="C1875" s="3">
        <v>62</v>
      </c>
      <c r="D1875" s="3">
        <v>28</v>
      </c>
      <c r="E1875" s="3" t="s">
        <v>10</v>
      </c>
      <c r="F1875" s="4">
        <v>64.5</v>
      </c>
      <c r="G1875" s="4"/>
      <c r="H1875" s="4">
        <f t="shared" si="178"/>
        <v>64.5</v>
      </c>
    </row>
    <row r="1876" ht="14.25" spans="1:8">
      <c r="A1876" s="3" t="str">
        <f>"11204206229"</f>
        <v>11204206229</v>
      </c>
      <c r="B1876" s="3">
        <v>2</v>
      </c>
      <c r="C1876" s="3">
        <v>62</v>
      </c>
      <c r="D1876" s="3">
        <v>29</v>
      </c>
      <c r="E1876" s="3" t="s">
        <v>10</v>
      </c>
      <c r="F1876" s="4">
        <v>77.5</v>
      </c>
      <c r="G1876" s="4"/>
      <c r="H1876" s="4">
        <f t="shared" si="178"/>
        <v>77.5</v>
      </c>
    </row>
    <row r="1877" ht="14.25" spans="1:8">
      <c r="A1877" s="3" t="str">
        <f>"11204206230"</f>
        <v>11204206230</v>
      </c>
      <c r="B1877" s="3">
        <v>2</v>
      </c>
      <c r="C1877" s="3">
        <v>62</v>
      </c>
      <c r="D1877" s="3">
        <v>30</v>
      </c>
      <c r="E1877" s="3" t="s">
        <v>10</v>
      </c>
      <c r="F1877" s="4">
        <v>88.5</v>
      </c>
      <c r="G1877" s="4"/>
      <c r="H1877" s="4">
        <f t="shared" si="178"/>
        <v>88.5</v>
      </c>
    </row>
    <row r="1878" ht="14.25" spans="1:8">
      <c r="A1878" s="3" t="str">
        <f>"11204206301"</f>
        <v>11204206301</v>
      </c>
      <c r="B1878" s="3">
        <v>2</v>
      </c>
      <c r="C1878" s="3">
        <v>63</v>
      </c>
      <c r="D1878" s="3">
        <v>1</v>
      </c>
      <c r="E1878" s="3" t="s">
        <v>10</v>
      </c>
      <c r="F1878" s="4">
        <v>82.5</v>
      </c>
      <c r="G1878" s="4"/>
      <c r="H1878" s="4">
        <f t="shared" si="178"/>
        <v>82.5</v>
      </c>
    </row>
    <row r="1879" ht="14.25" spans="1:8">
      <c r="A1879" s="3" t="str">
        <f>"11204206302"</f>
        <v>11204206302</v>
      </c>
      <c r="B1879" s="3">
        <v>2</v>
      </c>
      <c r="C1879" s="3">
        <v>63</v>
      </c>
      <c r="D1879" s="3">
        <v>2</v>
      </c>
      <c r="E1879" s="3" t="s">
        <v>10</v>
      </c>
      <c r="F1879" s="4">
        <v>88.5</v>
      </c>
      <c r="G1879" s="4"/>
      <c r="H1879" s="4">
        <f t="shared" si="178"/>
        <v>88.5</v>
      </c>
    </row>
    <row r="1880" ht="14.25" spans="1:8">
      <c r="A1880" s="3" t="str">
        <f>"11204206303"</f>
        <v>11204206303</v>
      </c>
      <c r="B1880" s="3">
        <v>2</v>
      </c>
      <c r="C1880" s="3">
        <v>63</v>
      </c>
      <c r="D1880" s="3">
        <v>3</v>
      </c>
      <c r="E1880" s="3" t="s">
        <v>10</v>
      </c>
      <c r="F1880" s="4">
        <v>87</v>
      </c>
      <c r="G1880" s="4"/>
      <c r="H1880" s="4">
        <f t="shared" si="178"/>
        <v>87</v>
      </c>
    </row>
    <row r="1881" ht="14.25" spans="1:8">
      <c r="A1881" s="3" t="str">
        <f>"11204206304"</f>
        <v>11204206304</v>
      </c>
      <c r="B1881" s="3">
        <v>2</v>
      </c>
      <c r="C1881" s="3">
        <v>63</v>
      </c>
      <c r="D1881" s="3">
        <v>4</v>
      </c>
      <c r="E1881" s="3" t="s">
        <v>10</v>
      </c>
      <c r="F1881" s="3">
        <v>0</v>
      </c>
      <c r="G1881" s="4"/>
      <c r="H1881" s="3">
        <v>0</v>
      </c>
    </row>
    <row r="1882" ht="14.25" spans="1:8">
      <c r="A1882" s="3" t="str">
        <f>"11205206305"</f>
        <v>11205206305</v>
      </c>
      <c r="B1882" s="3">
        <v>2</v>
      </c>
      <c r="C1882" s="3">
        <v>63</v>
      </c>
      <c r="D1882" s="3">
        <v>5</v>
      </c>
      <c r="E1882" s="3" t="s">
        <v>10</v>
      </c>
      <c r="F1882" s="4">
        <v>75</v>
      </c>
      <c r="G1882" s="4"/>
      <c r="H1882" s="4">
        <f t="shared" ref="H1882:H1888" si="179">F1882+G1882</f>
        <v>75</v>
      </c>
    </row>
    <row r="1883" ht="14.25" spans="1:8">
      <c r="A1883" s="3" t="str">
        <f>"11205206306"</f>
        <v>11205206306</v>
      </c>
      <c r="B1883" s="3">
        <v>2</v>
      </c>
      <c r="C1883" s="3">
        <v>63</v>
      </c>
      <c r="D1883" s="3">
        <v>6</v>
      </c>
      <c r="E1883" s="3" t="s">
        <v>10</v>
      </c>
      <c r="F1883" s="3">
        <v>0</v>
      </c>
      <c r="G1883" s="4"/>
      <c r="H1883" s="3">
        <v>0</v>
      </c>
    </row>
    <row r="1884" ht="14.25" spans="1:8">
      <c r="A1884" s="3" t="str">
        <f>"11205206307"</f>
        <v>11205206307</v>
      </c>
      <c r="B1884" s="3">
        <v>2</v>
      </c>
      <c r="C1884" s="3">
        <v>63</v>
      </c>
      <c r="D1884" s="3">
        <v>7</v>
      </c>
      <c r="E1884" s="3" t="s">
        <v>10</v>
      </c>
      <c r="F1884" s="4">
        <v>87.5</v>
      </c>
      <c r="G1884" s="4"/>
      <c r="H1884" s="4">
        <f t="shared" si="179"/>
        <v>87.5</v>
      </c>
    </row>
    <row r="1885" ht="14.25" spans="1:8">
      <c r="A1885" s="3" t="str">
        <f>"11205206308"</f>
        <v>11205206308</v>
      </c>
      <c r="B1885" s="3">
        <v>2</v>
      </c>
      <c r="C1885" s="3">
        <v>63</v>
      </c>
      <c r="D1885" s="3">
        <v>8</v>
      </c>
      <c r="E1885" s="3" t="s">
        <v>10</v>
      </c>
      <c r="F1885" s="4">
        <v>52.5</v>
      </c>
      <c r="G1885" s="4"/>
      <c r="H1885" s="4">
        <f t="shared" si="179"/>
        <v>52.5</v>
      </c>
    </row>
    <row r="1886" ht="14.25" spans="1:8">
      <c r="A1886" s="3" t="str">
        <f>"11205206309"</f>
        <v>11205206309</v>
      </c>
      <c r="B1886" s="3">
        <v>2</v>
      </c>
      <c r="C1886" s="3">
        <v>63</v>
      </c>
      <c r="D1886" s="3">
        <v>9</v>
      </c>
      <c r="E1886" s="3" t="s">
        <v>10</v>
      </c>
      <c r="F1886" s="4">
        <v>65.5</v>
      </c>
      <c r="G1886" s="4"/>
      <c r="H1886" s="4">
        <f t="shared" si="179"/>
        <v>65.5</v>
      </c>
    </row>
    <row r="1887" ht="14.25" spans="1:8">
      <c r="A1887" s="3" t="str">
        <f>"11205206310"</f>
        <v>11205206310</v>
      </c>
      <c r="B1887" s="3">
        <v>2</v>
      </c>
      <c r="C1887" s="3">
        <v>63</v>
      </c>
      <c r="D1887" s="3">
        <v>10</v>
      </c>
      <c r="E1887" s="3" t="s">
        <v>10</v>
      </c>
      <c r="F1887" s="4">
        <v>52.5</v>
      </c>
      <c r="G1887" s="4"/>
      <c r="H1887" s="4">
        <f t="shared" si="179"/>
        <v>52.5</v>
      </c>
    </row>
    <row r="1888" ht="14.25" spans="1:8">
      <c r="A1888" s="3" t="str">
        <f>"11205206311"</f>
        <v>11205206311</v>
      </c>
      <c r="B1888" s="3">
        <v>2</v>
      </c>
      <c r="C1888" s="3">
        <v>63</v>
      </c>
      <c r="D1888" s="3">
        <v>11</v>
      </c>
      <c r="E1888" s="3" t="s">
        <v>10</v>
      </c>
      <c r="F1888" s="4">
        <v>70.5</v>
      </c>
      <c r="G1888" s="4"/>
      <c r="H1888" s="4">
        <f t="shared" si="179"/>
        <v>70.5</v>
      </c>
    </row>
    <row r="1889" ht="14.25" spans="1:8">
      <c r="A1889" s="3" t="str">
        <f>"11205206312"</f>
        <v>11205206312</v>
      </c>
      <c r="B1889" s="3">
        <v>2</v>
      </c>
      <c r="C1889" s="3">
        <v>63</v>
      </c>
      <c r="D1889" s="3">
        <v>12</v>
      </c>
      <c r="E1889" s="3" t="s">
        <v>10</v>
      </c>
      <c r="F1889" s="3">
        <v>0</v>
      </c>
      <c r="G1889" s="4"/>
      <c r="H1889" s="3">
        <v>0</v>
      </c>
    </row>
    <row r="1890" ht="14.25" spans="1:8">
      <c r="A1890" s="3" t="str">
        <f>"11205206313"</f>
        <v>11205206313</v>
      </c>
      <c r="B1890" s="3">
        <v>2</v>
      </c>
      <c r="C1890" s="3">
        <v>63</v>
      </c>
      <c r="D1890" s="3">
        <v>13</v>
      </c>
      <c r="E1890" s="3" t="s">
        <v>10</v>
      </c>
      <c r="F1890" s="4">
        <v>75</v>
      </c>
      <c r="G1890" s="4"/>
      <c r="H1890" s="4">
        <f t="shared" ref="H1890:H1894" si="180">F1890+G1890</f>
        <v>75</v>
      </c>
    </row>
    <row r="1891" ht="14.25" spans="1:8">
      <c r="A1891" s="3" t="str">
        <f>"11301206314"</f>
        <v>11301206314</v>
      </c>
      <c r="B1891" s="3">
        <v>2</v>
      </c>
      <c r="C1891" s="3">
        <v>63</v>
      </c>
      <c r="D1891" s="3">
        <v>14</v>
      </c>
      <c r="E1891" s="3" t="s">
        <v>10</v>
      </c>
      <c r="F1891" s="4">
        <v>45.5</v>
      </c>
      <c r="G1891" s="4"/>
      <c r="H1891" s="4">
        <f t="shared" si="180"/>
        <v>45.5</v>
      </c>
    </row>
    <row r="1892" ht="14.25" spans="1:8">
      <c r="A1892" s="3" t="str">
        <f>"11301206315"</f>
        <v>11301206315</v>
      </c>
      <c r="B1892" s="3">
        <v>2</v>
      </c>
      <c r="C1892" s="3">
        <v>63</v>
      </c>
      <c r="D1892" s="3">
        <v>15</v>
      </c>
      <c r="E1892" s="3" t="s">
        <v>10</v>
      </c>
      <c r="F1892" s="3">
        <v>0</v>
      </c>
      <c r="G1892" s="4"/>
      <c r="H1892" s="3">
        <v>0</v>
      </c>
    </row>
    <row r="1893" ht="14.25" spans="1:8">
      <c r="A1893" s="3" t="str">
        <f>"11301206316"</f>
        <v>11301206316</v>
      </c>
      <c r="B1893" s="3">
        <v>2</v>
      </c>
      <c r="C1893" s="3">
        <v>63</v>
      </c>
      <c r="D1893" s="3">
        <v>16</v>
      </c>
      <c r="E1893" s="3" t="s">
        <v>10</v>
      </c>
      <c r="F1893" s="4">
        <v>74</v>
      </c>
      <c r="G1893" s="4"/>
      <c r="H1893" s="4">
        <f t="shared" si="180"/>
        <v>74</v>
      </c>
    </row>
    <row r="1894" ht="14.25" spans="1:8">
      <c r="A1894" s="3" t="str">
        <f>"11301206317"</f>
        <v>11301206317</v>
      </c>
      <c r="B1894" s="3">
        <v>2</v>
      </c>
      <c r="C1894" s="3">
        <v>63</v>
      </c>
      <c r="D1894" s="3">
        <v>17</v>
      </c>
      <c r="E1894" s="3" t="s">
        <v>10</v>
      </c>
      <c r="F1894" s="4">
        <v>81</v>
      </c>
      <c r="G1894" s="4"/>
      <c r="H1894" s="4">
        <f t="shared" si="180"/>
        <v>81</v>
      </c>
    </row>
    <row r="1895" ht="14.25" spans="1:8">
      <c r="A1895" s="3" t="str">
        <f>"11301206318"</f>
        <v>11301206318</v>
      </c>
      <c r="B1895" s="3">
        <v>2</v>
      </c>
      <c r="C1895" s="3">
        <v>63</v>
      </c>
      <c r="D1895" s="3">
        <v>18</v>
      </c>
      <c r="E1895" s="3" t="s">
        <v>10</v>
      </c>
      <c r="F1895" s="3">
        <v>0</v>
      </c>
      <c r="G1895" s="4"/>
      <c r="H1895" s="3">
        <v>0</v>
      </c>
    </row>
    <row r="1896" ht="14.25" spans="1:8">
      <c r="A1896" s="3" t="str">
        <f>"11301206319"</f>
        <v>11301206319</v>
      </c>
      <c r="B1896" s="3">
        <v>2</v>
      </c>
      <c r="C1896" s="3">
        <v>63</v>
      </c>
      <c r="D1896" s="3">
        <v>19</v>
      </c>
      <c r="E1896" s="3" t="s">
        <v>10</v>
      </c>
      <c r="F1896" s="4">
        <v>49</v>
      </c>
      <c r="G1896" s="4"/>
      <c r="H1896" s="4">
        <f t="shared" ref="H1896:H1902" si="181">F1896+G1896</f>
        <v>49</v>
      </c>
    </row>
    <row r="1897" ht="14.25" spans="1:8">
      <c r="A1897" s="3" t="str">
        <f>"11301206320"</f>
        <v>11301206320</v>
      </c>
      <c r="B1897" s="3">
        <v>2</v>
      </c>
      <c r="C1897" s="3">
        <v>63</v>
      </c>
      <c r="D1897" s="3">
        <v>20</v>
      </c>
      <c r="E1897" s="3" t="s">
        <v>10</v>
      </c>
      <c r="F1897" s="3">
        <v>0</v>
      </c>
      <c r="G1897" s="4"/>
      <c r="H1897" s="3">
        <v>0</v>
      </c>
    </row>
    <row r="1898" ht="14.25" spans="1:8">
      <c r="A1898" s="3" t="str">
        <f>"11301206321"</f>
        <v>11301206321</v>
      </c>
      <c r="B1898" s="3">
        <v>2</v>
      </c>
      <c r="C1898" s="3">
        <v>63</v>
      </c>
      <c r="D1898" s="3">
        <v>21</v>
      </c>
      <c r="E1898" s="3" t="s">
        <v>10</v>
      </c>
      <c r="F1898" s="4">
        <v>67.5</v>
      </c>
      <c r="G1898" s="4"/>
      <c r="H1898" s="4">
        <f t="shared" si="181"/>
        <v>67.5</v>
      </c>
    </row>
    <row r="1899" ht="14.25" spans="1:8">
      <c r="A1899" s="3" t="str">
        <f>"11301206322"</f>
        <v>11301206322</v>
      </c>
      <c r="B1899" s="3">
        <v>2</v>
      </c>
      <c r="C1899" s="3">
        <v>63</v>
      </c>
      <c r="D1899" s="3">
        <v>22</v>
      </c>
      <c r="E1899" s="3" t="s">
        <v>10</v>
      </c>
      <c r="F1899" s="4">
        <v>56.5</v>
      </c>
      <c r="G1899" s="4"/>
      <c r="H1899" s="4">
        <f t="shared" si="181"/>
        <v>56.5</v>
      </c>
    </row>
    <row r="1900" ht="14.25" spans="1:8">
      <c r="A1900" s="3" t="str">
        <f>"11301206323"</f>
        <v>11301206323</v>
      </c>
      <c r="B1900" s="3">
        <v>2</v>
      </c>
      <c r="C1900" s="3">
        <v>63</v>
      </c>
      <c r="D1900" s="3">
        <v>23</v>
      </c>
      <c r="E1900" s="3" t="s">
        <v>10</v>
      </c>
      <c r="F1900" s="4">
        <v>50</v>
      </c>
      <c r="G1900" s="4"/>
      <c r="H1900" s="4">
        <f t="shared" si="181"/>
        <v>50</v>
      </c>
    </row>
    <row r="1901" ht="14.25" spans="1:8">
      <c r="A1901" s="3" t="str">
        <f>"11301206324"</f>
        <v>11301206324</v>
      </c>
      <c r="B1901" s="3">
        <v>2</v>
      </c>
      <c r="C1901" s="3">
        <v>63</v>
      </c>
      <c r="D1901" s="3">
        <v>24</v>
      </c>
      <c r="E1901" s="3" t="s">
        <v>10</v>
      </c>
      <c r="F1901" s="4">
        <v>73</v>
      </c>
      <c r="G1901" s="4"/>
      <c r="H1901" s="4">
        <f t="shared" si="181"/>
        <v>73</v>
      </c>
    </row>
    <row r="1902" ht="14.25" spans="1:8">
      <c r="A1902" s="3" t="str">
        <f>"11301206325"</f>
        <v>11301206325</v>
      </c>
      <c r="B1902" s="3">
        <v>2</v>
      </c>
      <c r="C1902" s="3">
        <v>63</v>
      </c>
      <c r="D1902" s="3">
        <v>25</v>
      </c>
      <c r="E1902" s="3" t="s">
        <v>10</v>
      </c>
      <c r="F1902" s="4">
        <v>74</v>
      </c>
      <c r="G1902" s="4"/>
      <c r="H1902" s="4">
        <f t="shared" si="181"/>
        <v>74</v>
      </c>
    </row>
    <row r="1903" ht="14.25" spans="1:8">
      <c r="A1903" s="3" t="str">
        <f>"11301206326"</f>
        <v>11301206326</v>
      </c>
      <c r="B1903" s="3">
        <v>2</v>
      </c>
      <c r="C1903" s="3">
        <v>63</v>
      </c>
      <c r="D1903" s="3">
        <v>26</v>
      </c>
      <c r="E1903" s="3" t="s">
        <v>10</v>
      </c>
      <c r="F1903" s="3">
        <v>0</v>
      </c>
      <c r="G1903" s="4"/>
      <c r="H1903" s="3">
        <v>0</v>
      </c>
    </row>
    <row r="1904" ht="14.25" spans="1:8">
      <c r="A1904" s="3" t="str">
        <f>"11301206327"</f>
        <v>11301206327</v>
      </c>
      <c r="B1904" s="3">
        <v>2</v>
      </c>
      <c r="C1904" s="3">
        <v>63</v>
      </c>
      <c r="D1904" s="3">
        <v>27</v>
      </c>
      <c r="E1904" s="3" t="s">
        <v>10</v>
      </c>
      <c r="F1904" s="4">
        <v>58</v>
      </c>
      <c r="G1904" s="4"/>
      <c r="H1904" s="4">
        <f t="shared" ref="H1904:H1909" si="182">F1904+G1904</f>
        <v>58</v>
      </c>
    </row>
    <row r="1905" ht="14.25" spans="1:8">
      <c r="A1905" s="3" t="str">
        <f>"11301206328"</f>
        <v>11301206328</v>
      </c>
      <c r="B1905" s="3">
        <v>2</v>
      </c>
      <c r="C1905" s="3">
        <v>63</v>
      </c>
      <c r="D1905" s="3">
        <v>28</v>
      </c>
      <c r="E1905" s="3" t="s">
        <v>10</v>
      </c>
      <c r="F1905" s="4">
        <v>62</v>
      </c>
      <c r="G1905" s="4"/>
      <c r="H1905" s="4">
        <f t="shared" si="182"/>
        <v>62</v>
      </c>
    </row>
    <row r="1906" ht="14.25" spans="1:8">
      <c r="A1906" s="3" t="str">
        <f>"11301206329"</f>
        <v>11301206329</v>
      </c>
      <c r="B1906" s="3">
        <v>2</v>
      </c>
      <c r="C1906" s="3">
        <v>63</v>
      </c>
      <c r="D1906" s="3">
        <v>29</v>
      </c>
      <c r="E1906" s="3" t="s">
        <v>10</v>
      </c>
      <c r="F1906" s="4">
        <v>61.5</v>
      </c>
      <c r="G1906" s="4"/>
      <c r="H1906" s="4">
        <f t="shared" si="182"/>
        <v>61.5</v>
      </c>
    </row>
    <row r="1907" ht="14.25" spans="1:8">
      <c r="A1907" s="3" t="str">
        <f>"11301206330"</f>
        <v>11301206330</v>
      </c>
      <c r="B1907" s="3">
        <v>2</v>
      </c>
      <c r="C1907" s="3">
        <v>63</v>
      </c>
      <c r="D1907" s="3">
        <v>30</v>
      </c>
      <c r="E1907" s="3" t="s">
        <v>10</v>
      </c>
      <c r="F1907" s="4">
        <v>84.5</v>
      </c>
      <c r="G1907" s="4"/>
      <c r="H1907" s="4">
        <f t="shared" si="182"/>
        <v>84.5</v>
      </c>
    </row>
    <row r="1908" ht="14.25" spans="1:8">
      <c r="A1908" s="3" t="str">
        <f>"11301206401"</f>
        <v>11301206401</v>
      </c>
      <c r="B1908" s="3">
        <v>2</v>
      </c>
      <c r="C1908" s="3">
        <v>64</v>
      </c>
      <c r="D1908" s="3">
        <v>1</v>
      </c>
      <c r="E1908" s="3" t="s">
        <v>10</v>
      </c>
      <c r="F1908" s="4">
        <v>67</v>
      </c>
      <c r="G1908" s="4"/>
      <c r="H1908" s="4">
        <f t="shared" si="182"/>
        <v>67</v>
      </c>
    </row>
    <row r="1909" ht="14.25" spans="1:8">
      <c r="A1909" s="3" t="str">
        <f>"11301206402"</f>
        <v>11301206402</v>
      </c>
      <c r="B1909" s="3">
        <v>2</v>
      </c>
      <c r="C1909" s="3">
        <v>64</v>
      </c>
      <c r="D1909" s="3">
        <v>2</v>
      </c>
      <c r="E1909" s="3" t="s">
        <v>10</v>
      </c>
      <c r="F1909" s="4">
        <v>69</v>
      </c>
      <c r="G1909" s="4"/>
      <c r="H1909" s="4">
        <f t="shared" si="182"/>
        <v>69</v>
      </c>
    </row>
    <row r="1910" ht="14.25" spans="1:8">
      <c r="A1910" s="3" t="str">
        <f>"11301206403"</f>
        <v>11301206403</v>
      </c>
      <c r="B1910" s="3">
        <v>2</v>
      </c>
      <c r="C1910" s="3">
        <v>64</v>
      </c>
      <c r="D1910" s="3">
        <v>3</v>
      </c>
      <c r="E1910" s="3" t="s">
        <v>10</v>
      </c>
      <c r="F1910" s="3">
        <v>0</v>
      </c>
      <c r="G1910" s="4"/>
      <c r="H1910" s="3">
        <v>0</v>
      </c>
    </row>
    <row r="1911" ht="14.25" spans="1:8">
      <c r="A1911" s="3" t="str">
        <f>"11301206404"</f>
        <v>11301206404</v>
      </c>
      <c r="B1911" s="3">
        <v>2</v>
      </c>
      <c r="C1911" s="3">
        <v>64</v>
      </c>
      <c r="D1911" s="3">
        <v>4</v>
      </c>
      <c r="E1911" s="3" t="s">
        <v>10</v>
      </c>
      <c r="F1911" s="4">
        <v>68</v>
      </c>
      <c r="G1911" s="4"/>
      <c r="H1911" s="4">
        <f t="shared" ref="H1911:H1917" si="183">F1911+G1911</f>
        <v>68</v>
      </c>
    </row>
    <row r="1912" ht="14.25" spans="1:8">
      <c r="A1912" s="3" t="str">
        <f>"11301206405"</f>
        <v>11301206405</v>
      </c>
      <c r="B1912" s="3">
        <v>2</v>
      </c>
      <c r="C1912" s="3">
        <v>64</v>
      </c>
      <c r="D1912" s="3">
        <v>5</v>
      </c>
      <c r="E1912" s="3" t="s">
        <v>10</v>
      </c>
      <c r="F1912" s="4">
        <v>58</v>
      </c>
      <c r="G1912" s="4"/>
      <c r="H1912" s="4">
        <f t="shared" si="183"/>
        <v>58</v>
      </c>
    </row>
    <row r="1913" ht="14.25" spans="1:8">
      <c r="A1913" s="3" t="str">
        <f>"11301206406"</f>
        <v>11301206406</v>
      </c>
      <c r="B1913" s="3">
        <v>2</v>
      </c>
      <c r="C1913" s="3">
        <v>64</v>
      </c>
      <c r="D1913" s="3">
        <v>6</v>
      </c>
      <c r="E1913" s="3" t="s">
        <v>10</v>
      </c>
      <c r="F1913" s="4">
        <v>70.5</v>
      </c>
      <c r="G1913" s="4"/>
      <c r="H1913" s="4">
        <f t="shared" si="183"/>
        <v>70.5</v>
      </c>
    </row>
    <row r="1914" ht="14.25" spans="1:8">
      <c r="A1914" s="3" t="str">
        <f>"11301206407"</f>
        <v>11301206407</v>
      </c>
      <c r="B1914" s="3">
        <v>2</v>
      </c>
      <c r="C1914" s="3">
        <v>64</v>
      </c>
      <c r="D1914" s="3">
        <v>7</v>
      </c>
      <c r="E1914" s="3" t="s">
        <v>10</v>
      </c>
      <c r="F1914" s="4">
        <v>80</v>
      </c>
      <c r="G1914" s="4"/>
      <c r="H1914" s="4">
        <f t="shared" si="183"/>
        <v>80</v>
      </c>
    </row>
    <row r="1915" ht="14.25" spans="1:8">
      <c r="A1915" s="3" t="str">
        <f>"11301206408"</f>
        <v>11301206408</v>
      </c>
      <c r="B1915" s="3">
        <v>2</v>
      </c>
      <c r="C1915" s="3">
        <v>64</v>
      </c>
      <c r="D1915" s="3">
        <v>8</v>
      </c>
      <c r="E1915" s="3" t="s">
        <v>10</v>
      </c>
      <c r="F1915" s="4">
        <v>64</v>
      </c>
      <c r="G1915" s="4"/>
      <c r="H1915" s="4">
        <f t="shared" si="183"/>
        <v>64</v>
      </c>
    </row>
    <row r="1916" ht="14.25" spans="1:8">
      <c r="A1916" s="3" t="str">
        <f>"11301206409"</f>
        <v>11301206409</v>
      </c>
      <c r="B1916" s="3">
        <v>2</v>
      </c>
      <c r="C1916" s="3">
        <v>64</v>
      </c>
      <c r="D1916" s="3">
        <v>9</v>
      </c>
      <c r="E1916" s="3" t="s">
        <v>10</v>
      </c>
      <c r="F1916" s="4">
        <v>49</v>
      </c>
      <c r="G1916" s="4"/>
      <c r="H1916" s="4">
        <f t="shared" si="183"/>
        <v>49</v>
      </c>
    </row>
    <row r="1917" ht="14.25" spans="1:8">
      <c r="A1917" s="3" t="str">
        <f>"11301206410"</f>
        <v>11301206410</v>
      </c>
      <c r="B1917" s="3">
        <v>2</v>
      </c>
      <c r="C1917" s="3">
        <v>64</v>
      </c>
      <c r="D1917" s="3">
        <v>10</v>
      </c>
      <c r="E1917" s="3" t="s">
        <v>10</v>
      </c>
      <c r="F1917" s="4">
        <v>82.5</v>
      </c>
      <c r="G1917" s="4"/>
      <c r="H1917" s="4">
        <f t="shared" si="183"/>
        <v>82.5</v>
      </c>
    </row>
    <row r="1918" ht="14.25" spans="1:8">
      <c r="A1918" s="3" t="str">
        <f>"11301206411"</f>
        <v>11301206411</v>
      </c>
      <c r="B1918" s="3">
        <v>2</v>
      </c>
      <c r="C1918" s="3">
        <v>64</v>
      </c>
      <c r="D1918" s="3">
        <v>11</v>
      </c>
      <c r="E1918" s="3" t="s">
        <v>10</v>
      </c>
      <c r="F1918" s="3">
        <v>0</v>
      </c>
      <c r="G1918" s="4"/>
      <c r="H1918" s="3">
        <v>0</v>
      </c>
    </row>
    <row r="1919" ht="14.25" spans="1:8">
      <c r="A1919" s="3" t="str">
        <f>"11301206412"</f>
        <v>11301206412</v>
      </c>
      <c r="B1919" s="3">
        <v>2</v>
      </c>
      <c r="C1919" s="3">
        <v>64</v>
      </c>
      <c r="D1919" s="3">
        <v>12</v>
      </c>
      <c r="E1919" s="3" t="s">
        <v>10</v>
      </c>
      <c r="F1919" s="4">
        <v>75.5</v>
      </c>
      <c r="G1919" s="4"/>
      <c r="H1919" s="4">
        <f t="shared" ref="H1919:H1926" si="184">F1919+G1919</f>
        <v>75.5</v>
      </c>
    </row>
    <row r="1920" ht="14.25" spans="1:8">
      <c r="A1920" s="3" t="str">
        <f>"11301206413"</f>
        <v>11301206413</v>
      </c>
      <c r="B1920" s="3">
        <v>2</v>
      </c>
      <c r="C1920" s="3">
        <v>64</v>
      </c>
      <c r="D1920" s="3">
        <v>13</v>
      </c>
      <c r="E1920" s="3" t="s">
        <v>10</v>
      </c>
      <c r="F1920" s="4">
        <v>61</v>
      </c>
      <c r="G1920" s="4"/>
      <c r="H1920" s="4">
        <f t="shared" si="184"/>
        <v>61</v>
      </c>
    </row>
    <row r="1921" ht="14.25" spans="1:8">
      <c r="A1921" s="3" t="str">
        <f>"11301206414"</f>
        <v>11301206414</v>
      </c>
      <c r="B1921" s="3">
        <v>2</v>
      </c>
      <c r="C1921" s="3">
        <v>64</v>
      </c>
      <c r="D1921" s="3">
        <v>14</v>
      </c>
      <c r="E1921" s="3" t="s">
        <v>10</v>
      </c>
      <c r="F1921" s="4">
        <v>86</v>
      </c>
      <c r="G1921" s="4"/>
      <c r="H1921" s="4">
        <f t="shared" si="184"/>
        <v>86</v>
      </c>
    </row>
    <row r="1922" ht="14.25" spans="1:8">
      <c r="A1922" s="3" t="str">
        <f>"11301206415"</f>
        <v>11301206415</v>
      </c>
      <c r="B1922" s="3">
        <v>2</v>
      </c>
      <c r="C1922" s="3">
        <v>64</v>
      </c>
      <c r="D1922" s="3">
        <v>15</v>
      </c>
      <c r="E1922" s="3" t="s">
        <v>10</v>
      </c>
      <c r="F1922" s="4">
        <v>71</v>
      </c>
      <c r="G1922" s="4"/>
      <c r="H1922" s="4">
        <f t="shared" si="184"/>
        <v>71</v>
      </c>
    </row>
    <row r="1923" ht="14.25" spans="1:8">
      <c r="A1923" s="3" t="str">
        <f>"11301206416"</f>
        <v>11301206416</v>
      </c>
      <c r="B1923" s="3">
        <v>2</v>
      </c>
      <c r="C1923" s="3">
        <v>64</v>
      </c>
      <c r="D1923" s="3">
        <v>16</v>
      </c>
      <c r="E1923" s="3" t="s">
        <v>10</v>
      </c>
      <c r="F1923" s="4">
        <v>56</v>
      </c>
      <c r="G1923" s="4"/>
      <c r="H1923" s="4">
        <f t="shared" si="184"/>
        <v>56</v>
      </c>
    </row>
    <row r="1924" ht="14.25" spans="1:8">
      <c r="A1924" s="3" t="str">
        <f>"11301206417"</f>
        <v>11301206417</v>
      </c>
      <c r="B1924" s="3">
        <v>2</v>
      </c>
      <c r="C1924" s="3">
        <v>64</v>
      </c>
      <c r="D1924" s="3">
        <v>17</v>
      </c>
      <c r="E1924" s="3" t="s">
        <v>10</v>
      </c>
      <c r="F1924" s="4">
        <v>74</v>
      </c>
      <c r="G1924" s="4"/>
      <c r="H1924" s="4">
        <f t="shared" si="184"/>
        <v>74</v>
      </c>
    </row>
    <row r="1925" ht="14.25" spans="1:8">
      <c r="A1925" s="3" t="str">
        <f>"11301206418"</f>
        <v>11301206418</v>
      </c>
      <c r="B1925" s="3">
        <v>2</v>
      </c>
      <c r="C1925" s="3">
        <v>64</v>
      </c>
      <c r="D1925" s="3">
        <v>18</v>
      </c>
      <c r="E1925" s="3" t="s">
        <v>10</v>
      </c>
      <c r="F1925" s="4">
        <v>68</v>
      </c>
      <c r="G1925" s="4"/>
      <c r="H1925" s="4">
        <f t="shared" si="184"/>
        <v>68</v>
      </c>
    </row>
    <row r="1926" ht="14.25" spans="1:8">
      <c r="A1926" s="3" t="str">
        <f>"11301206419"</f>
        <v>11301206419</v>
      </c>
      <c r="B1926" s="3">
        <v>2</v>
      </c>
      <c r="C1926" s="3">
        <v>64</v>
      </c>
      <c r="D1926" s="3">
        <v>19</v>
      </c>
      <c r="E1926" s="3" t="s">
        <v>10</v>
      </c>
      <c r="F1926" s="4">
        <v>81.5</v>
      </c>
      <c r="G1926" s="4"/>
      <c r="H1926" s="4">
        <f t="shared" si="184"/>
        <v>81.5</v>
      </c>
    </row>
    <row r="1927" ht="14.25" spans="1:8">
      <c r="A1927" s="3" t="str">
        <f>"11301206420"</f>
        <v>11301206420</v>
      </c>
      <c r="B1927" s="3">
        <v>2</v>
      </c>
      <c r="C1927" s="3">
        <v>64</v>
      </c>
      <c r="D1927" s="3">
        <v>20</v>
      </c>
      <c r="E1927" s="3" t="s">
        <v>10</v>
      </c>
      <c r="F1927" s="3">
        <v>0</v>
      </c>
      <c r="G1927" s="4"/>
      <c r="H1927" s="3">
        <v>0</v>
      </c>
    </row>
    <row r="1928" ht="14.25" spans="1:8">
      <c r="A1928" s="3" t="str">
        <f>"11301206421"</f>
        <v>11301206421</v>
      </c>
      <c r="B1928" s="3">
        <v>2</v>
      </c>
      <c r="C1928" s="3">
        <v>64</v>
      </c>
      <c r="D1928" s="3">
        <v>21</v>
      </c>
      <c r="E1928" s="3" t="s">
        <v>10</v>
      </c>
      <c r="F1928" s="4">
        <v>65.5</v>
      </c>
      <c r="G1928" s="4"/>
      <c r="H1928" s="4">
        <f t="shared" ref="H1928:H1934" si="185">F1928+G1928</f>
        <v>65.5</v>
      </c>
    </row>
    <row r="1929" ht="14.25" spans="1:8">
      <c r="A1929" s="3" t="str">
        <f>"11301206422"</f>
        <v>11301206422</v>
      </c>
      <c r="B1929" s="3">
        <v>2</v>
      </c>
      <c r="C1929" s="3">
        <v>64</v>
      </c>
      <c r="D1929" s="3">
        <v>22</v>
      </c>
      <c r="E1929" s="3" t="s">
        <v>10</v>
      </c>
      <c r="F1929" s="4">
        <v>70.5</v>
      </c>
      <c r="G1929" s="4"/>
      <c r="H1929" s="4">
        <f t="shared" si="185"/>
        <v>70.5</v>
      </c>
    </row>
    <row r="1930" ht="14.25" spans="1:8">
      <c r="A1930" s="3" t="str">
        <f>"11301206423"</f>
        <v>11301206423</v>
      </c>
      <c r="B1930" s="3">
        <v>2</v>
      </c>
      <c r="C1930" s="3">
        <v>64</v>
      </c>
      <c r="D1930" s="3">
        <v>23</v>
      </c>
      <c r="E1930" s="3" t="s">
        <v>10</v>
      </c>
      <c r="F1930" s="4">
        <v>58.5</v>
      </c>
      <c r="G1930" s="4"/>
      <c r="H1930" s="4">
        <f t="shared" si="185"/>
        <v>58.5</v>
      </c>
    </row>
    <row r="1931" ht="14.25" spans="1:8">
      <c r="A1931" s="3" t="str">
        <f>"11301206424"</f>
        <v>11301206424</v>
      </c>
      <c r="B1931" s="3">
        <v>2</v>
      </c>
      <c r="C1931" s="3">
        <v>64</v>
      </c>
      <c r="D1931" s="3">
        <v>24</v>
      </c>
      <c r="E1931" s="3" t="s">
        <v>10</v>
      </c>
      <c r="F1931" s="4">
        <v>56.5</v>
      </c>
      <c r="G1931" s="4"/>
      <c r="H1931" s="4">
        <f t="shared" si="185"/>
        <v>56.5</v>
      </c>
    </row>
    <row r="1932" ht="14.25" spans="1:8">
      <c r="A1932" s="3" t="str">
        <f>"11301206425"</f>
        <v>11301206425</v>
      </c>
      <c r="B1932" s="3">
        <v>2</v>
      </c>
      <c r="C1932" s="3">
        <v>64</v>
      </c>
      <c r="D1932" s="3">
        <v>25</v>
      </c>
      <c r="E1932" s="3" t="s">
        <v>10</v>
      </c>
      <c r="F1932" s="4">
        <v>46.5</v>
      </c>
      <c r="G1932" s="4"/>
      <c r="H1932" s="4">
        <f t="shared" si="185"/>
        <v>46.5</v>
      </c>
    </row>
    <row r="1933" ht="14.25" spans="1:8">
      <c r="A1933" s="3" t="str">
        <f>"11301206426"</f>
        <v>11301206426</v>
      </c>
      <c r="B1933" s="3">
        <v>2</v>
      </c>
      <c r="C1933" s="3">
        <v>64</v>
      </c>
      <c r="D1933" s="3">
        <v>26</v>
      </c>
      <c r="E1933" s="3" t="s">
        <v>10</v>
      </c>
      <c r="F1933" s="4">
        <v>82.5</v>
      </c>
      <c r="G1933" s="4"/>
      <c r="H1933" s="4">
        <f t="shared" si="185"/>
        <v>82.5</v>
      </c>
    </row>
    <row r="1934" ht="14.25" spans="1:8">
      <c r="A1934" s="3" t="str">
        <f>"11301206427"</f>
        <v>11301206427</v>
      </c>
      <c r="B1934" s="3">
        <v>2</v>
      </c>
      <c r="C1934" s="3">
        <v>64</v>
      </c>
      <c r="D1934" s="3">
        <v>27</v>
      </c>
      <c r="E1934" s="3" t="s">
        <v>10</v>
      </c>
      <c r="F1934" s="4">
        <v>59</v>
      </c>
      <c r="G1934" s="4"/>
      <c r="H1934" s="4">
        <f t="shared" si="185"/>
        <v>59</v>
      </c>
    </row>
    <row r="1935" ht="14.25" spans="1:8">
      <c r="A1935" s="3" t="str">
        <f>"11301206428"</f>
        <v>11301206428</v>
      </c>
      <c r="B1935" s="3">
        <v>2</v>
      </c>
      <c r="C1935" s="3">
        <v>64</v>
      </c>
      <c r="D1935" s="3">
        <v>28</v>
      </c>
      <c r="E1935" s="3" t="s">
        <v>10</v>
      </c>
      <c r="F1935" s="3">
        <v>0</v>
      </c>
      <c r="G1935" s="4"/>
      <c r="H1935" s="3">
        <v>0</v>
      </c>
    </row>
    <row r="1936" ht="14.25" spans="1:8">
      <c r="A1936" s="3" t="str">
        <f>"11301206429"</f>
        <v>11301206429</v>
      </c>
      <c r="B1936" s="3">
        <v>2</v>
      </c>
      <c r="C1936" s="3">
        <v>64</v>
      </c>
      <c r="D1936" s="3">
        <v>29</v>
      </c>
      <c r="E1936" s="3" t="s">
        <v>10</v>
      </c>
      <c r="F1936" s="4">
        <v>79.5</v>
      </c>
      <c r="G1936" s="4"/>
      <c r="H1936" s="4">
        <f t="shared" ref="H1936:H1945" si="186">F1936+G1936</f>
        <v>79.5</v>
      </c>
    </row>
    <row r="1937" ht="14.25" spans="1:8">
      <c r="A1937" s="3" t="str">
        <f>"11301206430"</f>
        <v>11301206430</v>
      </c>
      <c r="B1937" s="3">
        <v>2</v>
      </c>
      <c r="C1937" s="3">
        <v>64</v>
      </c>
      <c r="D1937" s="3">
        <v>30</v>
      </c>
      <c r="E1937" s="3" t="s">
        <v>10</v>
      </c>
      <c r="F1937" s="4">
        <v>64</v>
      </c>
      <c r="G1937" s="4"/>
      <c r="H1937" s="4">
        <f t="shared" si="186"/>
        <v>64</v>
      </c>
    </row>
    <row r="1938" ht="14.25" spans="1:8">
      <c r="A1938" s="3" t="str">
        <f>"11301206501"</f>
        <v>11301206501</v>
      </c>
      <c r="B1938" s="3">
        <v>2</v>
      </c>
      <c r="C1938" s="3">
        <v>65</v>
      </c>
      <c r="D1938" s="3">
        <v>1</v>
      </c>
      <c r="E1938" s="3" t="s">
        <v>10</v>
      </c>
      <c r="F1938" s="4">
        <v>79</v>
      </c>
      <c r="G1938" s="4"/>
      <c r="H1938" s="4">
        <f t="shared" si="186"/>
        <v>79</v>
      </c>
    </row>
    <row r="1939" ht="14.25" spans="1:8">
      <c r="A1939" s="3" t="str">
        <f>"11301206502"</f>
        <v>11301206502</v>
      </c>
      <c r="B1939" s="3">
        <v>2</v>
      </c>
      <c r="C1939" s="3">
        <v>65</v>
      </c>
      <c r="D1939" s="3">
        <v>2</v>
      </c>
      <c r="E1939" s="3" t="s">
        <v>10</v>
      </c>
      <c r="F1939" s="4">
        <v>79</v>
      </c>
      <c r="G1939" s="4"/>
      <c r="H1939" s="4">
        <f t="shared" si="186"/>
        <v>79</v>
      </c>
    </row>
    <row r="1940" ht="14.25" spans="1:8">
      <c r="A1940" s="3" t="str">
        <f>"11301206503"</f>
        <v>11301206503</v>
      </c>
      <c r="B1940" s="3">
        <v>2</v>
      </c>
      <c r="C1940" s="3">
        <v>65</v>
      </c>
      <c r="D1940" s="3">
        <v>3</v>
      </c>
      <c r="E1940" s="3" t="s">
        <v>10</v>
      </c>
      <c r="F1940" s="4">
        <v>82</v>
      </c>
      <c r="G1940" s="4"/>
      <c r="H1940" s="4">
        <f t="shared" si="186"/>
        <v>82</v>
      </c>
    </row>
    <row r="1941" ht="14.25" spans="1:8">
      <c r="A1941" s="3" t="str">
        <f>"11301206504"</f>
        <v>11301206504</v>
      </c>
      <c r="B1941" s="3">
        <v>2</v>
      </c>
      <c r="C1941" s="3">
        <v>65</v>
      </c>
      <c r="D1941" s="3">
        <v>4</v>
      </c>
      <c r="E1941" s="3" t="s">
        <v>10</v>
      </c>
      <c r="F1941" s="4">
        <v>71</v>
      </c>
      <c r="G1941" s="4"/>
      <c r="H1941" s="4">
        <f t="shared" si="186"/>
        <v>71</v>
      </c>
    </row>
    <row r="1942" ht="14.25" spans="1:8">
      <c r="A1942" s="3" t="str">
        <f>"11301206505"</f>
        <v>11301206505</v>
      </c>
      <c r="B1942" s="3">
        <v>2</v>
      </c>
      <c r="C1942" s="3">
        <v>65</v>
      </c>
      <c r="D1942" s="3">
        <v>5</v>
      </c>
      <c r="E1942" s="3" t="s">
        <v>10</v>
      </c>
      <c r="F1942" s="4">
        <v>64.5</v>
      </c>
      <c r="G1942" s="4"/>
      <c r="H1942" s="4">
        <f t="shared" si="186"/>
        <v>64.5</v>
      </c>
    </row>
    <row r="1943" ht="14.25" spans="1:8">
      <c r="A1943" s="3" t="str">
        <f>"11301206506"</f>
        <v>11301206506</v>
      </c>
      <c r="B1943" s="3">
        <v>2</v>
      </c>
      <c r="C1943" s="3">
        <v>65</v>
      </c>
      <c r="D1943" s="3">
        <v>6</v>
      </c>
      <c r="E1943" s="3" t="s">
        <v>10</v>
      </c>
      <c r="F1943" s="4">
        <v>65</v>
      </c>
      <c r="G1943" s="4"/>
      <c r="H1943" s="4">
        <f t="shared" si="186"/>
        <v>65</v>
      </c>
    </row>
    <row r="1944" ht="14.25" spans="1:8">
      <c r="A1944" s="3" t="str">
        <f>"11301206507"</f>
        <v>11301206507</v>
      </c>
      <c r="B1944" s="3">
        <v>2</v>
      </c>
      <c r="C1944" s="3">
        <v>65</v>
      </c>
      <c r="D1944" s="3">
        <v>7</v>
      </c>
      <c r="E1944" s="3" t="s">
        <v>10</v>
      </c>
      <c r="F1944" s="4">
        <v>82.5</v>
      </c>
      <c r="G1944" s="4"/>
      <c r="H1944" s="4">
        <f t="shared" si="186"/>
        <v>82.5</v>
      </c>
    </row>
    <row r="1945" ht="14.25" spans="1:8">
      <c r="A1945" s="3" t="str">
        <f>"11301206508"</f>
        <v>11301206508</v>
      </c>
      <c r="B1945" s="3">
        <v>2</v>
      </c>
      <c r="C1945" s="3">
        <v>65</v>
      </c>
      <c r="D1945" s="3">
        <v>8</v>
      </c>
      <c r="E1945" s="3" t="s">
        <v>10</v>
      </c>
      <c r="F1945" s="4">
        <v>82.5</v>
      </c>
      <c r="G1945" s="4"/>
      <c r="H1945" s="4">
        <f t="shared" si="186"/>
        <v>82.5</v>
      </c>
    </row>
    <row r="1946" ht="14.25" spans="1:8">
      <c r="A1946" s="3" t="str">
        <f>"11301206509"</f>
        <v>11301206509</v>
      </c>
      <c r="B1946" s="3">
        <v>2</v>
      </c>
      <c r="C1946" s="3">
        <v>65</v>
      </c>
      <c r="D1946" s="3">
        <v>9</v>
      </c>
      <c r="E1946" s="3" t="s">
        <v>10</v>
      </c>
      <c r="F1946" s="3">
        <v>0</v>
      </c>
      <c r="G1946" s="4"/>
      <c r="H1946" s="3">
        <v>0</v>
      </c>
    </row>
    <row r="1947" ht="14.25" spans="1:8">
      <c r="A1947" s="3" t="str">
        <f>"11301206510"</f>
        <v>11301206510</v>
      </c>
      <c r="B1947" s="3">
        <v>2</v>
      </c>
      <c r="C1947" s="3">
        <v>65</v>
      </c>
      <c r="D1947" s="3">
        <v>10</v>
      </c>
      <c r="E1947" s="3" t="s">
        <v>10</v>
      </c>
      <c r="F1947" s="4">
        <v>66.5</v>
      </c>
      <c r="G1947" s="4"/>
      <c r="H1947" s="4">
        <f t="shared" ref="H1947:H1953" si="187">F1947+G1947</f>
        <v>66.5</v>
      </c>
    </row>
    <row r="1948" ht="14.25" spans="1:8">
      <c r="A1948" s="3" t="str">
        <f>"11301206511"</f>
        <v>11301206511</v>
      </c>
      <c r="B1948" s="3">
        <v>2</v>
      </c>
      <c r="C1948" s="3">
        <v>65</v>
      </c>
      <c r="D1948" s="3">
        <v>11</v>
      </c>
      <c r="E1948" s="3" t="s">
        <v>10</v>
      </c>
      <c r="F1948" s="3">
        <v>0</v>
      </c>
      <c r="G1948" s="4"/>
      <c r="H1948" s="3">
        <v>0</v>
      </c>
    </row>
    <row r="1949" ht="14.25" spans="1:8">
      <c r="A1949" s="3" t="str">
        <f>"11301206512"</f>
        <v>11301206512</v>
      </c>
      <c r="B1949" s="3">
        <v>2</v>
      </c>
      <c r="C1949" s="3">
        <v>65</v>
      </c>
      <c r="D1949" s="3">
        <v>12</v>
      </c>
      <c r="E1949" s="3" t="s">
        <v>10</v>
      </c>
      <c r="F1949" s="4">
        <v>80</v>
      </c>
      <c r="G1949" s="4"/>
      <c r="H1949" s="4">
        <f t="shared" si="187"/>
        <v>80</v>
      </c>
    </row>
    <row r="1950" ht="14.25" spans="1:8">
      <c r="A1950" s="3" t="str">
        <f>"11301206513"</f>
        <v>11301206513</v>
      </c>
      <c r="B1950" s="3">
        <v>2</v>
      </c>
      <c r="C1950" s="3">
        <v>65</v>
      </c>
      <c r="D1950" s="3">
        <v>13</v>
      </c>
      <c r="E1950" s="3" t="s">
        <v>10</v>
      </c>
      <c r="F1950" s="4">
        <v>83</v>
      </c>
      <c r="G1950" s="4"/>
      <c r="H1950" s="4">
        <f t="shared" si="187"/>
        <v>83</v>
      </c>
    </row>
    <row r="1951" ht="14.25" spans="1:8">
      <c r="A1951" s="3" t="str">
        <f>"11301206514"</f>
        <v>11301206514</v>
      </c>
      <c r="B1951" s="3">
        <v>2</v>
      </c>
      <c r="C1951" s="3">
        <v>65</v>
      </c>
      <c r="D1951" s="3">
        <v>14</v>
      </c>
      <c r="E1951" s="3" t="s">
        <v>10</v>
      </c>
      <c r="F1951" s="4">
        <v>67</v>
      </c>
      <c r="G1951" s="4"/>
      <c r="H1951" s="4">
        <f t="shared" si="187"/>
        <v>67</v>
      </c>
    </row>
    <row r="1952" ht="14.25" spans="1:8">
      <c r="A1952" s="3" t="str">
        <f>"11301206515"</f>
        <v>11301206515</v>
      </c>
      <c r="B1952" s="3">
        <v>2</v>
      </c>
      <c r="C1952" s="3">
        <v>65</v>
      </c>
      <c r="D1952" s="3">
        <v>15</v>
      </c>
      <c r="E1952" s="3" t="s">
        <v>10</v>
      </c>
      <c r="F1952" s="4">
        <v>30.5</v>
      </c>
      <c r="G1952" s="4"/>
      <c r="H1952" s="4">
        <f t="shared" si="187"/>
        <v>30.5</v>
      </c>
    </row>
    <row r="1953" ht="14.25" spans="1:8">
      <c r="A1953" s="3" t="str">
        <f>"11301206516"</f>
        <v>11301206516</v>
      </c>
      <c r="B1953" s="3">
        <v>2</v>
      </c>
      <c r="C1953" s="3">
        <v>65</v>
      </c>
      <c r="D1953" s="3">
        <v>16</v>
      </c>
      <c r="E1953" s="3" t="s">
        <v>10</v>
      </c>
      <c r="F1953" s="4">
        <v>59</v>
      </c>
      <c r="G1953" s="4"/>
      <c r="H1953" s="4">
        <f t="shared" si="187"/>
        <v>59</v>
      </c>
    </row>
    <row r="1954" ht="14.25" spans="1:8">
      <c r="A1954" s="3" t="str">
        <f>"11301206517"</f>
        <v>11301206517</v>
      </c>
      <c r="B1954" s="3">
        <v>2</v>
      </c>
      <c r="C1954" s="3">
        <v>65</v>
      </c>
      <c r="D1954" s="3">
        <v>17</v>
      </c>
      <c r="E1954" s="3" t="s">
        <v>10</v>
      </c>
      <c r="F1954" s="3">
        <v>0</v>
      </c>
      <c r="G1954" s="4"/>
      <c r="H1954" s="3">
        <v>0</v>
      </c>
    </row>
    <row r="1955" ht="14.25" spans="1:8">
      <c r="A1955" s="3" t="str">
        <f>"11301206518"</f>
        <v>11301206518</v>
      </c>
      <c r="B1955" s="3">
        <v>2</v>
      </c>
      <c r="C1955" s="3">
        <v>65</v>
      </c>
      <c r="D1955" s="3">
        <v>18</v>
      </c>
      <c r="E1955" s="3" t="s">
        <v>10</v>
      </c>
      <c r="F1955" s="4">
        <v>62.5</v>
      </c>
      <c r="G1955" s="4"/>
      <c r="H1955" s="4">
        <f t="shared" ref="H1955:H1961" si="188">F1955+G1955</f>
        <v>62.5</v>
      </c>
    </row>
    <row r="1956" ht="14.25" spans="1:8">
      <c r="A1956" s="3" t="str">
        <f>"11301206519"</f>
        <v>11301206519</v>
      </c>
      <c r="B1956" s="3">
        <v>2</v>
      </c>
      <c r="C1956" s="3">
        <v>65</v>
      </c>
      <c r="D1956" s="3">
        <v>19</v>
      </c>
      <c r="E1956" s="3" t="s">
        <v>10</v>
      </c>
      <c r="F1956" s="4">
        <v>68</v>
      </c>
      <c r="G1956" s="4"/>
      <c r="H1956" s="4">
        <f t="shared" si="188"/>
        <v>68</v>
      </c>
    </row>
    <row r="1957" ht="14.25" spans="1:8">
      <c r="A1957" s="3" t="str">
        <f>"11301206520"</f>
        <v>11301206520</v>
      </c>
      <c r="B1957" s="3">
        <v>2</v>
      </c>
      <c r="C1957" s="3">
        <v>65</v>
      </c>
      <c r="D1957" s="3">
        <v>20</v>
      </c>
      <c r="E1957" s="3" t="s">
        <v>10</v>
      </c>
      <c r="F1957" s="3">
        <v>0</v>
      </c>
      <c r="G1957" s="4"/>
      <c r="H1957" s="3">
        <v>0</v>
      </c>
    </row>
    <row r="1958" ht="14.25" spans="1:8">
      <c r="A1958" s="3" t="str">
        <f>"11301206521"</f>
        <v>11301206521</v>
      </c>
      <c r="B1958" s="3">
        <v>2</v>
      </c>
      <c r="C1958" s="3">
        <v>65</v>
      </c>
      <c r="D1958" s="3">
        <v>21</v>
      </c>
      <c r="E1958" s="3" t="s">
        <v>10</v>
      </c>
      <c r="F1958" s="4">
        <v>82</v>
      </c>
      <c r="G1958" s="4"/>
      <c r="H1958" s="4">
        <f t="shared" si="188"/>
        <v>82</v>
      </c>
    </row>
    <row r="1959" ht="14.25" spans="1:8">
      <c r="A1959" s="3" t="str">
        <f>"11301206522"</f>
        <v>11301206522</v>
      </c>
      <c r="B1959" s="3">
        <v>2</v>
      </c>
      <c r="C1959" s="3">
        <v>65</v>
      </c>
      <c r="D1959" s="3">
        <v>22</v>
      </c>
      <c r="E1959" s="3" t="s">
        <v>10</v>
      </c>
      <c r="F1959" s="4">
        <v>58.5</v>
      </c>
      <c r="G1959" s="4"/>
      <c r="H1959" s="4">
        <f t="shared" si="188"/>
        <v>58.5</v>
      </c>
    </row>
    <row r="1960" ht="14.25" spans="1:8">
      <c r="A1960" s="3" t="str">
        <f>"11301206523"</f>
        <v>11301206523</v>
      </c>
      <c r="B1960" s="3">
        <v>2</v>
      </c>
      <c r="C1960" s="3">
        <v>65</v>
      </c>
      <c r="D1960" s="3">
        <v>23</v>
      </c>
      <c r="E1960" s="3" t="s">
        <v>10</v>
      </c>
      <c r="F1960" s="4">
        <v>56.5</v>
      </c>
      <c r="G1960" s="4"/>
      <c r="H1960" s="4">
        <f t="shared" si="188"/>
        <v>56.5</v>
      </c>
    </row>
    <row r="1961" ht="14.25" spans="1:8">
      <c r="A1961" s="3" t="str">
        <f>"11301206524"</f>
        <v>11301206524</v>
      </c>
      <c r="B1961" s="3">
        <v>2</v>
      </c>
      <c r="C1961" s="3">
        <v>65</v>
      </c>
      <c r="D1961" s="3">
        <v>24</v>
      </c>
      <c r="E1961" s="3" t="s">
        <v>10</v>
      </c>
      <c r="F1961" s="4">
        <v>71</v>
      </c>
      <c r="G1961" s="4"/>
      <c r="H1961" s="4">
        <f t="shared" si="188"/>
        <v>71</v>
      </c>
    </row>
    <row r="1962" ht="14.25" spans="1:8">
      <c r="A1962" s="3" t="str">
        <f>"11301206525"</f>
        <v>11301206525</v>
      </c>
      <c r="B1962" s="3">
        <v>2</v>
      </c>
      <c r="C1962" s="3">
        <v>65</v>
      </c>
      <c r="D1962" s="3">
        <v>25</v>
      </c>
      <c r="E1962" s="3" t="s">
        <v>10</v>
      </c>
      <c r="F1962" s="3">
        <v>0</v>
      </c>
      <c r="G1962" s="4"/>
      <c r="H1962" s="3">
        <v>0</v>
      </c>
    </row>
    <row r="1963" ht="14.25" spans="1:8">
      <c r="A1963" s="3" t="str">
        <f>"11301206526"</f>
        <v>11301206526</v>
      </c>
      <c r="B1963" s="3">
        <v>2</v>
      </c>
      <c r="C1963" s="3">
        <v>65</v>
      </c>
      <c r="D1963" s="3">
        <v>26</v>
      </c>
      <c r="E1963" s="3" t="s">
        <v>10</v>
      </c>
      <c r="F1963" s="4">
        <v>73.5</v>
      </c>
      <c r="G1963" s="4"/>
      <c r="H1963" s="4">
        <f t="shared" ref="H1963:H1965" si="189">F1963+G1963</f>
        <v>73.5</v>
      </c>
    </row>
    <row r="1964" ht="14.25" spans="1:8">
      <c r="A1964" s="3" t="str">
        <f>"11301206527"</f>
        <v>11301206527</v>
      </c>
      <c r="B1964" s="3">
        <v>2</v>
      </c>
      <c r="C1964" s="3">
        <v>65</v>
      </c>
      <c r="D1964" s="3">
        <v>27</v>
      </c>
      <c r="E1964" s="3" t="s">
        <v>10</v>
      </c>
      <c r="F1964" s="4">
        <v>81</v>
      </c>
      <c r="G1964" s="4"/>
      <c r="H1964" s="4">
        <f t="shared" si="189"/>
        <v>81</v>
      </c>
    </row>
    <row r="1965" ht="14.25" spans="1:8">
      <c r="A1965" s="3" t="str">
        <f>"11301206528"</f>
        <v>11301206528</v>
      </c>
      <c r="B1965" s="3">
        <v>2</v>
      </c>
      <c r="C1965" s="3">
        <v>65</v>
      </c>
      <c r="D1965" s="3">
        <v>28</v>
      </c>
      <c r="E1965" s="3" t="s">
        <v>10</v>
      </c>
      <c r="F1965" s="4">
        <v>81.5</v>
      </c>
      <c r="G1965" s="4"/>
      <c r="H1965" s="4">
        <f t="shared" si="189"/>
        <v>81.5</v>
      </c>
    </row>
    <row r="1966" ht="14.25" spans="1:8">
      <c r="A1966" s="3" t="str">
        <f>"11301206529"</f>
        <v>11301206529</v>
      </c>
      <c r="B1966" s="3">
        <v>2</v>
      </c>
      <c r="C1966" s="3">
        <v>65</v>
      </c>
      <c r="D1966" s="3">
        <v>29</v>
      </c>
      <c r="E1966" s="3" t="s">
        <v>10</v>
      </c>
      <c r="F1966" s="3">
        <v>0</v>
      </c>
      <c r="G1966" s="4"/>
      <c r="H1966" s="3">
        <v>0</v>
      </c>
    </row>
    <row r="1967" ht="14.25" spans="1:8">
      <c r="A1967" s="3" t="str">
        <f>"11301206530"</f>
        <v>11301206530</v>
      </c>
      <c r="B1967" s="3">
        <v>2</v>
      </c>
      <c r="C1967" s="3">
        <v>65</v>
      </c>
      <c r="D1967" s="3">
        <v>30</v>
      </c>
      <c r="E1967" s="3" t="s">
        <v>10</v>
      </c>
      <c r="F1967" s="3">
        <v>0</v>
      </c>
      <c r="G1967" s="4"/>
      <c r="H1967" s="3">
        <v>0</v>
      </c>
    </row>
    <row r="1968" ht="14.25" spans="1:8">
      <c r="A1968" s="3" t="str">
        <f>"11301206601"</f>
        <v>11301206601</v>
      </c>
      <c r="B1968" s="3">
        <v>2</v>
      </c>
      <c r="C1968" s="3">
        <v>66</v>
      </c>
      <c r="D1968" s="3">
        <v>1</v>
      </c>
      <c r="E1968" s="3" t="s">
        <v>10</v>
      </c>
      <c r="F1968" s="4">
        <v>74.5</v>
      </c>
      <c r="G1968" s="4"/>
      <c r="H1968" s="4">
        <f t="shared" ref="H1968:H1978" si="190">F1968+G1968</f>
        <v>74.5</v>
      </c>
    </row>
    <row r="1969" ht="14.25" spans="1:8">
      <c r="A1969" s="3" t="str">
        <f>"11301206602"</f>
        <v>11301206602</v>
      </c>
      <c r="B1969" s="3">
        <v>2</v>
      </c>
      <c r="C1969" s="3">
        <v>66</v>
      </c>
      <c r="D1969" s="3">
        <v>2</v>
      </c>
      <c r="E1969" s="3" t="s">
        <v>10</v>
      </c>
      <c r="F1969" s="4">
        <v>67.5</v>
      </c>
      <c r="G1969" s="4"/>
      <c r="H1969" s="4">
        <f t="shared" si="190"/>
        <v>67.5</v>
      </c>
    </row>
    <row r="1970" ht="14.25" spans="1:8">
      <c r="A1970" s="3" t="str">
        <f>"11301206603"</f>
        <v>11301206603</v>
      </c>
      <c r="B1970" s="3">
        <v>2</v>
      </c>
      <c r="C1970" s="3">
        <v>66</v>
      </c>
      <c r="D1970" s="3">
        <v>3</v>
      </c>
      <c r="E1970" s="3" t="s">
        <v>10</v>
      </c>
      <c r="F1970" s="4">
        <v>76.5</v>
      </c>
      <c r="G1970" s="4"/>
      <c r="H1970" s="4">
        <f t="shared" si="190"/>
        <v>76.5</v>
      </c>
    </row>
    <row r="1971" ht="14.25" spans="1:8">
      <c r="A1971" s="3" t="str">
        <f>"11301206604"</f>
        <v>11301206604</v>
      </c>
      <c r="B1971" s="3">
        <v>2</v>
      </c>
      <c r="C1971" s="3">
        <v>66</v>
      </c>
      <c r="D1971" s="3">
        <v>4</v>
      </c>
      <c r="E1971" s="3" t="s">
        <v>10</v>
      </c>
      <c r="F1971" s="4">
        <v>77</v>
      </c>
      <c r="G1971" s="4"/>
      <c r="H1971" s="4">
        <f t="shared" si="190"/>
        <v>77</v>
      </c>
    </row>
    <row r="1972" ht="14.25" spans="1:8">
      <c r="A1972" s="3" t="str">
        <f>"11301206605"</f>
        <v>11301206605</v>
      </c>
      <c r="B1972" s="3">
        <v>2</v>
      </c>
      <c r="C1972" s="3">
        <v>66</v>
      </c>
      <c r="D1972" s="3">
        <v>5</v>
      </c>
      <c r="E1972" s="3" t="s">
        <v>10</v>
      </c>
      <c r="F1972" s="4">
        <v>74</v>
      </c>
      <c r="G1972" s="4"/>
      <c r="H1972" s="4">
        <f t="shared" si="190"/>
        <v>74</v>
      </c>
    </row>
    <row r="1973" ht="14.25" spans="1:8">
      <c r="A1973" s="3" t="str">
        <f>"11301206606"</f>
        <v>11301206606</v>
      </c>
      <c r="B1973" s="3">
        <v>2</v>
      </c>
      <c r="C1973" s="3">
        <v>66</v>
      </c>
      <c r="D1973" s="3">
        <v>6</v>
      </c>
      <c r="E1973" s="3" t="s">
        <v>10</v>
      </c>
      <c r="F1973" s="4">
        <v>61</v>
      </c>
      <c r="G1973" s="4"/>
      <c r="H1973" s="4">
        <f t="shared" si="190"/>
        <v>61</v>
      </c>
    </row>
    <row r="1974" ht="14.25" spans="1:8">
      <c r="A1974" s="3" t="str">
        <f>"11301206607"</f>
        <v>11301206607</v>
      </c>
      <c r="B1974" s="3">
        <v>2</v>
      </c>
      <c r="C1974" s="3">
        <v>66</v>
      </c>
      <c r="D1974" s="3">
        <v>7</v>
      </c>
      <c r="E1974" s="3" t="s">
        <v>10</v>
      </c>
      <c r="F1974" s="4">
        <v>67</v>
      </c>
      <c r="G1974" s="4"/>
      <c r="H1974" s="4">
        <f t="shared" si="190"/>
        <v>67</v>
      </c>
    </row>
    <row r="1975" ht="14.25" spans="1:8">
      <c r="A1975" s="3" t="str">
        <f>"11301206608"</f>
        <v>11301206608</v>
      </c>
      <c r="B1975" s="3">
        <v>2</v>
      </c>
      <c r="C1975" s="3">
        <v>66</v>
      </c>
      <c r="D1975" s="3">
        <v>8</v>
      </c>
      <c r="E1975" s="3" t="s">
        <v>10</v>
      </c>
      <c r="F1975" s="4">
        <v>70.5</v>
      </c>
      <c r="G1975" s="4"/>
      <c r="H1975" s="4">
        <f t="shared" si="190"/>
        <v>70.5</v>
      </c>
    </row>
    <row r="1976" ht="14.25" spans="1:8">
      <c r="A1976" s="3" t="str">
        <f>"11301206609"</f>
        <v>11301206609</v>
      </c>
      <c r="B1976" s="3">
        <v>2</v>
      </c>
      <c r="C1976" s="3">
        <v>66</v>
      </c>
      <c r="D1976" s="3">
        <v>9</v>
      </c>
      <c r="E1976" s="3" t="s">
        <v>10</v>
      </c>
      <c r="F1976" s="4">
        <v>49.5</v>
      </c>
      <c r="G1976" s="4"/>
      <c r="H1976" s="4">
        <f t="shared" si="190"/>
        <v>49.5</v>
      </c>
    </row>
    <row r="1977" ht="14.25" spans="1:8">
      <c r="A1977" s="3" t="str">
        <f>"11301206610"</f>
        <v>11301206610</v>
      </c>
      <c r="B1977" s="3">
        <v>2</v>
      </c>
      <c r="C1977" s="3">
        <v>66</v>
      </c>
      <c r="D1977" s="3">
        <v>10</v>
      </c>
      <c r="E1977" s="3" t="s">
        <v>10</v>
      </c>
      <c r="F1977" s="4">
        <v>82.5</v>
      </c>
      <c r="G1977" s="4"/>
      <c r="H1977" s="4">
        <f t="shared" si="190"/>
        <v>82.5</v>
      </c>
    </row>
    <row r="1978" ht="14.25" spans="1:8">
      <c r="A1978" s="3" t="str">
        <f>"11301206611"</f>
        <v>11301206611</v>
      </c>
      <c r="B1978" s="3">
        <v>2</v>
      </c>
      <c r="C1978" s="3">
        <v>66</v>
      </c>
      <c r="D1978" s="3">
        <v>11</v>
      </c>
      <c r="E1978" s="3" t="s">
        <v>10</v>
      </c>
      <c r="F1978" s="4">
        <v>68.5</v>
      </c>
      <c r="G1978" s="4"/>
      <c r="H1978" s="4">
        <f t="shared" si="190"/>
        <v>68.5</v>
      </c>
    </row>
    <row r="1979" ht="14.25" spans="1:8">
      <c r="A1979" s="3" t="str">
        <f>"11301206612"</f>
        <v>11301206612</v>
      </c>
      <c r="B1979" s="3">
        <v>2</v>
      </c>
      <c r="C1979" s="3">
        <v>66</v>
      </c>
      <c r="D1979" s="3">
        <v>12</v>
      </c>
      <c r="E1979" s="3" t="s">
        <v>10</v>
      </c>
      <c r="F1979" s="3">
        <v>0</v>
      </c>
      <c r="G1979" s="4"/>
      <c r="H1979" s="3">
        <v>0</v>
      </c>
    </row>
    <row r="1980" ht="14.25" spans="1:8">
      <c r="A1980" s="3" t="str">
        <f>"11301206613"</f>
        <v>11301206613</v>
      </c>
      <c r="B1980" s="3">
        <v>2</v>
      </c>
      <c r="C1980" s="3">
        <v>66</v>
      </c>
      <c r="D1980" s="3">
        <v>13</v>
      </c>
      <c r="E1980" s="3" t="s">
        <v>10</v>
      </c>
      <c r="F1980" s="4">
        <v>87</v>
      </c>
      <c r="G1980" s="4"/>
      <c r="H1980" s="4">
        <f t="shared" ref="H1980:H1999" si="191">F1980+G1980</f>
        <v>87</v>
      </c>
    </row>
    <row r="1981" ht="14.25" spans="1:8">
      <c r="A1981" s="3" t="str">
        <f>"11301206614"</f>
        <v>11301206614</v>
      </c>
      <c r="B1981" s="3">
        <v>2</v>
      </c>
      <c r="C1981" s="3">
        <v>66</v>
      </c>
      <c r="D1981" s="3">
        <v>14</v>
      </c>
      <c r="E1981" s="3" t="s">
        <v>10</v>
      </c>
      <c r="F1981" s="4">
        <v>75.5</v>
      </c>
      <c r="G1981" s="4"/>
      <c r="H1981" s="4">
        <f t="shared" si="191"/>
        <v>75.5</v>
      </c>
    </row>
    <row r="1982" ht="14.25" spans="1:8">
      <c r="A1982" s="3" t="str">
        <f>"11301206615"</f>
        <v>11301206615</v>
      </c>
      <c r="B1982" s="3">
        <v>2</v>
      </c>
      <c r="C1982" s="3">
        <v>66</v>
      </c>
      <c r="D1982" s="3">
        <v>15</v>
      </c>
      <c r="E1982" s="3" t="s">
        <v>10</v>
      </c>
      <c r="F1982" s="4">
        <v>54.5</v>
      </c>
      <c r="G1982" s="4"/>
      <c r="H1982" s="4">
        <f t="shared" si="191"/>
        <v>54.5</v>
      </c>
    </row>
    <row r="1983" ht="14.25" spans="1:8">
      <c r="A1983" s="3" t="str">
        <f>"11301206616"</f>
        <v>11301206616</v>
      </c>
      <c r="B1983" s="3">
        <v>2</v>
      </c>
      <c r="C1983" s="3">
        <v>66</v>
      </c>
      <c r="D1983" s="3">
        <v>16</v>
      </c>
      <c r="E1983" s="3" t="s">
        <v>10</v>
      </c>
      <c r="F1983" s="4">
        <v>68.5</v>
      </c>
      <c r="G1983" s="4"/>
      <c r="H1983" s="4">
        <f t="shared" si="191"/>
        <v>68.5</v>
      </c>
    </row>
    <row r="1984" ht="14.25" spans="1:8">
      <c r="A1984" s="3" t="str">
        <f>"11301206617"</f>
        <v>11301206617</v>
      </c>
      <c r="B1984" s="3">
        <v>2</v>
      </c>
      <c r="C1984" s="3">
        <v>66</v>
      </c>
      <c r="D1984" s="3">
        <v>17</v>
      </c>
      <c r="E1984" s="3" t="s">
        <v>10</v>
      </c>
      <c r="F1984" s="4">
        <v>80</v>
      </c>
      <c r="G1984" s="4"/>
      <c r="H1984" s="4">
        <f t="shared" si="191"/>
        <v>80</v>
      </c>
    </row>
    <row r="1985" ht="14.25" spans="1:8">
      <c r="A1985" s="3" t="str">
        <f>"11301206618"</f>
        <v>11301206618</v>
      </c>
      <c r="B1985" s="3">
        <v>2</v>
      </c>
      <c r="C1985" s="3">
        <v>66</v>
      </c>
      <c r="D1985" s="3">
        <v>18</v>
      </c>
      <c r="E1985" s="3" t="s">
        <v>10</v>
      </c>
      <c r="F1985" s="4">
        <v>78</v>
      </c>
      <c r="G1985" s="4"/>
      <c r="H1985" s="4">
        <f t="shared" si="191"/>
        <v>78</v>
      </c>
    </row>
    <row r="1986" ht="14.25" spans="1:8">
      <c r="A1986" s="3" t="str">
        <f>"11301206619"</f>
        <v>11301206619</v>
      </c>
      <c r="B1986" s="3">
        <v>2</v>
      </c>
      <c r="C1986" s="3">
        <v>66</v>
      </c>
      <c r="D1986" s="3">
        <v>19</v>
      </c>
      <c r="E1986" s="3" t="s">
        <v>10</v>
      </c>
      <c r="F1986" s="4">
        <v>75.5</v>
      </c>
      <c r="G1986" s="4"/>
      <c r="H1986" s="4">
        <f t="shared" si="191"/>
        <v>75.5</v>
      </c>
    </row>
    <row r="1987" ht="14.25" spans="1:8">
      <c r="A1987" s="3" t="str">
        <f>"11301206620"</f>
        <v>11301206620</v>
      </c>
      <c r="B1987" s="3">
        <v>2</v>
      </c>
      <c r="C1987" s="3">
        <v>66</v>
      </c>
      <c r="D1987" s="3">
        <v>20</v>
      </c>
      <c r="E1987" s="3" t="s">
        <v>10</v>
      </c>
      <c r="F1987" s="4">
        <v>76</v>
      </c>
      <c r="G1987" s="4"/>
      <c r="H1987" s="4">
        <f t="shared" si="191"/>
        <v>76</v>
      </c>
    </row>
    <row r="1988" ht="14.25" spans="1:8">
      <c r="A1988" s="3" t="str">
        <f>"11301206621"</f>
        <v>11301206621</v>
      </c>
      <c r="B1988" s="3">
        <v>2</v>
      </c>
      <c r="C1988" s="3">
        <v>66</v>
      </c>
      <c r="D1988" s="3">
        <v>21</v>
      </c>
      <c r="E1988" s="3" t="s">
        <v>10</v>
      </c>
      <c r="F1988" s="4">
        <v>75.5</v>
      </c>
      <c r="G1988" s="4"/>
      <c r="H1988" s="4">
        <f t="shared" si="191"/>
        <v>75.5</v>
      </c>
    </row>
    <row r="1989" ht="14.25" spans="1:8">
      <c r="A1989" s="3" t="str">
        <f>"11301206622"</f>
        <v>11301206622</v>
      </c>
      <c r="B1989" s="3">
        <v>2</v>
      </c>
      <c r="C1989" s="3">
        <v>66</v>
      </c>
      <c r="D1989" s="3">
        <v>22</v>
      </c>
      <c r="E1989" s="3" t="s">
        <v>10</v>
      </c>
      <c r="F1989" s="4">
        <v>61</v>
      </c>
      <c r="G1989" s="4"/>
      <c r="H1989" s="4">
        <f t="shared" si="191"/>
        <v>61</v>
      </c>
    </row>
    <row r="1990" ht="14.25" spans="1:8">
      <c r="A1990" s="3" t="str">
        <f>"11301206623"</f>
        <v>11301206623</v>
      </c>
      <c r="B1990" s="3">
        <v>2</v>
      </c>
      <c r="C1990" s="3">
        <v>66</v>
      </c>
      <c r="D1990" s="3">
        <v>23</v>
      </c>
      <c r="E1990" s="3" t="s">
        <v>10</v>
      </c>
      <c r="F1990" s="4">
        <v>84.5</v>
      </c>
      <c r="G1990" s="4"/>
      <c r="H1990" s="4">
        <f t="shared" si="191"/>
        <v>84.5</v>
      </c>
    </row>
    <row r="1991" ht="14.25" spans="1:8">
      <c r="A1991" s="3" t="str">
        <f>"11301206624"</f>
        <v>11301206624</v>
      </c>
      <c r="B1991" s="3">
        <v>2</v>
      </c>
      <c r="C1991" s="3">
        <v>66</v>
      </c>
      <c r="D1991" s="3">
        <v>24</v>
      </c>
      <c r="E1991" s="3" t="s">
        <v>10</v>
      </c>
      <c r="F1991" s="4">
        <v>81</v>
      </c>
      <c r="G1991" s="4"/>
      <c r="H1991" s="4">
        <f t="shared" si="191"/>
        <v>81</v>
      </c>
    </row>
    <row r="1992" ht="14.25" spans="1:8">
      <c r="A1992" s="3" t="str">
        <f>"11301206625"</f>
        <v>11301206625</v>
      </c>
      <c r="B1992" s="3">
        <v>2</v>
      </c>
      <c r="C1992" s="3">
        <v>66</v>
      </c>
      <c r="D1992" s="3">
        <v>25</v>
      </c>
      <c r="E1992" s="3" t="s">
        <v>10</v>
      </c>
      <c r="F1992" s="4">
        <v>83.5</v>
      </c>
      <c r="G1992" s="4"/>
      <c r="H1992" s="4">
        <f t="shared" si="191"/>
        <v>83.5</v>
      </c>
    </row>
    <row r="1993" ht="14.25" spans="1:8">
      <c r="A1993" s="3" t="str">
        <f>"11301206626"</f>
        <v>11301206626</v>
      </c>
      <c r="B1993" s="3">
        <v>2</v>
      </c>
      <c r="C1993" s="3">
        <v>66</v>
      </c>
      <c r="D1993" s="3">
        <v>26</v>
      </c>
      <c r="E1993" s="3" t="s">
        <v>10</v>
      </c>
      <c r="F1993" s="4">
        <v>82</v>
      </c>
      <c r="G1993" s="4"/>
      <c r="H1993" s="4">
        <f t="shared" si="191"/>
        <v>82</v>
      </c>
    </row>
    <row r="1994" ht="14.25" spans="1:8">
      <c r="A1994" s="3" t="str">
        <f>"11301206627"</f>
        <v>11301206627</v>
      </c>
      <c r="B1994" s="3">
        <v>2</v>
      </c>
      <c r="C1994" s="3">
        <v>66</v>
      </c>
      <c r="D1994" s="3">
        <v>27</v>
      </c>
      <c r="E1994" s="3" t="s">
        <v>10</v>
      </c>
      <c r="F1994" s="4">
        <v>58</v>
      </c>
      <c r="G1994" s="4"/>
      <c r="H1994" s="4">
        <f t="shared" si="191"/>
        <v>58</v>
      </c>
    </row>
    <row r="1995" ht="14.25" spans="1:8">
      <c r="A1995" s="3" t="str">
        <f>"11301206628"</f>
        <v>11301206628</v>
      </c>
      <c r="B1995" s="3">
        <v>2</v>
      </c>
      <c r="C1995" s="3">
        <v>66</v>
      </c>
      <c r="D1995" s="3">
        <v>28</v>
      </c>
      <c r="E1995" s="3" t="s">
        <v>10</v>
      </c>
      <c r="F1995" s="4">
        <v>84.5</v>
      </c>
      <c r="G1995" s="4"/>
      <c r="H1995" s="4">
        <f t="shared" si="191"/>
        <v>84.5</v>
      </c>
    </row>
    <row r="1996" ht="14.25" spans="1:8">
      <c r="A1996" s="3" t="str">
        <f>"11301206629"</f>
        <v>11301206629</v>
      </c>
      <c r="B1996" s="3">
        <v>2</v>
      </c>
      <c r="C1996" s="3">
        <v>66</v>
      </c>
      <c r="D1996" s="3">
        <v>29</v>
      </c>
      <c r="E1996" s="3" t="s">
        <v>10</v>
      </c>
      <c r="F1996" s="4">
        <v>52.5</v>
      </c>
      <c r="G1996" s="4"/>
      <c r="H1996" s="4">
        <f t="shared" si="191"/>
        <v>52.5</v>
      </c>
    </row>
    <row r="1997" ht="14.25" spans="1:8">
      <c r="A1997" s="3" t="str">
        <f>"11301206630"</f>
        <v>11301206630</v>
      </c>
      <c r="B1997" s="3">
        <v>2</v>
      </c>
      <c r="C1997" s="3">
        <v>66</v>
      </c>
      <c r="D1997" s="3">
        <v>30</v>
      </c>
      <c r="E1997" s="3" t="s">
        <v>10</v>
      </c>
      <c r="F1997" s="4">
        <v>70.5</v>
      </c>
      <c r="G1997" s="4"/>
      <c r="H1997" s="4">
        <f t="shared" si="191"/>
        <v>70.5</v>
      </c>
    </row>
    <row r="1998" ht="14.25" spans="1:8">
      <c r="A1998" s="3" t="str">
        <f>"11301206701"</f>
        <v>11301206701</v>
      </c>
      <c r="B1998" s="3">
        <v>2</v>
      </c>
      <c r="C1998" s="3">
        <v>67</v>
      </c>
      <c r="D1998" s="3">
        <v>1</v>
      </c>
      <c r="E1998" s="3" t="s">
        <v>10</v>
      </c>
      <c r="F1998" s="4">
        <v>60</v>
      </c>
      <c r="G1998" s="4"/>
      <c r="H1998" s="4">
        <f t="shared" si="191"/>
        <v>60</v>
      </c>
    </row>
    <row r="1999" ht="14.25" spans="1:8">
      <c r="A1999" s="3" t="str">
        <f>"11301206702"</f>
        <v>11301206702</v>
      </c>
      <c r="B1999" s="3">
        <v>2</v>
      </c>
      <c r="C1999" s="3">
        <v>67</v>
      </c>
      <c r="D1999" s="3">
        <v>2</v>
      </c>
      <c r="E1999" s="3" t="s">
        <v>10</v>
      </c>
      <c r="F1999" s="4">
        <v>61</v>
      </c>
      <c r="G1999" s="4"/>
      <c r="H1999" s="4">
        <f t="shared" si="191"/>
        <v>61</v>
      </c>
    </row>
    <row r="2000" ht="14.25" spans="1:8">
      <c r="A2000" s="3" t="str">
        <f>"11301206703"</f>
        <v>11301206703</v>
      </c>
      <c r="B2000" s="3">
        <v>2</v>
      </c>
      <c r="C2000" s="3">
        <v>67</v>
      </c>
      <c r="D2000" s="3">
        <v>3</v>
      </c>
      <c r="E2000" s="3" t="s">
        <v>10</v>
      </c>
      <c r="F2000" s="3">
        <v>0</v>
      </c>
      <c r="G2000" s="4"/>
      <c r="H2000" s="3">
        <v>0</v>
      </c>
    </row>
    <row r="2001" ht="14.25" spans="1:8">
      <c r="A2001" s="3" t="str">
        <f>"11301206704"</f>
        <v>11301206704</v>
      </c>
      <c r="B2001" s="3">
        <v>2</v>
      </c>
      <c r="C2001" s="3">
        <v>67</v>
      </c>
      <c r="D2001" s="3">
        <v>4</v>
      </c>
      <c r="E2001" s="3" t="s">
        <v>10</v>
      </c>
      <c r="F2001" s="4">
        <v>70</v>
      </c>
      <c r="G2001" s="4"/>
      <c r="H2001" s="4">
        <f t="shared" ref="H2001:H2004" si="192">F2001+G2001</f>
        <v>70</v>
      </c>
    </row>
    <row r="2002" ht="14.25" spans="1:8">
      <c r="A2002" s="3" t="str">
        <f>"11301206705"</f>
        <v>11301206705</v>
      </c>
      <c r="B2002" s="3">
        <v>2</v>
      </c>
      <c r="C2002" s="3">
        <v>67</v>
      </c>
      <c r="D2002" s="3">
        <v>5</v>
      </c>
      <c r="E2002" s="3" t="s">
        <v>10</v>
      </c>
      <c r="F2002" s="4">
        <v>84</v>
      </c>
      <c r="G2002" s="4"/>
      <c r="H2002" s="4">
        <f t="shared" si="192"/>
        <v>84</v>
      </c>
    </row>
    <row r="2003" ht="14.25" spans="1:8">
      <c r="A2003" s="3" t="str">
        <f>"11301206706"</f>
        <v>11301206706</v>
      </c>
      <c r="B2003" s="3">
        <v>2</v>
      </c>
      <c r="C2003" s="3">
        <v>67</v>
      </c>
      <c r="D2003" s="3">
        <v>6</v>
      </c>
      <c r="E2003" s="3" t="s">
        <v>10</v>
      </c>
      <c r="F2003" s="4">
        <v>81</v>
      </c>
      <c r="G2003" s="4"/>
      <c r="H2003" s="4">
        <f t="shared" si="192"/>
        <v>81</v>
      </c>
    </row>
    <row r="2004" ht="14.25" spans="1:8">
      <c r="A2004" s="3" t="str">
        <f>"11301206707"</f>
        <v>11301206707</v>
      </c>
      <c r="B2004" s="3">
        <v>2</v>
      </c>
      <c r="C2004" s="3">
        <v>67</v>
      </c>
      <c r="D2004" s="3">
        <v>7</v>
      </c>
      <c r="E2004" s="3" t="s">
        <v>10</v>
      </c>
      <c r="F2004" s="4">
        <v>60</v>
      </c>
      <c r="G2004" s="4"/>
      <c r="H2004" s="4">
        <f t="shared" si="192"/>
        <v>60</v>
      </c>
    </row>
    <row r="2005" ht="14.25" spans="1:8">
      <c r="A2005" s="3" t="str">
        <f>"11301206708"</f>
        <v>11301206708</v>
      </c>
      <c r="B2005" s="3">
        <v>2</v>
      </c>
      <c r="C2005" s="3">
        <v>67</v>
      </c>
      <c r="D2005" s="3">
        <v>8</v>
      </c>
      <c r="E2005" s="3" t="s">
        <v>10</v>
      </c>
      <c r="F2005" s="3">
        <v>0</v>
      </c>
      <c r="G2005" s="4"/>
      <c r="H2005" s="3">
        <v>0</v>
      </c>
    </row>
    <row r="2006" ht="14.25" spans="1:8">
      <c r="A2006" s="3" t="str">
        <f>"11301206709"</f>
        <v>11301206709</v>
      </c>
      <c r="B2006" s="3">
        <v>2</v>
      </c>
      <c r="C2006" s="3">
        <v>67</v>
      </c>
      <c r="D2006" s="3">
        <v>9</v>
      </c>
      <c r="E2006" s="3" t="s">
        <v>10</v>
      </c>
      <c r="F2006" s="4">
        <v>78.5</v>
      </c>
      <c r="G2006" s="4"/>
      <c r="H2006" s="4">
        <f t="shared" ref="H2006:H2010" si="193">F2006+G2006</f>
        <v>78.5</v>
      </c>
    </row>
    <row r="2007" ht="14.25" spans="1:8">
      <c r="A2007" s="3" t="str">
        <f>"11301206710"</f>
        <v>11301206710</v>
      </c>
      <c r="B2007" s="3">
        <v>2</v>
      </c>
      <c r="C2007" s="3">
        <v>67</v>
      </c>
      <c r="D2007" s="3">
        <v>10</v>
      </c>
      <c r="E2007" s="3" t="s">
        <v>10</v>
      </c>
      <c r="F2007" s="4">
        <v>76</v>
      </c>
      <c r="G2007" s="4"/>
      <c r="H2007" s="4">
        <f t="shared" si="193"/>
        <v>76</v>
      </c>
    </row>
    <row r="2008" ht="14.25" spans="1:8">
      <c r="A2008" s="3" t="str">
        <f>"11301206711"</f>
        <v>11301206711</v>
      </c>
      <c r="B2008" s="3">
        <v>2</v>
      </c>
      <c r="C2008" s="3">
        <v>67</v>
      </c>
      <c r="D2008" s="3">
        <v>11</v>
      </c>
      <c r="E2008" s="3" t="s">
        <v>10</v>
      </c>
      <c r="F2008" s="4">
        <v>70</v>
      </c>
      <c r="G2008" s="4"/>
      <c r="H2008" s="4">
        <f t="shared" si="193"/>
        <v>70</v>
      </c>
    </row>
    <row r="2009" ht="14.25" spans="1:8">
      <c r="A2009" s="3" t="str">
        <f>"11301206712"</f>
        <v>11301206712</v>
      </c>
      <c r="B2009" s="3">
        <v>2</v>
      </c>
      <c r="C2009" s="3">
        <v>67</v>
      </c>
      <c r="D2009" s="3">
        <v>12</v>
      </c>
      <c r="E2009" s="3" t="s">
        <v>10</v>
      </c>
      <c r="F2009" s="4">
        <v>76.5</v>
      </c>
      <c r="G2009" s="4"/>
      <c r="H2009" s="4">
        <f t="shared" si="193"/>
        <v>76.5</v>
      </c>
    </row>
    <row r="2010" ht="14.25" spans="1:8">
      <c r="A2010" s="3" t="str">
        <f>"11301206713"</f>
        <v>11301206713</v>
      </c>
      <c r="B2010" s="3">
        <v>2</v>
      </c>
      <c r="C2010" s="3">
        <v>67</v>
      </c>
      <c r="D2010" s="3">
        <v>13</v>
      </c>
      <c r="E2010" s="3" t="s">
        <v>10</v>
      </c>
      <c r="F2010" s="4">
        <v>58.5</v>
      </c>
      <c r="G2010" s="4"/>
      <c r="H2010" s="4">
        <f t="shared" si="193"/>
        <v>58.5</v>
      </c>
    </row>
    <row r="2011" ht="14.25" spans="1:8">
      <c r="A2011" s="3" t="str">
        <f>"11301206714"</f>
        <v>11301206714</v>
      </c>
      <c r="B2011" s="3">
        <v>2</v>
      </c>
      <c r="C2011" s="3">
        <v>67</v>
      </c>
      <c r="D2011" s="3">
        <v>14</v>
      </c>
      <c r="E2011" s="3" t="s">
        <v>10</v>
      </c>
      <c r="F2011" s="3">
        <v>0</v>
      </c>
      <c r="G2011" s="4"/>
      <c r="H2011" s="3">
        <v>0</v>
      </c>
    </row>
    <row r="2012" ht="14.25" spans="1:8">
      <c r="A2012" s="3" t="str">
        <f>"11301206715"</f>
        <v>11301206715</v>
      </c>
      <c r="B2012" s="3">
        <v>2</v>
      </c>
      <c r="C2012" s="3">
        <v>67</v>
      </c>
      <c r="D2012" s="3">
        <v>15</v>
      </c>
      <c r="E2012" s="3" t="s">
        <v>10</v>
      </c>
      <c r="F2012" s="4">
        <v>76</v>
      </c>
      <c r="G2012" s="4"/>
      <c r="H2012" s="4">
        <f t="shared" ref="H2012:H2018" si="194">F2012+G2012</f>
        <v>76</v>
      </c>
    </row>
    <row r="2013" ht="14.25" spans="1:8">
      <c r="A2013" s="3" t="str">
        <f>"11301206716"</f>
        <v>11301206716</v>
      </c>
      <c r="B2013" s="3">
        <v>2</v>
      </c>
      <c r="C2013" s="3">
        <v>67</v>
      </c>
      <c r="D2013" s="3">
        <v>16</v>
      </c>
      <c r="E2013" s="3" t="s">
        <v>10</v>
      </c>
      <c r="F2013" s="4">
        <v>89.5</v>
      </c>
      <c r="G2013" s="4"/>
      <c r="H2013" s="4">
        <f t="shared" si="194"/>
        <v>89.5</v>
      </c>
    </row>
    <row r="2014" ht="14.25" spans="1:8">
      <c r="A2014" s="3" t="str">
        <f>"11301206717"</f>
        <v>11301206717</v>
      </c>
      <c r="B2014" s="3">
        <v>2</v>
      </c>
      <c r="C2014" s="3">
        <v>67</v>
      </c>
      <c r="D2014" s="3">
        <v>17</v>
      </c>
      <c r="E2014" s="3" t="s">
        <v>10</v>
      </c>
      <c r="F2014" s="4">
        <v>57.5</v>
      </c>
      <c r="G2014" s="4"/>
      <c r="H2014" s="4">
        <f t="shared" si="194"/>
        <v>57.5</v>
      </c>
    </row>
    <row r="2015" ht="14.25" spans="1:8">
      <c r="A2015" s="3" t="str">
        <f>"11301206718"</f>
        <v>11301206718</v>
      </c>
      <c r="B2015" s="3">
        <v>2</v>
      </c>
      <c r="C2015" s="3">
        <v>67</v>
      </c>
      <c r="D2015" s="3">
        <v>18</v>
      </c>
      <c r="E2015" s="3" t="s">
        <v>10</v>
      </c>
      <c r="F2015" s="4">
        <v>82.5</v>
      </c>
      <c r="G2015" s="4"/>
      <c r="H2015" s="4">
        <f t="shared" si="194"/>
        <v>82.5</v>
      </c>
    </row>
    <row r="2016" ht="14.25" spans="1:8">
      <c r="A2016" s="3" t="str">
        <f>"11301206719"</f>
        <v>11301206719</v>
      </c>
      <c r="B2016" s="3">
        <v>2</v>
      </c>
      <c r="C2016" s="3">
        <v>67</v>
      </c>
      <c r="D2016" s="3">
        <v>19</v>
      </c>
      <c r="E2016" s="3" t="s">
        <v>10</v>
      </c>
      <c r="F2016" s="4">
        <v>44</v>
      </c>
      <c r="G2016" s="4"/>
      <c r="H2016" s="4">
        <f t="shared" si="194"/>
        <v>44</v>
      </c>
    </row>
    <row r="2017" ht="14.25" spans="1:8">
      <c r="A2017" s="3" t="str">
        <f>"11301206720"</f>
        <v>11301206720</v>
      </c>
      <c r="B2017" s="3">
        <v>2</v>
      </c>
      <c r="C2017" s="3">
        <v>67</v>
      </c>
      <c r="D2017" s="3">
        <v>20</v>
      </c>
      <c r="E2017" s="3" t="s">
        <v>10</v>
      </c>
      <c r="F2017" s="4">
        <v>51</v>
      </c>
      <c r="G2017" s="4"/>
      <c r="H2017" s="4">
        <f t="shared" si="194"/>
        <v>51</v>
      </c>
    </row>
    <row r="2018" ht="14.25" spans="1:8">
      <c r="A2018" s="3" t="str">
        <f>"11301206721"</f>
        <v>11301206721</v>
      </c>
      <c r="B2018" s="3">
        <v>2</v>
      </c>
      <c r="C2018" s="3">
        <v>67</v>
      </c>
      <c r="D2018" s="3">
        <v>21</v>
      </c>
      <c r="E2018" s="3" t="s">
        <v>10</v>
      </c>
      <c r="F2018" s="4">
        <v>82.5</v>
      </c>
      <c r="G2018" s="4"/>
      <c r="H2018" s="4">
        <f t="shared" si="194"/>
        <v>82.5</v>
      </c>
    </row>
    <row r="2019" ht="14.25" spans="1:8">
      <c r="A2019" s="3" t="str">
        <f>"11301206722"</f>
        <v>11301206722</v>
      </c>
      <c r="B2019" s="3">
        <v>2</v>
      </c>
      <c r="C2019" s="3">
        <v>67</v>
      </c>
      <c r="D2019" s="3">
        <v>22</v>
      </c>
      <c r="E2019" s="3" t="s">
        <v>10</v>
      </c>
      <c r="F2019" s="3">
        <v>0</v>
      </c>
      <c r="G2019" s="4"/>
      <c r="H2019" s="3">
        <v>0</v>
      </c>
    </row>
    <row r="2020" ht="14.25" spans="1:8">
      <c r="A2020" s="3" t="str">
        <f>"11301206723"</f>
        <v>11301206723</v>
      </c>
      <c r="B2020" s="3">
        <v>2</v>
      </c>
      <c r="C2020" s="3">
        <v>67</v>
      </c>
      <c r="D2020" s="3">
        <v>23</v>
      </c>
      <c r="E2020" s="3" t="s">
        <v>10</v>
      </c>
      <c r="F2020" s="4">
        <v>57</v>
      </c>
      <c r="G2020" s="4"/>
      <c r="H2020" s="4">
        <f t="shared" ref="H2020:H2028" si="195">F2020+G2020</f>
        <v>57</v>
      </c>
    </row>
    <row r="2021" ht="14.25" spans="1:8">
      <c r="A2021" s="3" t="str">
        <f>"11301206724"</f>
        <v>11301206724</v>
      </c>
      <c r="B2021" s="3">
        <v>2</v>
      </c>
      <c r="C2021" s="3">
        <v>67</v>
      </c>
      <c r="D2021" s="3">
        <v>24</v>
      </c>
      <c r="E2021" s="3" t="s">
        <v>10</v>
      </c>
      <c r="F2021" s="4">
        <v>64.5</v>
      </c>
      <c r="G2021" s="4"/>
      <c r="H2021" s="4">
        <f t="shared" si="195"/>
        <v>64.5</v>
      </c>
    </row>
    <row r="2022" ht="14.25" spans="1:8">
      <c r="A2022" s="3" t="str">
        <f>"11301206725"</f>
        <v>11301206725</v>
      </c>
      <c r="B2022" s="3">
        <v>2</v>
      </c>
      <c r="C2022" s="3">
        <v>67</v>
      </c>
      <c r="D2022" s="3">
        <v>25</v>
      </c>
      <c r="E2022" s="3" t="s">
        <v>10</v>
      </c>
      <c r="F2022" s="4">
        <v>82.5</v>
      </c>
      <c r="G2022" s="4"/>
      <c r="H2022" s="4">
        <f t="shared" si="195"/>
        <v>82.5</v>
      </c>
    </row>
    <row r="2023" ht="14.25" spans="1:8">
      <c r="A2023" s="3" t="str">
        <f>"11301206726"</f>
        <v>11301206726</v>
      </c>
      <c r="B2023" s="3">
        <v>2</v>
      </c>
      <c r="C2023" s="3">
        <v>67</v>
      </c>
      <c r="D2023" s="3">
        <v>26</v>
      </c>
      <c r="E2023" s="3" t="s">
        <v>10</v>
      </c>
      <c r="F2023" s="4">
        <v>64</v>
      </c>
      <c r="G2023" s="4"/>
      <c r="H2023" s="4">
        <f t="shared" si="195"/>
        <v>64</v>
      </c>
    </row>
    <row r="2024" ht="14.25" spans="1:8">
      <c r="A2024" s="3" t="str">
        <f>"11301206727"</f>
        <v>11301206727</v>
      </c>
      <c r="B2024" s="3">
        <v>2</v>
      </c>
      <c r="C2024" s="3">
        <v>67</v>
      </c>
      <c r="D2024" s="3">
        <v>27</v>
      </c>
      <c r="E2024" s="3" t="s">
        <v>10</v>
      </c>
      <c r="F2024" s="4">
        <v>63</v>
      </c>
      <c r="G2024" s="4"/>
      <c r="H2024" s="4">
        <f t="shared" si="195"/>
        <v>63</v>
      </c>
    </row>
    <row r="2025" ht="14.25" spans="1:8">
      <c r="A2025" s="3" t="str">
        <f>"11301206728"</f>
        <v>11301206728</v>
      </c>
      <c r="B2025" s="3">
        <v>2</v>
      </c>
      <c r="C2025" s="3">
        <v>67</v>
      </c>
      <c r="D2025" s="3">
        <v>28</v>
      </c>
      <c r="E2025" s="3" t="s">
        <v>10</v>
      </c>
      <c r="F2025" s="4">
        <v>75</v>
      </c>
      <c r="G2025" s="4"/>
      <c r="H2025" s="4">
        <f t="shared" si="195"/>
        <v>75</v>
      </c>
    </row>
    <row r="2026" ht="14.25" spans="1:8">
      <c r="A2026" s="3" t="str">
        <f>"11301206729"</f>
        <v>11301206729</v>
      </c>
      <c r="B2026" s="3">
        <v>2</v>
      </c>
      <c r="C2026" s="3">
        <v>67</v>
      </c>
      <c r="D2026" s="3">
        <v>29</v>
      </c>
      <c r="E2026" s="3" t="s">
        <v>10</v>
      </c>
      <c r="F2026" s="4">
        <v>57.5</v>
      </c>
      <c r="G2026" s="4"/>
      <c r="H2026" s="4">
        <f t="shared" si="195"/>
        <v>57.5</v>
      </c>
    </row>
    <row r="2027" ht="14.25" spans="1:8">
      <c r="A2027" s="3" t="str">
        <f>"11301206730"</f>
        <v>11301206730</v>
      </c>
      <c r="B2027" s="3">
        <v>2</v>
      </c>
      <c r="C2027" s="3">
        <v>67</v>
      </c>
      <c r="D2027" s="3">
        <v>30</v>
      </c>
      <c r="E2027" s="3" t="s">
        <v>10</v>
      </c>
      <c r="F2027" s="4">
        <v>75.5</v>
      </c>
      <c r="G2027" s="4"/>
      <c r="H2027" s="4">
        <f t="shared" si="195"/>
        <v>75.5</v>
      </c>
    </row>
    <row r="2028" ht="14.25" spans="1:8">
      <c r="A2028" s="3" t="str">
        <f>"11301206801"</f>
        <v>11301206801</v>
      </c>
      <c r="B2028" s="3">
        <v>2</v>
      </c>
      <c r="C2028" s="3">
        <v>68</v>
      </c>
      <c r="D2028" s="3">
        <v>1</v>
      </c>
      <c r="E2028" s="3" t="s">
        <v>10</v>
      </c>
      <c r="F2028" s="4">
        <v>58.5</v>
      </c>
      <c r="G2028" s="4"/>
      <c r="H2028" s="4">
        <f t="shared" si="195"/>
        <v>58.5</v>
      </c>
    </row>
    <row r="2029" ht="14.25" spans="1:8">
      <c r="A2029" s="3" t="str">
        <f>"11301206802"</f>
        <v>11301206802</v>
      </c>
      <c r="B2029" s="3">
        <v>2</v>
      </c>
      <c r="C2029" s="3">
        <v>68</v>
      </c>
      <c r="D2029" s="3">
        <v>2</v>
      </c>
      <c r="E2029" s="3" t="s">
        <v>10</v>
      </c>
      <c r="F2029" s="3">
        <v>0</v>
      </c>
      <c r="G2029" s="4"/>
      <c r="H2029" s="3">
        <v>0</v>
      </c>
    </row>
    <row r="2030" ht="14.25" spans="1:8">
      <c r="A2030" s="3" t="str">
        <f>"11301206803"</f>
        <v>11301206803</v>
      </c>
      <c r="B2030" s="3">
        <v>2</v>
      </c>
      <c r="C2030" s="3">
        <v>68</v>
      </c>
      <c r="D2030" s="3">
        <v>3</v>
      </c>
      <c r="E2030" s="3" t="s">
        <v>10</v>
      </c>
      <c r="F2030" s="4">
        <v>65</v>
      </c>
      <c r="G2030" s="4"/>
      <c r="H2030" s="4">
        <f t="shared" ref="H2030:H2041" si="196">F2030+G2030</f>
        <v>65</v>
      </c>
    </row>
    <row r="2031" ht="14.25" spans="1:8">
      <c r="A2031" s="3" t="str">
        <f>"11301206804"</f>
        <v>11301206804</v>
      </c>
      <c r="B2031" s="3">
        <v>2</v>
      </c>
      <c r="C2031" s="3">
        <v>68</v>
      </c>
      <c r="D2031" s="3">
        <v>4</v>
      </c>
      <c r="E2031" s="3" t="s">
        <v>10</v>
      </c>
      <c r="F2031" s="4">
        <v>85</v>
      </c>
      <c r="G2031" s="4"/>
      <c r="H2031" s="4">
        <f t="shared" si="196"/>
        <v>85</v>
      </c>
    </row>
    <row r="2032" ht="14.25" spans="1:8">
      <c r="A2032" s="3" t="str">
        <f>"11301206805"</f>
        <v>11301206805</v>
      </c>
      <c r="B2032" s="3">
        <v>2</v>
      </c>
      <c r="C2032" s="3">
        <v>68</v>
      </c>
      <c r="D2032" s="3">
        <v>5</v>
      </c>
      <c r="E2032" s="3" t="s">
        <v>10</v>
      </c>
      <c r="F2032" s="4">
        <v>47</v>
      </c>
      <c r="G2032" s="4"/>
      <c r="H2032" s="4">
        <f t="shared" si="196"/>
        <v>47</v>
      </c>
    </row>
    <row r="2033" ht="14.25" spans="1:8">
      <c r="A2033" s="3" t="str">
        <f>"11301206806"</f>
        <v>11301206806</v>
      </c>
      <c r="B2033" s="3">
        <v>2</v>
      </c>
      <c r="C2033" s="3">
        <v>68</v>
      </c>
      <c r="D2033" s="3">
        <v>6</v>
      </c>
      <c r="E2033" s="3" t="s">
        <v>10</v>
      </c>
      <c r="F2033" s="4">
        <v>79</v>
      </c>
      <c r="G2033" s="4"/>
      <c r="H2033" s="4">
        <f t="shared" si="196"/>
        <v>79</v>
      </c>
    </row>
    <row r="2034" ht="14.25" spans="1:8">
      <c r="A2034" s="3" t="str">
        <f>"11301206807"</f>
        <v>11301206807</v>
      </c>
      <c r="B2034" s="3">
        <v>2</v>
      </c>
      <c r="C2034" s="3">
        <v>68</v>
      </c>
      <c r="D2034" s="3">
        <v>7</v>
      </c>
      <c r="E2034" s="3" t="s">
        <v>10</v>
      </c>
      <c r="F2034" s="4">
        <v>84.5</v>
      </c>
      <c r="G2034" s="4"/>
      <c r="H2034" s="4">
        <f t="shared" si="196"/>
        <v>84.5</v>
      </c>
    </row>
    <row r="2035" ht="14.25" spans="1:8">
      <c r="A2035" s="3" t="str">
        <f>"11301206808"</f>
        <v>11301206808</v>
      </c>
      <c r="B2035" s="3">
        <v>2</v>
      </c>
      <c r="C2035" s="3">
        <v>68</v>
      </c>
      <c r="D2035" s="3">
        <v>8</v>
      </c>
      <c r="E2035" s="3" t="s">
        <v>10</v>
      </c>
      <c r="F2035" s="4">
        <v>55.5</v>
      </c>
      <c r="G2035" s="4"/>
      <c r="H2035" s="4">
        <f t="shared" si="196"/>
        <v>55.5</v>
      </c>
    </row>
    <row r="2036" ht="14.25" spans="1:8">
      <c r="A2036" s="3" t="str">
        <f>"11301206809"</f>
        <v>11301206809</v>
      </c>
      <c r="B2036" s="3">
        <v>2</v>
      </c>
      <c r="C2036" s="3">
        <v>68</v>
      </c>
      <c r="D2036" s="3">
        <v>9</v>
      </c>
      <c r="E2036" s="3" t="s">
        <v>10</v>
      </c>
      <c r="F2036" s="4">
        <v>62.5</v>
      </c>
      <c r="G2036" s="4"/>
      <c r="H2036" s="4">
        <f t="shared" si="196"/>
        <v>62.5</v>
      </c>
    </row>
    <row r="2037" ht="14.25" spans="1:8">
      <c r="A2037" s="3" t="str">
        <f>"11301206810"</f>
        <v>11301206810</v>
      </c>
      <c r="B2037" s="3">
        <v>2</v>
      </c>
      <c r="C2037" s="3">
        <v>68</v>
      </c>
      <c r="D2037" s="3">
        <v>10</v>
      </c>
      <c r="E2037" s="3" t="s">
        <v>10</v>
      </c>
      <c r="F2037" s="4">
        <v>88</v>
      </c>
      <c r="G2037" s="4"/>
      <c r="H2037" s="4">
        <f t="shared" si="196"/>
        <v>88</v>
      </c>
    </row>
    <row r="2038" ht="14.25" spans="1:8">
      <c r="A2038" s="3" t="str">
        <f>"11301206811"</f>
        <v>11301206811</v>
      </c>
      <c r="B2038" s="3">
        <v>2</v>
      </c>
      <c r="C2038" s="3">
        <v>68</v>
      </c>
      <c r="D2038" s="3">
        <v>11</v>
      </c>
      <c r="E2038" s="3" t="s">
        <v>10</v>
      </c>
      <c r="F2038" s="4">
        <v>68.5</v>
      </c>
      <c r="G2038" s="4"/>
      <c r="H2038" s="4">
        <f t="shared" si="196"/>
        <v>68.5</v>
      </c>
    </row>
    <row r="2039" ht="14.25" spans="1:8">
      <c r="A2039" s="3" t="str">
        <f>"11301206812"</f>
        <v>11301206812</v>
      </c>
      <c r="B2039" s="3">
        <v>2</v>
      </c>
      <c r="C2039" s="3">
        <v>68</v>
      </c>
      <c r="D2039" s="3">
        <v>12</v>
      </c>
      <c r="E2039" s="3" t="s">
        <v>10</v>
      </c>
      <c r="F2039" s="4">
        <v>67.5</v>
      </c>
      <c r="G2039" s="4"/>
      <c r="H2039" s="4">
        <f t="shared" si="196"/>
        <v>67.5</v>
      </c>
    </row>
    <row r="2040" ht="14.25" spans="1:8">
      <c r="A2040" s="3" t="str">
        <f>"11301206813"</f>
        <v>11301206813</v>
      </c>
      <c r="B2040" s="3">
        <v>2</v>
      </c>
      <c r="C2040" s="3">
        <v>68</v>
      </c>
      <c r="D2040" s="3">
        <v>13</v>
      </c>
      <c r="E2040" s="3" t="s">
        <v>10</v>
      </c>
      <c r="F2040" s="4">
        <v>80.5</v>
      </c>
      <c r="G2040" s="4"/>
      <c r="H2040" s="4">
        <f t="shared" si="196"/>
        <v>80.5</v>
      </c>
    </row>
    <row r="2041" ht="14.25" spans="1:8">
      <c r="A2041" s="3" t="str">
        <f>"11301206814"</f>
        <v>11301206814</v>
      </c>
      <c r="B2041" s="3">
        <v>2</v>
      </c>
      <c r="C2041" s="3">
        <v>68</v>
      </c>
      <c r="D2041" s="3">
        <v>14</v>
      </c>
      <c r="E2041" s="3" t="s">
        <v>10</v>
      </c>
      <c r="F2041" s="4">
        <v>82</v>
      </c>
      <c r="G2041" s="4"/>
      <c r="H2041" s="4">
        <f t="shared" si="196"/>
        <v>82</v>
      </c>
    </row>
    <row r="2042" ht="14.25" spans="1:8">
      <c r="A2042" s="3" t="str">
        <f>"11302206815"</f>
        <v>11302206815</v>
      </c>
      <c r="B2042" s="3">
        <v>2</v>
      </c>
      <c r="C2042" s="3">
        <v>68</v>
      </c>
      <c r="D2042" s="3">
        <v>15</v>
      </c>
      <c r="E2042" s="3" t="s">
        <v>10</v>
      </c>
      <c r="F2042" s="3">
        <v>0</v>
      </c>
      <c r="G2042" s="4"/>
      <c r="H2042" s="3">
        <v>0</v>
      </c>
    </row>
    <row r="2043" ht="14.25" spans="1:8">
      <c r="A2043" s="3" t="str">
        <f>"11302206816"</f>
        <v>11302206816</v>
      </c>
      <c r="B2043" s="3">
        <v>2</v>
      </c>
      <c r="C2043" s="3">
        <v>68</v>
      </c>
      <c r="D2043" s="3">
        <v>16</v>
      </c>
      <c r="E2043" s="3" t="s">
        <v>10</v>
      </c>
      <c r="F2043" s="4">
        <v>70</v>
      </c>
      <c r="G2043" s="4"/>
      <c r="H2043" s="4">
        <f>F2043+G2043</f>
        <v>70</v>
      </c>
    </row>
    <row r="2044" ht="14.25" spans="1:8">
      <c r="A2044" s="3" t="str">
        <f>"11302206817"</f>
        <v>11302206817</v>
      </c>
      <c r="B2044" s="3">
        <v>2</v>
      </c>
      <c r="C2044" s="3">
        <v>68</v>
      </c>
      <c r="D2044" s="3">
        <v>17</v>
      </c>
      <c r="E2044" s="3" t="s">
        <v>10</v>
      </c>
      <c r="F2044" s="3">
        <v>0</v>
      </c>
      <c r="G2044" s="4"/>
      <c r="H2044" s="3">
        <v>0</v>
      </c>
    </row>
    <row r="2045" ht="14.25" spans="1:8">
      <c r="A2045" s="3" t="str">
        <f>"11302206818"</f>
        <v>11302206818</v>
      </c>
      <c r="B2045" s="3">
        <v>2</v>
      </c>
      <c r="C2045" s="3">
        <v>68</v>
      </c>
      <c r="D2045" s="3">
        <v>18</v>
      </c>
      <c r="E2045" s="3" t="s">
        <v>10</v>
      </c>
      <c r="F2045" s="3">
        <v>0</v>
      </c>
      <c r="G2045" s="4"/>
      <c r="H2045" s="3">
        <v>0</v>
      </c>
    </row>
    <row r="2046" ht="14.25" spans="1:8">
      <c r="A2046" s="3" t="str">
        <f>"11302206819"</f>
        <v>11302206819</v>
      </c>
      <c r="B2046" s="3">
        <v>2</v>
      </c>
      <c r="C2046" s="3">
        <v>68</v>
      </c>
      <c r="D2046" s="3">
        <v>19</v>
      </c>
      <c r="E2046" s="3" t="s">
        <v>10</v>
      </c>
      <c r="F2046" s="3">
        <v>0</v>
      </c>
      <c r="G2046" s="4"/>
      <c r="H2046" s="3">
        <v>0</v>
      </c>
    </row>
    <row r="2047" ht="14.25" spans="1:8">
      <c r="A2047" s="3" t="str">
        <f>"11302206820"</f>
        <v>11302206820</v>
      </c>
      <c r="B2047" s="3">
        <v>2</v>
      </c>
      <c r="C2047" s="3">
        <v>68</v>
      </c>
      <c r="D2047" s="3">
        <v>20</v>
      </c>
      <c r="E2047" s="3" t="s">
        <v>10</v>
      </c>
      <c r="F2047" s="3">
        <v>0</v>
      </c>
      <c r="G2047" s="4"/>
      <c r="H2047" s="3">
        <v>0</v>
      </c>
    </row>
    <row r="2048" ht="14.25" spans="1:8">
      <c r="A2048" s="3" t="str">
        <f>"11302206821"</f>
        <v>11302206821</v>
      </c>
      <c r="B2048" s="3">
        <v>2</v>
      </c>
      <c r="C2048" s="3">
        <v>68</v>
      </c>
      <c r="D2048" s="3">
        <v>21</v>
      </c>
      <c r="E2048" s="3" t="s">
        <v>10</v>
      </c>
      <c r="F2048" s="4">
        <v>75.5</v>
      </c>
      <c r="G2048" s="4"/>
      <c r="H2048" s="4">
        <f t="shared" ref="H2048:H2052" si="197">F2048+G2048</f>
        <v>75.5</v>
      </c>
    </row>
    <row r="2049" ht="14.25" spans="1:8">
      <c r="A2049" s="3" t="str">
        <f>"11302206822"</f>
        <v>11302206822</v>
      </c>
      <c r="B2049" s="3">
        <v>2</v>
      </c>
      <c r="C2049" s="3">
        <v>68</v>
      </c>
      <c r="D2049" s="3">
        <v>22</v>
      </c>
      <c r="E2049" s="3" t="s">
        <v>10</v>
      </c>
      <c r="F2049" s="4">
        <v>62.5</v>
      </c>
      <c r="G2049" s="4"/>
      <c r="H2049" s="4">
        <f t="shared" si="197"/>
        <v>62.5</v>
      </c>
    </row>
    <row r="2050" ht="14.25" spans="1:8">
      <c r="A2050" s="3" t="str">
        <f>"11302206823"</f>
        <v>11302206823</v>
      </c>
      <c r="B2050" s="3">
        <v>2</v>
      </c>
      <c r="C2050" s="3">
        <v>68</v>
      </c>
      <c r="D2050" s="3">
        <v>23</v>
      </c>
      <c r="E2050" s="3" t="s">
        <v>10</v>
      </c>
      <c r="F2050" s="4">
        <v>79.5</v>
      </c>
      <c r="G2050" s="4"/>
      <c r="H2050" s="4">
        <f t="shared" si="197"/>
        <v>79.5</v>
      </c>
    </row>
    <row r="2051" ht="14.25" spans="1:8">
      <c r="A2051" s="3" t="str">
        <f>"11302206824"</f>
        <v>11302206824</v>
      </c>
      <c r="B2051" s="3">
        <v>2</v>
      </c>
      <c r="C2051" s="3">
        <v>68</v>
      </c>
      <c r="D2051" s="3">
        <v>24</v>
      </c>
      <c r="E2051" s="3" t="s">
        <v>10</v>
      </c>
      <c r="F2051" s="4">
        <v>76</v>
      </c>
      <c r="G2051" s="4"/>
      <c r="H2051" s="4">
        <f t="shared" si="197"/>
        <v>76</v>
      </c>
    </row>
    <row r="2052" ht="14.25" spans="1:8">
      <c r="A2052" s="3" t="str">
        <f>"11302206825"</f>
        <v>11302206825</v>
      </c>
      <c r="B2052" s="3">
        <v>2</v>
      </c>
      <c r="C2052" s="3">
        <v>68</v>
      </c>
      <c r="D2052" s="3">
        <v>25</v>
      </c>
      <c r="E2052" s="3" t="s">
        <v>10</v>
      </c>
      <c r="F2052" s="4">
        <v>79.5</v>
      </c>
      <c r="G2052" s="4"/>
      <c r="H2052" s="4">
        <f t="shared" si="197"/>
        <v>79.5</v>
      </c>
    </row>
    <row r="2053" ht="14.25" spans="1:8">
      <c r="A2053" s="3" t="str">
        <f>"11302206826"</f>
        <v>11302206826</v>
      </c>
      <c r="B2053" s="3">
        <v>2</v>
      </c>
      <c r="C2053" s="3">
        <v>68</v>
      </c>
      <c r="D2053" s="3">
        <v>26</v>
      </c>
      <c r="E2053" s="3" t="s">
        <v>10</v>
      </c>
      <c r="F2053" s="3">
        <v>0</v>
      </c>
      <c r="G2053" s="4"/>
      <c r="H2053" s="3">
        <v>0</v>
      </c>
    </row>
    <row r="2054" ht="14.25" spans="1:8">
      <c r="A2054" s="3" t="str">
        <f>"11302206827"</f>
        <v>11302206827</v>
      </c>
      <c r="B2054" s="3">
        <v>2</v>
      </c>
      <c r="C2054" s="3">
        <v>68</v>
      </c>
      <c r="D2054" s="3">
        <v>27</v>
      </c>
      <c r="E2054" s="3" t="s">
        <v>10</v>
      </c>
      <c r="F2054" s="4">
        <v>80</v>
      </c>
      <c r="G2054" s="4"/>
      <c r="H2054" s="4">
        <f t="shared" ref="H2054:H2059" si="198">F2054+G2054</f>
        <v>80</v>
      </c>
    </row>
    <row r="2055" ht="14.25" spans="1:8">
      <c r="A2055" s="3" t="str">
        <f>"11302206828"</f>
        <v>11302206828</v>
      </c>
      <c r="B2055" s="3">
        <v>2</v>
      </c>
      <c r="C2055" s="3">
        <v>68</v>
      </c>
      <c r="D2055" s="3">
        <v>28</v>
      </c>
      <c r="E2055" s="3" t="s">
        <v>10</v>
      </c>
      <c r="F2055" s="4">
        <v>75.5</v>
      </c>
      <c r="G2055" s="4"/>
      <c r="H2055" s="4">
        <f t="shared" si="198"/>
        <v>75.5</v>
      </c>
    </row>
    <row r="2056" ht="14.25" spans="1:8">
      <c r="A2056" s="3" t="str">
        <f>"11302206829"</f>
        <v>11302206829</v>
      </c>
      <c r="B2056" s="3">
        <v>2</v>
      </c>
      <c r="C2056" s="3">
        <v>68</v>
      </c>
      <c r="D2056" s="3">
        <v>29</v>
      </c>
      <c r="E2056" s="3" t="s">
        <v>10</v>
      </c>
      <c r="F2056" s="3">
        <v>0</v>
      </c>
      <c r="G2056" s="4"/>
      <c r="H2056" s="3">
        <v>0</v>
      </c>
    </row>
    <row r="2057" ht="14.25" spans="1:8">
      <c r="A2057" s="3" t="str">
        <f>"11302206830"</f>
        <v>11302206830</v>
      </c>
      <c r="B2057" s="3">
        <v>2</v>
      </c>
      <c r="C2057" s="3">
        <v>68</v>
      </c>
      <c r="D2057" s="3">
        <v>30</v>
      </c>
      <c r="E2057" s="3" t="s">
        <v>10</v>
      </c>
      <c r="F2057" s="4">
        <v>47</v>
      </c>
      <c r="G2057" s="4"/>
      <c r="H2057" s="4">
        <f t="shared" si="198"/>
        <v>47</v>
      </c>
    </row>
    <row r="2058" ht="14.25" spans="1:8">
      <c r="A2058" s="3" t="str">
        <f>"11302206901"</f>
        <v>11302206901</v>
      </c>
      <c r="B2058" s="3">
        <v>2</v>
      </c>
      <c r="C2058" s="3">
        <v>69</v>
      </c>
      <c r="D2058" s="3">
        <v>1</v>
      </c>
      <c r="E2058" s="3" t="s">
        <v>10</v>
      </c>
      <c r="F2058" s="4">
        <v>67.5</v>
      </c>
      <c r="G2058" s="4"/>
      <c r="H2058" s="4">
        <f t="shared" si="198"/>
        <v>67.5</v>
      </c>
    </row>
    <row r="2059" ht="14.25" spans="1:8">
      <c r="A2059" s="3" t="str">
        <f>"11302206902"</f>
        <v>11302206902</v>
      </c>
      <c r="B2059" s="3">
        <v>2</v>
      </c>
      <c r="C2059" s="3">
        <v>69</v>
      </c>
      <c r="D2059" s="3">
        <v>2</v>
      </c>
      <c r="E2059" s="3" t="s">
        <v>10</v>
      </c>
      <c r="F2059" s="4">
        <v>66</v>
      </c>
      <c r="G2059" s="4"/>
      <c r="H2059" s="4">
        <f t="shared" si="198"/>
        <v>66</v>
      </c>
    </row>
    <row r="2060" ht="14.25" spans="1:8">
      <c r="A2060" s="3" t="str">
        <f>"11302206903"</f>
        <v>11302206903</v>
      </c>
      <c r="B2060" s="3">
        <v>2</v>
      </c>
      <c r="C2060" s="3">
        <v>69</v>
      </c>
      <c r="D2060" s="3">
        <v>3</v>
      </c>
      <c r="E2060" s="3" t="s">
        <v>10</v>
      </c>
      <c r="F2060" s="3">
        <v>0</v>
      </c>
      <c r="G2060" s="4"/>
      <c r="H2060" s="3">
        <v>0</v>
      </c>
    </row>
    <row r="2061" ht="14.25" spans="1:8">
      <c r="A2061" s="3" t="str">
        <f>"11302206904"</f>
        <v>11302206904</v>
      </c>
      <c r="B2061" s="3">
        <v>2</v>
      </c>
      <c r="C2061" s="3">
        <v>69</v>
      </c>
      <c r="D2061" s="3">
        <v>4</v>
      </c>
      <c r="E2061" s="3" t="s">
        <v>10</v>
      </c>
      <c r="F2061" s="3">
        <v>0</v>
      </c>
      <c r="G2061" s="4"/>
      <c r="H2061" s="3">
        <v>0</v>
      </c>
    </row>
    <row r="2062" ht="14.25" spans="1:8">
      <c r="A2062" s="3" t="str">
        <f>"11302206905"</f>
        <v>11302206905</v>
      </c>
      <c r="B2062" s="3">
        <v>2</v>
      </c>
      <c r="C2062" s="3">
        <v>69</v>
      </c>
      <c r="D2062" s="3">
        <v>5</v>
      </c>
      <c r="E2062" s="3" t="s">
        <v>10</v>
      </c>
      <c r="F2062" s="4">
        <v>84.5</v>
      </c>
      <c r="G2062" s="4"/>
      <c r="H2062" s="4">
        <f t="shared" ref="H2062:H2064" si="199">F2062+G2062</f>
        <v>84.5</v>
      </c>
    </row>
    <row r="2063" ht="14.25" spans="1:8">
      <c r="A2063" s="3" t="str">
        <f>"11302206906"</f>
        <v>11302206906</v>
      </c>
      <c r="B2063" s="3">
        <v>2</v>
      </c>
      <c r="C2063" s="3">
        <v>69</v>
      </c>
      <c r="D2063" s="3">
        <v>6</v>
      </c>
      <c r="E2063" s="3" t="s">
        <v>10</v>
      </c>
      <c r="F2063" s="4">
        <v>48.5</v>
      </c>
      <c r="G2063" s="4"/>
      <c r="H2063" s="4">
        <f t="shared" si="199"/>
        <v>48.5</v>
      </c>
    </row>
    <row r="2064" ht="14.25" spans="1:8">
      <c r="A2064" s="3" t="str">
        <f>"11302206907"</f>
        <v>11302206907</v>
      </c>
      <c r="B2064" s="3">
        <v>2</v>
      </c>
      <c r="C2064" s="3">
        <v>69</v>
      </c>
      <c r="D2064" s="3">
        <v>7</v>
      </c>
      <c r="E2064" s="3" t="s">
        <v>10</v>
      </c>
      <c r="F2064" s="4">
        <v>69</v>
      </c>
      <c r="G2064" s="4"/>
      <c r="H2064" s="4">
        <f t="shared" si="199"/>
        <v>69</v>
      </c>
    </row>
    <row r="2065" ht="14.25" spans="1:8">
      <c r="A2065" s="3" t="str">
        <f>"11302206908"</f>
        <v>11302206908</v>
      </c>
      <c r="B2065" s="3">
        <v>2</v>
      </c>
      <c r="C2065" s="3">
        <v>69</v>
      </c>
      <c r="D2065" s="3">
        <v>8</v>
      </c>
      <c r="E2065" s="3" t="s">
        <v>10</v>
      </c>
      <c r="F2065" s="3">
        <v>0</v>
      </c>
      <c r="G2065" s="4"/>
      <c r="H2065" s="3">
        <v>0</v>
      </c>
    </row>
    <row r="2066" ht="14.25" spans="1:8">
      <c r="A2066" s="3" t="str">
        <f>"11302206909"</f>
        <v>11302206909</v>
      </c>
      <c r="B2066" s="3">
        <v>2</v>
      </c>
      <c r="C2066" s="3">
        <v>69</v>
      </c>
      <c r="D2066" s="3">
        <v>9</v>
      </c>
      <c r="E2066" s="3" t="s">
        <v>10</v>
      </c>
      <c r="F2066" s="3">
        <v>0</v>
      </c>
      <c r="G2066" s="4"/>
      <c r="H2066" s="3">
        <v>0</v>
      </c>
    </row>
    <row r="2067" ht="14.25" spans="1:8">
      <c r="A2067" s="3" t="str">
        <f>"11302206910"</f>
        <v>11302206910</v>
      </c>
      <c r="B2067" s="3">
        <v>2</v>
      </c>
      <c r="C2067" s="3">
        <v>69</v>
      </c>
      <c r="D2067" s="3">
        <v>10</v>
      </c>
      <c r="E2067" s="3" t="s">
        <v>10</v>
      </c>
      <c r="F2067" s="4">
        <v>79.5</v>
      </c>
      <c r="G2067" s="4"/>
      <c r="H2067" s="4">
        <f t="shared" ref="H2067:H2078" si="200">F2067+G2067</f>
        <v>79.5</v>
      </c>
    </row>
    <row r="2068" ht="14.25" spans="1:8">
      <c r="A2068" s="3" t="str">
        <f>"11302206911"</f>
        <v>11302206911</v>
      </c>
      <c r="B2068" s="3">
        <v>2</v>
      </c>
      <c r="C2068" s="3">
        <v>69</v>
      </c>
      <c r="D2068" s="3">
        <v>11</v>
      </c>
      <c r="E2068" s="3" t="s">
        <v>10</v>
      </c>
      <c r="F2068" s="4">
        <v>64</v>
      </c>
      <c r="G2068" s="4"/>
      <c r="H2068" s="4">
        <f t="shared" si="200"/>
        <v>64</v>
      </c>
    </row>
    <row r="2069" ht="14.25" spans="1:8">
      <c r="A2069" s="3" t="str">
        <f>"11302206912"</f>
        <v>11302206912</v>
      </c>
      <c r="B2069" s="3">
        <v>2</v>
      </c>
      <c r="C2069" s="3">
        <v>69</v>
      </c>
      <c r="D2069" s="3">
        <v>12</v>
      </c>
      <c r="E2069" s="3" t="s">
        <v>10</v>
      </c>
      <c r="F2069" s="4">
        <v>72.5</v>
      </c>
      <c r="G2069" s="4"/>
      <c r="H2069" s="4">
        <f t="shared" si="200"/>
        <v>72.5</v>
      </c>
    </row>
    <row r="2070" ht="14.25" spans="1:8">
      <c r="A2070" s="3" t="str">
        <f>"11302206913"</f>
        <v>11302206913</v>
      </c>
      <c r="B2070" s="3">
        <v>2</v>
      </c>
      <c r="C2070" s="3">
        <v>69</v>
      </c>
      <c r="D2070" s="3">
        <v>13</v>
      </c>
      <c r="E2070" s="3" t="s">
        <v>10</v>
      </c>
      <c r="F2070" s="4">
        <v>71</v>
      </c>
      <c r="G2070" s="4"/>
      <c r="H2070" s="4">
        <f t="shared" si="200"/>
        <v>71</v>
      </c>
    </row>
    <row r="2071" ht="14.25" spans="1:8">
      <c r="A2071" s="3" t="str">
        <f>"11302206914"</f>
        <v>11302206914</v>
      </c>
      <c r="B2071" s="3">
        <v>2</v>
      </c>
      <c r="C2071" s="3">
        <v>69</v>
      </c>
      <c r="D2071" s="3">
        <v>14</v>
      </c>
      <c r="E2071" s="3" t="s">
        <v>10</v>
      </c>
      <c r="F2071" s="4">
        <v>52.5</v>
      </c>
      <c r="G2071" s="4"/>
      <c r="H2071" s="4">
        <f t="shared" si="200"/>
        <v>52.5</v>
      </c>
    </row>
    <row r="2072" ht="14.25" spans="1:8">
      <c r="A2072" s="3" t="str">
        <f>"11302206915"</f>
        <v>11302206915</v>
      </c>
      <c r="B2072" s="3">
        <v>2</v>
      </c>
      <c r="C2072" s="3">
        <v>69</v>
      </c>
      <c r="D2072" s="3">
        <v>15</v>
      </c>
      <c r="E2072" s="3" t="s">
        <v>10</v>
      </c>
      <c r="F2072" s="4">
        <v>80.5</v>
      </c>
      <c r="G2072" s="4"/>
      <c r="H2072" s="4">
        <f t="shared" si="200"/>
        <v>80.5</v>
      </c>
    </row>
    <row r="2073" ht="14.25" spans="1:8">
      <c r="A2073" s="3" t="str">
        <f>"11302206916"</f>
        <v>11302206916</v>
      </c>
      <c r="B2073" s="3">
        <v>2</v>
      </c>
      <c r="C2073" s="3">
        <v>69</v>
      </c>
      <c r="D2073" s="3">
        <v>16</v>
      </c>
      <c r="E2073" s="3" t="s">
        <v>10</v>
      </c>
      <c r="F2073" s="4">
        <v>73.5</v>
      </c>
      <c r="G2073" s="4"/>
      <c r="H2073" s="4">
        <f t="shared" si="200"/>
        <v>73.5</v>
      </c>
    </row>
    <row r="2074" ht="14.25" spans="1:8">
      <c r="A2074" s="3" t="str">
        <f>"11302206917"</f>
        <v>11302206917</v>
      </c>
      <c r="B2074" s="3">
        <v>2</v>
      </c>
      <c r="C2074" s="3">
        <v>69</v>
      </c>
      <c r="D2074" s="3">
        <v>17</v>
      </c>
      <c r="E2074" s="3" t="s">
        <v>10</v>
      </c>
      <c r="F2074" s="4">
        <v>68.5</v>
      </c>
      <c r="G2074" s="4"/>
      <c r="H2074" s="4">
        <f t="shared" si="200"/>
        <v>68.5</v>
      </c>
    </row>
    <row r="2075" ht="14.25" spans="1:8">
      <c r="A2075" s="3" t="str">
        <f>"11302206918"</f>
        <v>11302206918</v>
      </c>
      <c r="B2075" s="3">
        <v>2</v>
      </c>
      <c r="C2075" s="3">
        <v>69</v>
      </c>
      <c r="D2075" s="3">
        <v>18</v>
      </c>
      <c r="E2075" s="3" t="s">
        <v>10</v>
      </c>
      <c r="F2075" s="4">
        <v>72</v>
      </c>
      <c r="G2075" s="4"/>
      <c r="H2075" s="4">
        <f t="shared" si="200"/>
        <v>72</v>
      </c>
    </row>
    <row r="2076" ht="14.25" spans="1:8">
      <c r="A2076" s="3" t="str">
        <f>"11302206919"</f>
        <v>11302206919</v>
      </c>
      <c r="B2076" s="3">
        <v>2</v>
      </c>
      <c r="C2076" s="3">
        <v>69</v>
      </c>
      <c r="D2076" s="3">
        <v>19</v>
      </c>
      <c r="E2076" s="3" t="s">
        <v>10</v>
      </c>
      <c r="F2076" s="4">
        <v>80</v>
      </c>
      <c r="G2076" s="4"/>
      <c r="H2076" s="4">
        <f t="shared" si="200"/>
        <v>80</v>
      </c>
    </row>
    <row r="2077" ht="14.25" spans="1:8">
      <c r="A2077" s="3" t="str">
        <f>"11302206920"</f>
        <v>11302206920</v>
      </c>
      <c r="B2077" s="3">
        <v>2</v>
      </c>
      <c r="C2077" s="3">
        <v>69</v>
      </c>
      <c r="D2077" s="3">
        <v>20</v>
      </c>
      <c r="E2077" s="3" t="s">
        <v>10</v>
      </c>
      <c r="F2077" s="4">
        <v>67.5</v>
      </c>
      <c r="G2077" s="4"/>
      <c r="H2077" s="4">
        <f t="shared" si="200"/>
        <v>67.5</v>
      </c>
    </row>
    <row r="2078" ht="14.25" spans="1:8">
      <c r="A2078" s="3" t="str">
        <f>"11302206921"</f>
        <v>11302206921</v>
      </c>
      <c r="B2078" s="3">
        <v>2</v>
      </c>
      <c r="C2078" s="3">
        <v>69</v>
      </c>
      <c r="D2078" s="3">
        <v>21</v>
      </c>
      <c r="E2078" s="3" t="s">
        <v>10</v>
      </c>
      <c r="F2078" s="4">
        <v>58</v>
      </c>
      <c r="G2078" s="4"/>
      <c r="H2078" s="4">
        <f t="shared" si="200"/>
        <v>58</v>
      </c>
    </row>
    <row r="2079" ht="14.25" spans="1:8">
      <c r="A2079" s="3" t="str">
        <f>"11302206922"</f>
        <v>11302206922</v>
      </c>
      <c r="B2079" s="3">
        <v>2</v>
      </c>
      <c r="C2079" s="3">
        <v>69</v>
      </c>
      <c r="D2079" s="3">
        <v>22</v>
      </c>
      <c r="E2079" s="3" t="s">
        <v>10</v>
      </c>
      <c r="F2079" s="3">
        <v>0</v>
      </c>
      <c r="G2079" s="4"/>
      <c r="H2079" s="3">
        <v>0</v>
      </c>
    </row>
    <row r="2080" ht="14.25" spans="1:8">
      <c r="A2080" s="3" t="str">
        <f>"11302206923"</f>
        <v>11302206923</v>
      </c>
      <c r="B2080" s="3">
        <v>2</v>
      </c>
      <c r="C2080" s="3">
        <v>69</v>
      </c>
      <c r="D2080" s="3">
        <v>23</v>
      </c>
      <c r="E2080" s="3" t="s">
        <v>10</v>
      </c>
      <c r="F2080" s="4">
        <v>79</v>
      </c>
      <c r="G2080" s="4"/>
      <c r="H2080" s="4">
        <f t="shared" ref="H2080:H2082" si="201">F2080+G2080</f>
        <v>79</v>
      </c>
    </row>
    <row r="2081" ht="14.25" spans="1:8">
      <c r="A2081" s="3" t="str">
        <f>"11302206924"</f>
        <v>11302206924</v>
      </c>
      <c r="B2081" s="3">
        <v>2</v>
      </c>
      <c r="C2081" s="3">
        <v>69</v>
      </c>
      <c r="D2081" s="3">
        <v>24</v>
      </c>
      <c r="E2081" s="3" t="s">
        <v>10</v>
      </c>
      <c r="F2081" s="4">
        <v>58.5</v>
      </c>
      <c r="G2081" s="4"/>
      <c r="H2081" s="4">
        <f t="shared" si="201"/>
        <v>58.5</v>
      </c>
    </row>
    <row r="2082" ht="14.25" spans="1:8">
      <c r="A2082" s="3" t="str">
        <f>"11302206925"</f>
        <v>11302206925</v>
      </c>
      <c r="B2082" s="3">
        <v>2</v>
      </c>
      <c r="C2082" s="3">
        <v>69</v>
      </c>
      <c r="D2082" s="3">
        <v>25</v>
      </c>
      <c r="E2082" s="3" t="s">
        <v>10</v>
      </c>
      <c r="F2082" s="4">
        <v>75</v>
      </c>
      <c r="G2082" s="4"/>
      <c r="H2082" s="4">
        <f t="shared" si="201"/>
        <v>75</v>
      </c>
    </row>
    <row r="2083" ht="14.25" spans="1:8">
      <c r="A2083" s="3" t="str">
        <f>"11302206926"</f>
        <v>11302206926</v>
      </c>
      <c r="B2083" s="3">
        <v>2</v>
      </c>
      <c r="C2083" s="3">
        <v>69</v>
      </c>
      <c r="D2083" s="3">
        <v>26</v>
      </c>
      <c r="E2083" s="3" t="s">
        <v>10</v>
      </c>
      <c r="F2083" s="3">
        <v>0</v>
      </c>
      <c r="G2083" s="4"/>
      <c r="H2083" s="3">
        <v>0</v>
      </c>
    </row>
    <row r="2084" ht="14.25" spans="1:8">
      <c r="A2084" s="3" t="str">
        <f>"11302206927"</f>
        <v>11302206927</v>
      </c>
      <c r="B2084" s="3">
        <v>2</v>
      </c>
      <c r="C2084" s="3">
        <v>69</v>
      </c>
      <c r="D2084" s="3">
        <v>27</v>
      </c>
      <c r="E2084" s="3" t="s">
        <v>10</v>
      </c>
      <c r="F2084" s="4">
        <v>75.5</v>
      </c>
      <c r="G2084" s="4"/>
      <c r="H2084" s="4">
        <f t="shared" ref="H2084:H2090" si="202">F2084+G2084</f>
        <v>75.5</v>
      </c>
    </row>
    <row r="2085" ht="14.25" spans="1:8">
      <c r="A2085" s="3" t="str">
        <f>"11302206928"</f>
        <v>11302206928</v>
      </c>
      <c r="B2085" s="3">
        <v>2</v>
      </c>
      <c r="C2085" s="3">
        <v>69</v>
      </c>
      <c r="D2085" s="3">
        <v>28</v>
      </c>
      <c r="E2085" s="3" t="s">
        <v>10</v>
      </c>
      <c r="F2085" s="3">
        <v>0</v>
      </c>
      <c r="G2085" s="4"/>
      <c r="H2085" s="3">
        <v>0</v>
      </c>
    </row>
    <row r="2086" ht="14.25" spans="1:8">
      <c r="A2086" s="3" t="str">
        <f>"11302206929"</f>
        <v>11302206929</v>
      </c>
      <c r="B2086" s="3">
        <v>2</v>
      </c>
      <c r="C2086" s="3">
        <v>69</v>
      </c>
      <c r="D2086" s="3">
        <v>29</v>
      </c>
      <c r="E2086" s="3" t="s">
        <v>10</v>
      </c>
      <c r="F2086" s="4">
        <v>66.5</v>
      </c>
      <c r="G2086" s="4"/>
      <c r="H2086" s="4">
        <f t="shared" si="202"/>
        <v>66.5</v>
      </c>
    </row>
    <row r="2087" ht="14.25" spans="1:8">
      <c r="A2087" s="3" t="str">
        <f>"11302206930"</f>
        <v>11302206930</v>
      </c>
      <c r="B2087" s="3">
        <v>2</v>
      </c>
      <c r="C2087" s="3">
        <v>69</v>
      </c>
      <c r="D2087" s="3">
        <v>30</v>
      </c>
      <c r="E2087" s="3" t="s">
        <v>10</v>
      </c>
      <c r="F2087" s="4">
        <v>59</v>
      </c>
      <c r="G2087" s="4"/>
      <c r="H2087" s="4">
        <f t="shared" si="202"/>
        <v>59</v>
      </c>
    </row>
    <row r="2088" ht="14.25" spans="1:8">
      <c r="A2088" s="3" t="str">
        <f>"11302207001"</f>
        <v>11302207001</v>
      </c>
      <c r="B2088" s="3">
        <v>2</v>
      </c>
      <c r="C2088" s="3">
        <v>70</v>
      </c>
      <c r="D2088" s="3">
        <v>1</v>
      </c>
      <c r="E2088" s="3" t="s">
        <v>10</v>
      </c>
      <c r="F2088" s="4">
        <v>61.5</v>
      </c>
      <c r="G2088" s="4"/>
      <c r="H2088" s="4">
        <f t="shared" si="202"/>
        <v>61.5</v>
      </c>
    </row>
    <row r="2089" ht="14.25" spans="1:8">
      <c r="A2089" s="3" t="str">
        <f>"11302207002"</f>
        <v>11302207002</v>
      </c>
      <c r="B2089" s="3">
        <v>2</v>
      </c>
      <c r="C2089" s="3">
        <v>70</v>
      </c>
      <c r="D2089" s="3">
        <v>2</v>
      </c>
      <c r="E2089" s="3" t="s">
        <v>10</v>
      </c>
      <c r="F2089" s="4">
        <v>78.5</v>
      </c>
      <c r="G2089" s="4"/>
      <c r="H2089" s="4">
        <f t="shared" si="202"/>
        <v>78.5</v>
      </c>
    </row>
    <row r="2090" ht="14.25" spans="1:8">
      <c r="A2090" s="3" t="str">
        <f>"11302207003"</f>
        <v>11302207003</v>
      </c>
      <c r="B2090" s="3">
        <v>2</v>
      </c>
      <c r="C2090" s="3">
        <v>70</v>
      </c>
      <c r="D2090" s="3">
        <v>3</v>
      </c>
      <c r="E2090" s="3" t="s">
        <v>10</v>
      </c>
      <c r="F2090" s="4">
        <v>65.5</v>
      </c>
      <c r="G2090" s="4"/>
      <c r="H2090" s="4">
        <f t="shared" si="202"/>
        <v>65.5</v>
      </c>
    </row>
    <row r="2091" ht="14.25" spans="1:8">
      <c r="A2091" s="3" t="str">
        <f>"11302207004"</f>
        <v>11302207004</v>
      </c>
      <c r="B2091" s="3">
        <v>2</v>
      </c>
      <c r="C2091" s="3">
        <v>70</v>
      </c>
      <c r="D2091" s="3">
        <v>4</v>
      </c>
      <c r="E2091" s="3" t="s">
        <v>10</v>
      </c>
      <c r="F2091" s="3">
        <v>0</v>
      </c>
      <c r="G2091" s="4"/>
      <c r="H2091" s="3">
        <v>0</v>
      </c>
    </row>
    <row r="2092" ht="14.25" spans="1:8">
      <c r="A2092" s="3" t="str">
        <f>"11302207005"</f>
        <v>11302207005</v>
      </c>
      <c r="B2092" s="3">
        <v>2</v>
      </c>
      <c r="C2092" s="3">
        <v>70</v>
      </c>
      <c r="D2092" s="3">
        <v>5</v>
      </c>
      <c r="E2092" s="3" t="s">
        <v>10</v>
      </c>
      <c r="F2092" s="4">
        <v>63.5</v>
      </c>
      <c r="G2092" s="4"/>
      <c r="H2092" s="4">
        <f t="shared" ref="H2092:H2105" si="203">F2092+G2092</f>
        <v>63.5</v>
      </c>
    </row>
    <row r="2093" ht="14.25" spans="1:8">
      <c r="A2093" s="3" t="str">
        <f>"11302207006"</f>
        <v>11302207006</v>
      </c>
      <c r="B2093" s="3">
        <v>2</v>
      </c>
      <c r="C2093" s="3">
        <v>70</v>
      </c>
      <c r="D2093" s="3">
        <v>6</v>
      </c>
      <c r="E2093" s="3" t="s">
        <v>10</v>
      </c>
      <c r="F2093" s="4">
        <v>76</v>
      </c>
      <c r="G2093" s="4"/>
      <c r="H2093" s="4">
        <f t="shared" si="203"/>
        <v>76</v>
      </c>
    </row>
    <row r="2094" ht="14.25" spans="1:8">
      <c r="A2094" s="3" t="str">
        <f>"11302207007"</f>
        <v>11302207007</v>
      </c>
      <c r="B2094" s="3">
        <v>2</v>
      </c>
      <c r="C2094" s="3">
        <v>70</v>
      </c>
      <c r="D2094" s="3">
        <v>7</v>
      </c>
      <c r="E2094" s="3" t="s">
        <v>10</v>
      </c>
      <c r="F2094" s="4">
        <v>75</v>
      </c>
      <c r="G2094" s="4"/>
      <c r="H2094" s="4">
        <f t="shared" si="203"/>
        <v>75</v>
      </c>
    </row>
    <row r="2095" ht="14.25" spans="1:8">
      <c r="A2095" s="3" t="str">
        <f>"11302207008"</f>
        <v>11302207008</v>
      </c>
      <c r="B2095" s="3">
        <v>2</v>
      </c>
      <c r="C2095" s="3">
        <v>70</v>
      </c>
      <c r="D2095" s="3">
        <v>8</v>
      </c>
      <c r="E2095" s="3" t="s">
        <v>10</v>
      </c>
      <c r="F2095" s="4">
        <v>82.5</v>
      </c>
      <c r="G2095" s="4"/>
      <c r="H2095" s="4">
        <f t="shared" si="203"/>
        <v>82.5</v>
      </c>
    </row>
    <row r="2096" ht="14.25" spans="1:8">
      <c r="A2096" s="3" t="str">
        <f>"11302207009"</f>
        <v>11302207009</v>
      </c>
      <c r="B2096" s="3">
        <v>2</v>
      </c>
      <c r="C2096" s="3">
        <v>70</v>
      </c>
      <c r="D2096" s="3">
        <v>9</v>
      </c>
      <c r="E2096" s="3" t="s">
        <v>10</v>
      </c>
      <c r="F2096" s="4">
        <v>56.5</v>
      </c>
      <c r="G2096" s="4"/>
      <c r="H2096" s="4">
        <f t="shared" si="203"/>
        <v>56.5</v>
      </c>
    </row>
    <row r="2097" ht="14.25" spans="1:8">
      <c r="A2097" s="3" t="str">
        <f>"11302207010"</f>
        <v>11302207010</v>
      </c>
      <c r="B2097" s="3">
        <v>2</v>
      </c>
      <c r="C2097" s="3">
        <v>70</v>
      </c>
      <c r="D2097" s="3">
        <v>10</v>
      </c>
      <c r="E2097" s="3" t="s">
        <v>10</v>
      </c>
      <c r="F2097" s="4">
        <v>68</v>
      </c>
      <c r="G2097" s="4"/>
      <c r="H2097" s="4">
        <f t="shared" si="203"/>
        <v>68</v>
      </c>
    </row>
    <row r="2098" ht="14.25" spans="1:8">
      <c r="A2098" s="3" t="str">
        <f>"11302207011"</f>
        <v>11302207011</v>
      </c>
      <c r="B2098" s="3">
        <v>2</v>
      </c>
      <c r="C2098" s="3">
        <v>70</v>
      </c>
      <c r="D2098" s="3">
        <v>11</v>
      </c>
      <c r="E2098" s="3" t="s">
        <v>10</v>
      </c>
      <c r="F2098" s="4">
        <v>72.5</v>
      </c>
      <c r="G2098" s="4"/>
      <c r="H2098" s="4">
        <f t="shared" si="203"/>
        <v>72.5</v>
      </c>
    </row>
    <row r="2099" ht="14.25" spans="1:8">
      <c r="A2099" s="3" t="str">
        <f>"11302207012"</f>
        <v>11302207012</v>
      </c>
      <c r="B2099" s="3">
        <v>2</v>
      </c>
      <c r="C2099" s="3">
        <v>70</v>
      </c>
      <c r="D2099" s="3">
        <v>12</v>
      </c>
      <c r="E2099" s="3" t="s">
        <v>10</v>
      </c>
      <c r="F2099" s="4">
        <v>61.5</v>
      </c>
      <c r="G2099" s="4"/>
      <c r="H2099" s="4">
        <f t="shared" si="203"/>
        <v>61.5</v>
      </c>
    </row>
    <row r="2100" ht="14.25" spans="1:8">
      <c r="A2100" s="3" t="str">
        <f>"11302207013"</f>
        <v>11302207013</v>
      </c>
      <c r="B2100" s="3">
        <v>2</v>
      </c>
      <c r="C2100" s="3">
        <v>70</v>
      </c>
      <c r="D2100" s="3">
        <v>13</v>
      </c>
      <c r="E2100" s="3" t="s">
        <v>10</v>
      </c>
      <c r="F2100" s="4">
        <v>81</v>
      </c>
      <c r="G2100" s="4"/>
      <c r="H2100" s="4">
        <f t="shared" si="203"/>
        <v>81</v>
      </c>
    </row>
    <row r="2101" ht="14.25" spans="1:8">
      <c r="A2101" s="3" t="str">
        <f>"11302207014"</f>
        <v>11302207014</v>
      </c>
      <c r="B2101" s="3">
        <v>2</v>
      </c>
      <c r="C2101" s="3">
        <v>70</v>
      </c>
      <c r="D2101" s="3">
        <v>14</v>
      </c>
      <c r="E2101" s="3" t="s">
        <v>10</v>
      </c>
      <c r="F2101" s="4">
        <v>74</v>
      </c>
      <c r="G2101" s="4"/>
      <c r="H2101" s="4">
        <f t="shared" si="203"/>
        <v>74</v>
      </c>
    </row>
    <row r="2102" ht="14.25" spans="1:8">
      <c r="A2102" s="3" t="str">
        <f>"11302207015"</f>
        <v>11302207015</v>
      </c>
      <c r="B2102" s="3">
        <v>2</v>
      </c>
      <c r="C2102" s="3">
        <v>70</v>
      </c>
      <c r="D2102" s="3">
        <v>15</v>
      </c>
      <c r="E2102" s="3" t="s">
        <v>10</v>
      </c>
      <c r="F2102" s="4">
        <v>77.5</v>
      </c>
      <c r="G2102" s="4"/>
      <c r="H2102" s="4">
        <f t="shared" si="203"/>
        <v>77.5</v>
      </c>
    </row>
    <row r="2103" ht="14.25" spans="1:8">
      <c r="A2103" s="3" t="str">
        <f>"11302207016"</f>
        <v>11302207016</v>
      </c>
      <c r="B2103" s="3">
        <v>2</v>
      </c>
      <c r="C2103" s="3">
        <v>70</v>
      </c>
      <c r="D2103" s="3">
        <v>16</v>
      </c>
      <c r="E2103" s="3" t="s">
        <v>10</v>
      </c>
      <c r="F2103" s="4">
        <v>73</v>
      </c>
      <c r="G2103" s="4"/>
      <c r="H2103" s="4">
        <f t="shared" si="203"/>
        <v>73</v>
      </c>
    </row>
    <row r="2104" ht="14.25" spans="1:8">
      <c r="A2104" s="3" t="str">
        <f>"11302207017"</f>
        <v>11302207017</v>
      </c>
      <c r="B2104" s="3">
        <v>2</v>
      </c>
      <c r="C2104" s="3">
        <v>70</v>
      </c>
      <c r="D2104" s="3">
        <v>17</v>
      </c>
      <c r="E2104" s="3" t="s">
        <v>10</v>
      </c>
      <c r="F2104" s="4">
        <v>78</v>
      </c>
      <c r="G2104" s="4"/>
      <c r="H2104" s="4">
        <f t="shared" si="203"/>
        <v>78</v>
      </c>
    </row>
    <row r="2105" ht="14.25" spans="1:8">
      <c r="A2105" s="3" t="str">
        <f>"11302207018"</f>
        <v>11302207018</v>
      </c>
      <c r="B2105" s="3">
        <v>2</v>
      </c>
      <c r="C2105" s="3">
        <v>70</v>
      </c>
      <c r="D2105" s="3">
        <v>18</v>
      </c>
      <c r="E2105" s="3" t="s">
        <v>10</v>
      </c>
      <c r="F2105" s="4">
        <v>80</v>
      </c>
      <c r="G2105" s="4"/>
      <c r="H2105" s="4">
        <f t="shared" si="203"/>
        <v>80</v>
      </c>
    </row>
    <row r="2106" ht="14.25" spans="1:8">
      <c r="A2106" s="3" t="str">
        <f>"11302207019"</f>
        <v>11302207019</v>
      </c>
      <c r="B2106" s="3">
        <v>2</v>
      </c>
      <c r="C2106" s="3">
        <v>70</v>
      </c>
      <c r="D2106" s="3">
        <v>19</v>
      </c>
      <c r="E2106" s="3" t="s">
        <v>10</v>
      </c>
      <c r="F2106" s="3">
        <v>0</v>
      </c>
      <c r="G2106" s="4"/>
      <c r="H2106" s="3">
        <v>0</v>
      </c>
    </row>
    <row r="2107" ht="14.25" spans="1:8">
      <c r="A2107" s="3" t="str">
        <f>"11302207020"</f>
        <v>11302207020</v>
      </c>
      <c r="B2107" s="3">
        <v>2</v>
      </c>
      <c r="C2107" s="3">
        <v>70</v>
      </c>
      <c r="D2107" s="3">
        <v>20</v>
      </c>
      <c r="E2107" s="3" t="s">
        <v>10</v>
      </c>
      <c r="F2107" s="4">
        <v>62.5</v>
      </c>
      <c r="G2107" s="4"/>
      <c r="H2107" s="4">
        <f t="shared" ref="H2107:H2115" si="204">F2107+G2107</f>
        <v>62.5</v>
      </c>
    </row>
    <row r="2108" ht="14.25" spans="1:8">
      <c r="A2108" s="3" t="str">
        <f>"11302207021"</f>
        <v>11302207021</v>
      </c>
      <c r="B2108" s="3">
        <v>2</v>
      </c>
      <c r="C2108" s="3">
        <v>70</v>
      </c>
      <c r="D2108" s="3">
        <v>21</v>
      </c>
      <c r="E2108" s="3" t="s">
        <v>10</v>
      </c>
      <c r="F2108" s="4">
        <v>73.5</v>
      </c>
      <c r="G2108" s="4"/>
      <c r="H2108" s="4">
        <f t="shared" si="204"/>
        <v>73.5</v>
      </c>
    </row>
    <row r="2109" ht="14.25" spans="1:8">
      <c r="A2109" s="3" t="str">
        <f>"11302207022"</f>
        <v>11302207022</v>
      </c>
      <c r="B2109" s="3">
        <v>2</v>
      </c>
      <c r="C2109" s="3">
        <v>70</v>
      </c>
      <c r="D2109" s="3">
        <v>22</v>
      </c>
      <c r="E2109" s="3" t="s">
        <v>10</v>
      </c>
      <c r="F2109" s="4">
        <v>80</v>
      </c>
      <c r="G2109" s="4"/>
      <c r="H2109" s="4">
        <f t="shared" si="204"/>
        <v>80</v>
      </c>
    </row>
    <row r="2110" ht="14.25" spans="1:8">
      <c r="A2110" s="3" t="str">
        <f>"11302207023"</f>
        <v>11302207023</v>
      </c>
      <c r="B2110" s="3">
        <v>2</v>
      </c>
      <c r="C2110" s="3">
        <v>70</v>
      </c>
      <c r="D2110" s="3">
        <v>23</v>
      </c>
      <c r="E2110" s="3" t="s">
        <v>10</v>
      </c>
      <c r="F2110" s="4">
        <v>59.5</v>
      </c>
      <c r="G2110" s="4"/>
      <c r="H2110" s="4">
        <f t="shared" si="204"/>
        <v>59.5</v>
      </c>
    </row>
    <row r="2111" ht="14.25" spans="1:8">
      <c r="A2111" s="3" t="str">
        <f>"11302207024"</f>
        <v>11302207024</v>
      </c>
      <c r="B2111" s="3">
        <v>2</v>
      </c>
      <c r="C2111" s="3">
        <v>70</v>
      </c>
      <c r="D2111" s="3">
        <v>24</v>
      </c>
      <c r="E2111" s="3" t="s">
        <v>10</v>
      </c>
      <c r="F2111" s="4">
        <v>87.5</v>
      </c>
      <c r="G2111" s="4"/>
      <c r="H2111" s="4">
        <f t="shared" si="204"/>
        <v>87.5</v>
      </c>
    </row>
    <row r="2112" ht="14.25" spans="1:8">
      <c r="A2112" s="3" t="str">
        <f>"11302207025"</f>
        <v>11302207025</v>
      </c>
      <c r="B2112" s="3">
        <v>2</v>
      </c>
      <c r="C2112" s="3">
        <v>70</v>
      </c>
      <c r="D2112" s="3">
        <v>25</v>
      </c>
      <c r="E2112" s="3" t="s">
        <v>10</v>
      </c>
      <c r="F2112" s="4">
        <v>85</v>
      </c>
      <c r="G2112" s="4"/>
      <c r="H2112" s="4">
        <f t="shared" si="204"/>
        <v>85</v>
      </c>
    </row>
    <row r="2113" ht="14.25" spans="1:8">
      <c r="A2113" s="3" t="str">
        <f>"11302207026"</f>
        <v>11302207026</v>
      </c>
      <c r="B2113" s="3">
        <v>2</v>
      </c>
      <c r="C2113" s="3">
        <v>70</v>
      </c>
      <c r="D2113" s="3">
        <v>26</v>
      </c>
      <c r="E2113" s="3" t="s">
        <v>10</v>
      </c>
      <c r="F2113" s="4">
        <v>76</v>
      </c>
      <c r="G2113" s="4"/>
      <c r="H2113" s="4">
        <f t="shared" si="204"/>
        <v>76</v>
      </c>
    </row>
    <row r="2114" ht="14.25" spans="1:8">
      <c r="A2114" s="3" t="str">
        <f>"11302207027"</f>
        <v>11302207027</v>
      </c>
      <c r="B2114" s="3">
        <v>2</v>
      </c>
      <c r="C2114" s="3">
        <v>70</v>
      </c>
      <c r="D2114" s="3">
        <v>27</v>
      </c>
      <c r="E2114" s="3" t="s">
        <v>10</v>
      </c>
      <c r="F2114" s="4">
        <v>44.5</v>
      </c>
      <c r="G2114" s="4"/>
      <c r="H2114" s="4">
        <f t="shared" si="204"/>
        <v>44.5</v>
      </c>
    </row>
    <row r="2115" ht="14.25" spans="1:8">
      <c r="A2115" s="3" t="str">
        <f>"11302207028"</f>
        <v>11302207028</v>
      </c>
      <c r="B2115" s="3">
        <v>2</v>
      </c>
      <c r="C2115" s="3">
        <v>70</v>
      </c>
      <c r="D2115" s="3">
        <v>28</v>
      </c>
      <c r="E2115" s="3" t="s">
        <v>10</v>
      </c>
      <c r="F2115" s="4">
        <v>87.5</v>
      </c>
      <c r="G2115" s="4"/>
      <c r="H2115" s="4">
        <f t="shared" si="204"/>
        <v>87.5</v>
      </c>
    </row>
    <row r="2116" ht="14.25" spans="1:8">
      <c r="A2116" s="3" t="str">
        <f>"11302207029"</f>
        <v>11302207029</v>
      </c>
      <c r="B2116" s="3">
        <v>2</v>
      </c>
      <c r="C2116" s="3">
        <v>70</v>
      </c>
      <c r="D2116" s="3">
        <v>29</v>
      </c>
      <c r="E2116" s="3" t="s">
        <v>10</v>
      </c>
      <c r="F2116" s="3">
        <v>0</v>
      </c>
      <c r="G2116" s="4"/>
      <c r="H2116" s="3">
        <v>0</v>
      </c>
    </row>
    <row r="2117" ht="14.25" spans="1:8">
      <c r="A2117" s="3" t="str">
        <f>"11302207030"</f>
        <v>11302207030</v>
      </c>
      <c r="B2117" s="3">
        <v>2</v>
      </c>
      <c r="C2117" s="3">
        <v>70</v>
      </c>
      <c r="D2117" s="3">
        <v>30</v>
      </c>
      <c r="E2117" s="3" t="s">
        <v>10</v>
      </c>
      <c r="F2117" s="4">
        <v>74</v>
      </c>
      <c r="G2117" s="4"/>
      <c r="H2117" s="4">
        <f t="shared" ref="H2117:H2130" si="205">F2117+G2117</f>
        <v>74</v>
      </c>
    </row>
    <row r="2118" ht="14.25" spans="1:8">
      <c r="A2118" s="3" t="str">
        <f>"11302207101"</f>
        <v>11302207101</v>
      </c>
      <c r="B2118" s="3">
        <v>2</v>
      </c>
      <c r="C2118" s="3">
        <v>71</v>
      </c>
      <c r="D2118" s="3">
        <v>1</v>
      </c>
      <c r="E2118" s="3" t="s">
        <v>10</v>
      </c>
      <c r="F2118" s="3">
        <v>0</v>
      </c>
      <c r="G2118" s="4"/>
      <c r="H2118" s="3">
        <v>0</v>
      </c>
    </row>
    <row r="2119" ht="14.25" spans="1:8">
      <c r="A2119" s="3" t="str">
        <f>"11302207102"</f>
        <v>11302207102</v>
      </c>
      <c r="B2119" s="3">
        <v>2</v>
      </c>
      <c r="C2119" s="3">
        <v>71</v>
      </c>
      <c r="D2119" s="3">
        <v>2</v>
      </c>
      <c r="E2119" s="3" t="s">
        <v>10</v>
      </c>
      <c r="F2119" s="4">
        <v>66</v>
      </c>
      <c r="G2119" s="4"/>
      <c r="H2119" s="4">
        <f t="shared" si="205"/>
        <v>66</v>
      </c>
    </row>
    <row r="2120" ht="14.25" spans="1:8">
      <c r="A2120" s="3" t="str">
        <f>"11302207103"</f>
        <v>11302207103</v>
      </c>
      <c r="B2120" s="3">
        <v>2</v>
      </c>
      <c r="C2120" s="3">
        <v>71</v>
      </c>
      <c r="D2120" s="3">
        <v>3</v>
      </c>
      <c r="E2120" s="3" t="s">
        <v>10</v>
      </c>
      <c r="F2120" s="4">
        <v>78</v>
      </c>
      <c r="G2120" s="4"/>
      <c r="H2120" s="4">
        <f t="shared" si="205"/>
        <v>78</v>
      </c>
    </row>
    <row r="2121" ht="14.25" spans="1:8">
      <c r="A2121" s="3" t="str">
        <f>"11302207104"</f>
        <v>11302207104</v>
      </c>
      <c r="B2121" s="3">
        <v>2</v>
      </c>
      <c r="C2121" s="3">
        <v>71</v>
      </c>
      <c r="D2121" s="3">
        <v>4</v>
      </c>
      <c r="E2121" s="3" t="s">
        <v>10</v>
      </c>
      <c r="F2121" s="4">
        <v>84</v>
      </c>
      <c r="G2121" s="4"/>
      <c r="H2121" s="4">
        <f t="shared" si="205"/>
        <v>84</v>
      </c>
    </row>
    <row r="2122" ht="14.25" spans="1:8">
      <c r="A2122" s="3" t="str">
        <f>"11302207105"</f>
        <v>11302207105</v>
      </c>
      <c r="B2122" s="3">
        <v>2</v>
      </c>
      <c r="C2122" s="3">
        <v>71</v>
      </c>
      <c r="D2122" s="3">
        <v>5</v>
      </c>
      <c r="E2122" s="3" t="s">
        <v>10</v>
      </c>
      <c r="F2122" s="4">
        <v>87</v>
      </c>
      <c r="G2122" s="4"/>
      <c r="H2122" s="4">
        <f t="shared" si="205"/>
        <v>87</v>
      </c>
    </row>
    <row r="2123" ht="14.25" spans="1:8">
      <c r="A2123" s="3" t="str">
        <f>"11302207106"</f>
        <v>11302207106</v>
      </c>
      <c r="B2123" s="3">
        <v>2</v>
      </c>
      <c r="C2123" s="3">
        <v>71</v>
      </c>
      <c r="D2123" s="3">
        <v>6</v>
      </c>
      <c r="E2123" s="3" t="s">
        <v>10</v>
      </c>
      <c r="F2123" s="4">
        <v>66.5</v>
      </c>
      <c r="G2123" s="4"/>
      <c r="H2123" s="4">
        <f t="shared" si="205"/>
        <v>66.5</v>
      </c>
    </row>
    <row r="2124" ht="14.25" spans="1:8">
      <c r="A2124" s="3" t="str">
        <f>"11302207107"</f>
        <v>11302207107</v>
      </c>
      <c r="B2124" s="3">
        <v>2</v>
      </c>
      <c r="C2124" s="3">
        <v>71</v>
      </c>
      <c r="D2124" s="3">
        <v>7</v>
      </c>
      <c r="E2124" s="3" t="s">
        <v>10</v>
      </c>
      <c r="F2124" s="4">
        <v>61.5</v>
      </c>
      <c r="G2124" s="4"/>
      <c r="H2124" s="4">
        <f t="shared" si="205"/>
        <v>61.5</v>
      </c>
    </row>
    <row r="2125" ht="14.25" spans="1:8">
      <c r="A2125" s="3" t="str">
        <f>"11302207108"</f>
        <v>11302207108</v>
      </c>
      <c r="B2125" s="3">
        <v>2</v>
      </c>
      <c r="C2125" s="3">
        <v>71</v>
      </c>
      <c r="D2125" s="3">
        <v>8</v>
      </c>
      <c r="E2125" s="3" t="s">
        <v>10</v>
      </c>
      <c r="F2125" s="4">
        <v>71</v>
      </c>
      <c r="G2125" s="4"/>
      <c r="H2125" s="4">
        <f t="shared" si="205"/>
        <v>71</v>
      </c>
    </row>
    <row r="2126" ht="14.25" spans="1:8">
      <c r="A2126" s="3" t="str">
        <f>"11302207109"</f>
        <v>11302207109</v>
      </c>
      <c r="B2126" s="3">
        <v>2</v>
      </c>
      <c r="C2126" s="3">
        <v>71</v>
      </c>
      <c r="D2126" s="3">
        <v>9</v>
      </c>
      <c r="E2126" s="3" t="s">
        <v>10</v>
      </c>
      <c r="F2126" s="4">
        <v>51</v>
      </c>
      <c r="G2126" s="4"/>
      <c r="H2126" s="4">
        <f t="shared" si="205"/>
        <v>51</v>
      </c>
    </row>
    <row r="2127" ht="14.25" spans="1:8">
      <c r="A2127" s="3" t="str">
        <f>"11302207110"</f>
        <v>11302207110</v>
      </c>
      <c r="B2127" s="3">
        <v>2</v>
      </c>
      <c r="C2127" s="3">
        <v>71</v>
      </c>
      <c r="D2127" s="3">
        <v>10</v>
      </c>
      <c r="E2127" s="3" t="s">
        <v>10</v>
      </c>
      <c r="F2127" s="4">
        <v>78</v>
      </c>
      <c r="G2127" s="4"/>
      <c r="H2127" s="4">
        <f t="shared" si="205"/>
        <v>78</v>
      </c>
    </row>
    <row r="2128" ht="14.25" spans="1:8">
      <c r="A2128" s="3" t="str">
        <f>"11302207111"</f>
        <v>11302207111</v>
      </c>
      <c r="B2128" s="3">
        <v>2</v>
      </c>
      <c r="C2128" s="3">
        <v>71</v>
      </c>
      <c r="D2128" s="3">
        <v>11</v>
      </c>
      <c r="E2128" s="3" t="s">
        <v>10</v>
      </c>
      <c r="F2128" s="4">
        <v>74.5</v>
      </c>
      <c r="G2128" s="4"/>
      <c r="H2128" s="4">
        <f t="shared" si="205"/>
        <v>74.5</v>
      </c>
    </row>
    <row r="2129" ht="14.25" spans="1:8">
      <c r="A2129" s="3" t="str">
        <f>"11302207112"</f>
        <v>11302207112</v>
      </c>
      <c r="B2129" s="3">
        <v>2</v>
      </c>
      <c r="C2129" s="3">
        <v>71</v>
      </c>
      <c r="D2129" s="3">
        <v>12</v>
      </c>
      <c r="E2129" s="3" t="s">
        <v>10</v>
      </c>
      <c r="F2129" s="4">
        <v>62</v>
      </c>
      <c r="G2129" s="4"/>
      <c r="H2129" s="4">
        <f t="shared" si="205"/>
        <v>62</v>
      </c>
    </row>
    <row r="2130" ht="14.25" spans="1:8">
      <c r="A2130" s="3" t="str">
        <f>"11302207113"</f>
        <v>11302207113</v>
      </c>
      <c r="B2130" s="3">
        <v>2</v>
      </c>
      <c r="C2130" s="3">
        <v>71</v>
      </c>
      <c r="D2130" s="3">
        <v>13</v>
      </c>
      <c r="E2130" s="3" t="s">
        <v>10</v>
      </c>
      <c r="F2130" s="4">
        <v>67.5</v>
      </c>
      <c r="G2130" s="4"/>
      <c r="H2130" s="4">
        <f t="shared" si="205"/>
        <v>67.5</v>
      </c>
    </row>
    <row r="2131" ht="14.25" spans="1:8">
      <c r="A2131" s="3" t="str">
        <f>"11302207114"</f>
        <v>11302207114</v>
      </c>
      <c r="B2131" s="3">
        <v>2</v>
      </c>
      <c r="C2131" s="3">
        <v>71</v>
      </c>
      <c r="D2131" s="3">
        <v>14</v>
      </c>
      <c r="E2131" s="3" t="s">
        <v>10</v>
      </c>
      <c r="F2131" s="3">
        <v>0</v>
      </c>
      <c r="G2131" s="4"/>
      <c r="H2131" s="3">
        <v>0</v>
      </c>
    </row>
    <row r="2132" ht="14.25" spans="1:8">
      <c r="A2132" s="3" t="str">
        <f>"11302207115"</f>
        <v>11302207115</v>
      </c>
      <c r="B2132" s="3">
        <v>2</v>
      </c>
      <c r="C2132" s="3">
        <v>71</v>
      </c>
      <c r="D2132" s="3">
        <v>15</v>
      </c>
      <c r="E2132" s="3" t="s">
        <v>10</v>
      </c>
      <c r="F2132" s="4">
        <v>75</v>
      </c>
      <c r="G2132" s="4"/>
      <c r="H2132" s="4">
        <f t="shared" ref="H2132:H2135" si="206">F2132+G2132</f>
        <v>75</v>
      </c>
    </row>
    <row r="2133" ht="14.25" spans="1:8">
      <c r="A2133" s="3" t="str">
        <f>"11302207116"</f>
        <v>11302207116</v>
      </c>
      <c r="B2133" s="3">
        <v>2</v>
      </c>
      <c r="C2133" s="3">
        <v>71</v>
      </c>
      <c r="D2133" s="3">
        <v>16</v>
      </c>
      <c r="E2133" s="3" t="s">
        <v>10</v>
      </c>
      <c r="F2133" s="4">
        <v>67.5</v>
      </c>
      <c r="G2133" s="4"/>
      <c r="H2133" s="4">
        <f t="shared" si="206"/>
        <v>67.5</v>
      </c>
    </row>
    <row r="2134" ht="14.25" spans="1:8">
      <c r="A2134" s="3" t="str">
        <f>"11302207117"</f>
        <v>11302207117</v>
      </c>
      <c r="B2134" s="3">
        <v>2</v>
      </c>
      <c r="C2134" s="3">
        <v>71</v>
      </c>
      <c r="D2134" s="3">
        <v>17</v>
      </c>
      <c r="E2134" s="3" t="s">
        <v>10</v>
      </c>
      <c r="F2134" s="4">
        <v>61.5</v>
      </c>
      <c r="G2134" s="4"/>
      <c r="H2134" s="4">
        <f t="shared" si="206"/>
        <v>61.5</v>
      </c>
    </row>
    <row r="2135" ht="14.25" spans="1:8">
      <c r="A2135" s="3" t="str">
        <f>"11302207118"</f>
        <v>11302207118</v>
      </c>
      <c r="B2135" s="3">
        <v>2</v>
      </c>
      <c r="C2135" s="3">
        <v>71</v>
      </c>
      <c r="D2135" s="3">
        <v>18</v>
      </c>
      <c r="E2135" s="3" t="s">
        <v>10</v>
      </c>
      <c r="F2135" s="4">
        <v>84</v>
      </c>
      <c r="G2135" s="4"/>
      <c r="H2135" s="4">
        <f t="shared" si="206"/>
        <v>84</v>
      </c>
    </row>
    <row r="2136" ht="14.25" spans="1:8">
      <c r="A2136" s="3" t="str">
        <f>"11302207119"</f>
        <v>11302207119</v>
      </c>
      <c r="B2136" s="3">
        <v>2</v>
      </c>
      <c r="C2136" s="3">
        <v>71</v>
      </c>
      <c r="D2136" s="3">
        <v>19</v>
      </c>
      <c r="E2136" s="3" t="s">
        <v>10</v>
      </c>
      <c r="F2136" s="3">
        <v>0</v>
      </c>
      <c r="G2136" s="4"/>
      <c r="H2136" s="3">
        <v>0</v>
      </c>
    </row>
    <row r="2137" ht="14.25" spans="1:8">
      <c r="A2137" s="3" t="str">
        <f>"11302207120"</f>
        <v>11302207120</v>
      </c>
      <c r="B2137" s="3">
        <v>2</v>
      </c>
      <c r="C2137" s="3">
        <v>71</v>
      </c>
      <c r="D2137" s="3">
        <v>20</v>
      </c>
      <c r="E2137" s="3" t="s">
        <v>10</v>
      </c>
      <c r="F2137" s="4">
        <v>50</v>
      </c>
      <c r="G2137" s="4"/>
      <c r="H2137" s="4">
        <f t="shared" ref="H2137:H2160" si="207">F2137+G2137</f>
        <v>50</v>
      </c>
    </row>
    <row r="2138" ht="14.25" spans="1:8">
      <c r="A2138" s="3" t="str">
        <f>"11302207121"</f>
        <v>11302207121</v>
      </c>
      <c r="B2138" s="3">
        <v>2</v>
      </c>
      <c r="C2138" s="3">
        <v>71</v>
      </c>
      <c r="D2138" s="3">
        <v>21</v>
      </c>
      <c r="E2138" s="3" t="s">
        <v>10</v>
      </c>
      <c r="F2138" s="4">
        <v>73</v>
      </c>
      <c r="G2138" s="4"/>
      <c r="H2138" s="4">
        <f t="shared" si="207"/>
        <v>73</v>
      </c>
    </row>
    <row r="2139" ht="14.25" spans="1:8">
      <c r="A2139" s="3" t="str">
        <f>"11302207122"</f>
        <v>11302207122</v>
      </c>
      <c r="B2139" s="3">
        <v>2</v>
      </c>
      <c r="C2139" s="3">
        <v>71</v>
      </c>
      <c r="D2139" s="3">
        <v>22</v>
      </c>
      <c r="E2139" s="3" t="s">
        <v>10</v>
      </c>
      <c r="F2139" s="4">
        <v>69</v>
      </c>
      <c r="G2139" s="4"/>
      <c r="H2139" s="4">
        <f t="shared" si="207"/>
        <v>69</v>
      </c>
    </row>
    <row r="2140" ht="14.25" spans="1:8">
      <c r="A2140" s="3" t="str">
        <f>"11302207123"</f>
        <v>11302207123</v>
      </c>
      <c r="B2140" s="3">
        <v>2</v>
      </c>
      <c r="C2140" s="3">
        <v>71</v>
      </c>
      <c r="D2140" s="3">
        <v>23</v>
      </c>
      <c r="E2140" s="3" t="s">
        <v>10</v>
      </c>
      <c r="F2140" s="4">
        <v>61</v>
      </c>
      <c r="G2140" s="4"/>
      <c r="H2140" s="4">
        <f t="shared" si="207"/>
        <v>61</v>
      </c>
    </row>
    <row r="2141" ht="14.25" spans="1:8">
      <c r="A2141" s="3" t="str">
        <f>"11302207124"</f>
        <v>11302207124</v>
      </c>
      <c r="B2141" s="3">
        <v>2</v>
      </c>
      <c r="C2141" s="3">
        <v>71</v>
      </c>
      <c r="D2141" s="3">
        <v>24</v>
      </c>
      <c r="E2141" s="3" t="s">
        <v>10</v>
      </c>
      <c r="F2141" s="4">
        <v>73</v>
      </c>
      <c r="G2141" s="4"/>
      <c r="H2141" s="4">
        <f t="shared" si="207"/>
        <v>73</v>
      </c>
    </row>
    <row r="2142" ht="14.25" spans="1:8">
      <c r="A2142" s="3" t="str">
        <f>"11302207125"</f>
        <v>11302207125</v>
      </c>
      <c r="B2142" s="3">
        <v>2</v>
      </c>
      <c r="C2142" s="3">
        <v>71</v>
      </c>
      <c r="D2142" s="3">
        <v>25</v>
      </c>
      <c r="E2142" s="3" t="s">
        <v>10</v>
      </c>
      <c r="F2142" s="4">
        <v>54</v>
      </c>
      <c r="G2142" s="4"/>
      <c r="H2142" s="4">
        <f t="shared" si="207"/>
        <v>54</v>
      </c>
    </row>
    <row r="2143" ht="14.25" spans="1:8">
      <c r="A2143" s="3" t="str">
        <f>"11302207126"</f>
        <v>11302207126</v>
      </c>
      <c r="B2143" s="3">
        <v>2</v>
      </c>
      <c r="C2143" s="3">
        <v>71</v>
      </c>
      <c r="D2143" s="3">
        <v>26</v>
      </c>
      <c r="E2143" s="3" t="s">
        <v>10</v>
      </c>
      <c r="F2143" s="4">
        <v>57.5</v>
      </c>
      <c r="G2143" s="4"/>
      <c r="H2143" s="4">
        <f t="shared" si="207"/>
        <v>57.5</v>
      </c>
    </row>
    <row r="2144" ht="14.25" spans="1:8">
      <c r="A2144" s="3" t="str">
        <f>"11302207127"</f>
        <v>11302207127</v>
      </c>
      <c r="B2144" s="3">
        <v>2</v>
      </c>
      <c r="C2144" s="3">
        <v>71</v>
      </c>
      <c r="D2144" s="3">
        <v>27</v>
      </c>
      <c r="E2144" s="3" t="s">
        <v>10</v>
      </c>
      <c r="F2144" s="4">
        <v>84</v>
      </c>
      <c r="G2144" s="4"/>
      <c r="H2144" s="4">
        <f t="shared" si="207"/>
        <v>84</v>
      </c>
    </row>
    <row r="2145" ht="14.25" spans="1:8">
      <c r="A2145" s="3" t="str">
        <f>"11302207128"</f>
        <v>11302207128</v>
      </c>
      <c r="B2145" s="3">
        <v>2</v>
      </c>
      <c r="C2145" s="3">
        <v>71</v>
      </c>
      <c r="D2145" s="3">
        <v>28</v>
      </c>
      <c r="E2145" s="3" t="s">
        <v>10</v>
      </c>
      <c r="F2145" s="4">
        <v>46.5</v>
      </c>
      <c r="G2145" s="4"/>
      <c r="H2145" s="4">
        <f t="shared" si="207"/>
        <v>46.5</v>
      </c>
    </row>
    <row r="2146" ht="14.25" spans="1:8">
      <c r="A2146" s="3" t="str">
        <f>"11302207129"</f>
        <v>11302207129</v>
      </c>
      <c r="B2146" s="3">
        <v>2</v>
      </c>
      <c r="C2146" s="3">
        <v>71</v>
      </c>
      <c r="D2146" s="3">
        <v>29</v>
      </c>
      <c r="E2146" s="3" t="s">
        <v>10</v>
      </c>
      <c r="F2146" s="4">
        <v>63.5</v>
      </c>
      <c r="G2146" s="4"/>
      <c r="H2146" s="4">
        <f t="shared" si="207"/>
        <v>63.5</v>
      </c>
    </row>
    <row r="2147" ht="14.25" spans="1:8">
      <c r="A2147" s="3" t="str">
        <f>"11302207130"</f>
        <v>11302207130</v>
      </c>
      <c r="B2147" s="3">
        <v>2</v>
      </c>
      <c r="C2147" s="3">
        <v>71</v>
      </c>
      <c r="D2147" s="3">
        <v>30</v>
      </c>
      <c r="E2147" s="3" t="s">
        <v>10</v>
      </c>
      <c r="F2147" s="4">
        <v>62.5</v>
      </c>
      <c r="G2147" s="4"/>
      <c r="H2147" s="4">
        <f t="shared" si="207"/>
        <v>62.5</v>
      </c>
    </row>
    <row r="2148" ht="14.25" spans="1:8">
      <c r="A2148" s="3" t="str">
        <f>"11302207201"</f>
        <v>11302207201</v>
      </c>
      <c r="B2148" s="3">
        <v>2</v>
      </c>
      <c r="C2148" s="3">
        <v>72</v>
      </c>
      <c r="D2148" s="3">
        <v>1</v>
      </c>
      <c r="E2148" s="3" t="s">
        <v>10</v>
      </c>
      <c r="F2148" s="4">
        <v>71</v>
      </c>
      <c r="G2148" s="4"/>
      <c r="H2148" s="4">
        <f t="shared" si="207"/>
        <v>71</v>
      </c>
    </row>
    <row r="2149" ht="14.25" spans="1:8">
      <c r="A2149" s="3" t="str">
        <f>"11302207202"</f>
        <v>11302207202</v>
      </c>
      <c r="B2149" s="3">
        <v>2</v>
      </c>
      <c r="C2149" s="3">
        <v>72</v>
      </c>
      <c r="D2149" s="3">
        <v>2</v>
      </c>
      <c r="E2149" s="3" t="s">
        <v>10</v>
      </c>
      <c r="F2149" s="4">
        <v>65.5</v>
      </c>
      <c r="G2149" s="4"/>
      <c r="H2149" s="4">
        <f t="shared" si="207"/>
        <v>65.5</v>
      </c>
    </row>
    <row r="2150" ht="14.25" spans="1:8">
      <c r="A2150" s="3" t="str">
        <f>"11302207203"</f>
        <v>11302207203</v>
      </c>
      <c r="B2150" s="3">
        <v>2</v>
      </c>
      <c r="C2150" s="3">
        <v>72</v>
      </c>
      <c r="D2150" s="3">
        <v>3</v>
      </c>
      <c r="E2150" s="3" t="s">
        <v>10</v>
      </c>
      <c r="F2150" s="4">
        <v>74.5</v>
      </c>
      <c r="G2150" s="4"/>
      <c r="H2150" s="4">
        <f t="shared" si="207"/>
        <v>74.5</v>
      </c>
    </row>
    <row r="2151" ht="14.25" spans="1:8">
      <c r="A2151" s="3" t="str">
        <f>"11302207204"</f>
        <v>11302207204</v>
      </c>
      <c r="B2151" s="3">
        <v>2</v>
      </c>
      <c r="C2151" s="3">
        <v>72</v>
      </c>
      <c r="D2151" s="3">
        <v>4</v>
      </c>
      <c r="E2151" s="3" t="s">
        <v>10</v>
      </c>
      <c r="F2151" s="4">
        <v>83.5</v>
      </c>
      <c r="G2151" s="4"/>
      <c r="H2151" s="4">
        <f t="shared" si="207"/>
        <v>83.5</v>
      </c>
    </row>
    <row r="2152" ht="14.25" spans="1:8">
      <c r="A2152" s="3" t="str">
        <f>"11302207205"</f>
        <v>11302207205</v>
      </c>
      <c r="B2152" s="3">
        <v>2</v>
      </c>
      <c r="C2152" s="3">
        <v>72</v>
      </c>
      <c r="D2152" s="3">
        <v>5</v>
      </c>
      <c r="E2152" s="3" t="s">
        <v>10</v>
      </c>
      <c r="F2152" s="4">
        <v>79.5</v>
      </c>
      <c r="G2152" s="4"/>
      <c r="H2152" s="4">
        <f t="shared" si="207"/>
        <v>79.5</v>
      </c>
    </row>
    <row r="2153" ht="14.25" spans="1:8">
      <c r="A2153" s="3" t="str">
        <f>"11302207206"</f>
        <v>11302207206</v>
      </c>
      <c r="B2153" s="3">
        <v>2</v>
      </c>
      <c r="C2153" s="3">
        <v>72</v>
      </c>
      <c r="D2153" s="3">
        <v>6</v>
      </c>
      <c r="E2153" s="3" t="s">
        <v>10</v>
      </c>
      <c r="F2153" s="4">
        <v>80</v>
      </c>
      <c r="G2153" s="4"/>
      <c r="H2153" s="4">
        <f t="shared" si="207"/>
        <v>80</v>
      </c>
    </row>
    <row r="2154" ht="14.25" spans="1:8">
      <c r="A2154" s="3" t="str">
        <f>"11302207207"</f>
        <v>11302207207</v>
      </c>
      <c r="B2154" s="3">
        <v>2</v>
      </c>
      <c r="C2154" s="3">
        <v>72</v>
      </c>
      <c r="D2154" s="3">
        <v>7</v>
      </c>
      <c r="E2154" s="3" t="s">
        <v>10</v>
      </c>
      <c r="F2154" s="4">
        <v>67.5</v>
      </c>
      <c r="G2154" s="4"/>
      <c r="H2154" s="4">
        <f t="shared" si="207"/>
        <v>67.5</v>
      </c>
    </row>
    <row r="2155" ht="14.25" spans="1:8">
      <c r="A2155" s="3" t="str">
        <f>"11302207208"</f>
        <v>11302207208</v>
      </c>
      <c r="B2155" s="3">
        <v>2</v>
      </c>
      <c r="C2155" s="3">
        <v>72</v>
      </c>
      <c r="D2155" s="3">
        <v>8</v>
      </c>
      <c r="E2155" s="3" t="s">
        <v>10</v>
      </c>
      <c r="F2155" s="4">
        <v>90.5</v>
      </c>
      <c r="G2155" s="4"/>
      <c r="H2155" s="4">
        <f t="shared" si="207"/>
        <v>90.5</v>
      </c>
    </row>
    <row r="2156" ht="14.25" spans="1:8">
      <c r="A2156" s="3" t="str">
        <f>"11302207209"</f>
        <v>11302207209</v>
      </c>
      <c r="B2156" s="3">
        <v>2</v>
      </c>
      <c r="C2156" s="3">
        <v>72</v>
      </c>
      <c r="D2156" s="3">
        <v>9</v>
      </c>
      <c r="E2156" s="3" t="s">
        <v>10</v>
      </c>
      <c r="F2156" s="4">
        <v>77.5</v>
      </c>
      <c r="G2156" s="4"/>
      <c r="H2156" s="4">
        <f t="shared" si="207"/>
        <v>77.5</v>
      </c>
    </row>
    <row r="2157" ht="14.25" spans="1:8">
      <c r="A2157" s="3" t="str">
        <f>"11302207210"</f>
        <v>11302207210</v>
      </c>
      <c r="B2157" s="3">
        <v>2</v>
      </c>
      <c r="C2157" s="3">
        <v>72</v>
      </c>
      <c r="D2157" s="3">
        <v>10</v>
      </c>
      <c r="E2157" s="3" t="s">
        <v>10</v>
      </c>
      <c r="F2157" s="4">
        <v>77.5</v>
      </c>
      <c r="G2157" s="4"/>
      <c r="H2157" s="4">
        <f t="shared" si="207"/>
        <v>77.5</v>
      </c>
    </row>
    <row r="2158" ht="14.25" spans="1:8">
      <c r="A2158" s="3" t="str">
        <f>"11302207211"</f>
        <v>11302207211</v>
      </c>
      <c r="B2158" s="3">
        <v>2</v>
      </c>
      <c r="C2158" s="3">
        <v>72</v>
      </c>
      <c r="D2158" s="3">
        <v>11</v>
      </c>
      <c r="E2158" s="3" t="s">
        <v>10</v>
      </c>
      <c r="F2158" s="4">
        <v>86.5</v>
      </c>
      <c r="G2158" s="4"/>
      <c r="H2158" s="4">
        <f t="shared" si="207"/>
        <v>86.5</v>
      </c>
    </row>
    <row r="2159" ht="14.25" spans="1:8">
      <c r="A2159" s="3" t="str">
        <f>"11302207212"</f>
        <v>11302207212</v>
      </c>
      <c r="B2159" s="3">
        <v>2</v>
      </c>
      <c r="C2159" s="3">
        <v>72</v>
      </c>
      <c r="D2159" s="3">
        <v>12</v>
      </c>
      <c r="E2159" s="3" t="s">
        <v>10</v>
      </c>
      <c r="F2159" s="4">
        <v>69</v>
      </c>
      <c r="G2159" s="4"/>
      <c r="H2159" s="4">
        <f t="shared" si="207"/>
        <v>69</v>
      </c>
    </row>
    <row r="2160" ht="14.25" spans="1:8">
      <c r="A2160" s="3" t="str">
        <f>"11302207213"</f>
        <v>11302207213</v>
      </c>
      <c r="B2160" s="3">
        <v>2</v>
      </c>
      <c r="C2160" s="3">
        <v>72</v>
      </c>
      <c r="D2160" s="3">
        <v>13</v>
      </c>
      <c r="E2160" s="3" t="s">
        <v>10</v>
      </c>
      <c r="F2160" s="4">
        <v>55.5</v>
      </c>
      <c r="G2160" s="4"/>
      <c r="H2160" s="4">
        <f t="shared" si="207"/>
        <v>55.5</v>
      </c>
    </row>
    <row r="2161" ht="14.25" spans="1:8">
      <c r="A2161" s="3" t="str">
        <f>"11302207214"</f>
        <v>11302207214</v>
      </c>
      <c r="B2161" s="3">
        <v>2</v>
      </c>
      <c r="C2161" s="3">
        <v>72</v>
      </c>
      <c r="D2161" s="3">
        <v>14</v>
      </c>
      <c r="E2161" s="3" t="s">
        <v>10</v>
      </c>
      <c r="F2161" s="3">
        <v>0</v>
      </c>
      <c r="G2161" s="4"/>
      <c r="H2161" s="3">
        <v>0</v>
      </c>
    </row>
    <row r="2162" ht="14.25" spans="1:8">
      <c r="A2162" s="3" t="str">
        <f>"11302207215"</f>
        <v>11302207215</v>
      </c>
      <c r="B2162" s="3">
        <v>2</v>
      </c>
      <c r="C2162" s="3">
        <v>72</v>
      </c>
      <c r="D2162" s="3">
        <v>15</v>
      </c>
      <c r="E2162" s="3" t="s">
        <v>10</v>
      </c>
      <c r="F2162" s="4">
        <v>74.5</v>
      </c>
      <c r="G2162" s="4"/>
      <c r="H2162" s="4">
        <f t="shared" ref="H2162:H2182" si="208">F2162+G2162</f>
        <v>74.5</v>
      </c>
    </row>
    <row r="2163" ht="14.25" spans="1:8">
      <c r="A2163" s="3" t="str">
        <f>"11302207216"</f>
        <v>11302207216</v>
      </c>
      <c r="B2163" s="3">
        <v>2</v>
      </c>
      <c r="C2163" s="3">
        <v>72</v>
      </c>
      <c r="D2163" s="3">
        <v>16</v>
      </c>
      <c r="E2163" s="3" t="s">
        <v>10</v>
      </c>
      <c r="F2163" s="4">
        <v>53</v>
      </c>
      <c r="G2163" s="4"/>
      <c r="H2163" s="4">
        <f t="shared" si="208"/>
        <v>53</v>
      </c>
    </row>
    <row r="2164" ht="14.25" spans="1:8">
      <c r="A2164" s="3" t="str">
        <f>"11302207217"</f>
        <v>11302207217</v>
      </c>
      <c r="B2164" s="3">
        <v>2</v>
      </c>
      <c r="C2164" s="3">
        <v>72</v>
      </c>
      <c r="D2164" s="3">
        <v>17</v>
      </c>
      <c r="E2164" s="3" t="s">
        <v>10</v>
      </c>
      <c r="F2164" s="4">
        <v>61.5</v>
      </c>
      <c r="G2164" s="4"/>
      <c r="H2164" s="4">
        <f t="shared" si="208"/>
        <v>61.5</v>
      </c>
    </row>
    <row r="2165" ht="14.25" spans="1:8">
      <c r="A2165" s="3" t="str">
        <f>"11302207218"</f>
        <v>11302207218</v>
      </c>
      <c r="B2165" s="3">
        <v>2</v>
      </c>
      <c r="C2165" s="3">
        <v>72</v>
      </c>
      <c r="D2165" s="3">
        <v>18</v>
      </c>
      <c r="E2165" s="3" t="s">
        <v>10</v>
      </c>
      <c r="F2165" s="4">
        <v>65</v>
      </c>
      <c r="G2165" s="4"/>
      <c r="H2165" s="4">
        <f t="shared" si="208"/>
        <v>65</v>
      </c>
    </row>
    <row r="2166" ht="14.25" spans="1:8">
      <c r="A2166" s="3" t="str">
        <f>"11302207219"</f>
        <v>11302207219</v>
      </c>
      <c r="B2166" s="3">
        <v>2</v>
      </c>
      <c r="C2166" s="3">
        <v>72</v>
      </c>
      <c r="D2166" s="3">
        <v>19</v>
      </c>
      <c r="E2166" s="3" t="s">
        <v>10</v>
      </c>
      <c r="F2166" s="4">
        <v>49.5</v>
      </c>
      <c r="G2166" s="4"/>
      <c r="H2166" s="4">
        <f t="shared" si="208"/>
        <v>49.5</v>
      </c>
    </row>
    <row r="2167" ht="14.25" spans="1:8">
      <c r="A2167" s="3" t="str">
        <f>"11302207220"</f>
        <v>11302207220</v>
      </c>
      <c r="B2167" s="3">
        <v>2</v>
      </c>
      <c r="C2167" s="3">
        <v>72</v>
      </c>
      <c r="D2167" s="3">
        <v>20</v>
      </c>
      <c r="E2167" s="3" t="s">
        <v>10</v>
      </c>
      <c r="F2167" s="4">
        <v>59.5</v>
      </c>
      <c r="G2167" s="4"/>
      <c r="H2167" s="4">
        <f t="shared" si="208"/>
        <v>59.5</v>
      </c>
    </row>
    <row r="2168" ht="14.25" spans="1:8">
      <c r="A2168" s="3" t="str">
        <f>"11302207221"</f>
        <v>11302207221</v>
      </c>
      <c r="B2168" s="3">
        <v>2</v>
      </c>
      <c r="C2168" s="3">
        <v>72</v>
      </c>
      <c r="D2168" s="3">
        <v>21</v>
      </c>
      <c r="E2168" s="3" t="s">
        <v>10</v>
      </c>
      <c r="F2168" s="4">
        <v>57</v>
      </c>
      <c r="G2168" s="4">
        <v>10</v>
      </c>
      <c r="H2168" s="4">
        <f t="shared" si="208"/>
        <v>67</v>
      </c>
    </row>
    <row r="2169" ht="14.25" spans="1:8">
      <c r="A2169" s="3" t="str">
        <f>"11302207222"</f>
        <v>11302207222</v>
      </c>
      <c r="B2169" s="3">
        <v>2</v>
      </c>
      <c r="C2169" s="3">
        <v>72</v>
      </c>
      <c r="D2169" s="3">
        <v>22</v>
      </c>
      <c r="E2169" s="3" t="s">
        <v>10</v>
      </c>
      <c r="F2169" s="4">
        <v>51</v>
      </c>
      <c r="G2169" s="4"/>
      <c r="H2169" s="4">
        <f t="shared" si="208"/>
        <v>51</v>
      </c>
    </row>
    <row r="2170" ht="14.25" spans="1:8">
      <c r="A2170" s="3" t="str">
        <f>"11302207223"</f>
        <v>11302207223</v>
      </c>
      <c r="B2170" s="3">
        <v>2</v>
      </c>
      <c r="C2170" s="3">
        <v>72</v>
      </c>
      <c r="D2170" s="3">
        <v>23</v>
      </c>
      <c r="E2170" s="3" t="s">
        <v>10</v>
      </c>
      <c r="F2170" s="4">
        <v>52.5</v>
      </c>
      <c r="G2170" s="4"/>
      <c r="H2170" s="4">
        <f t="shared" si="208"/>
        <v>52.5</v>
      </c>
    </row>
    <row r="2171" ht="14.25" spans="1:8">
      <c r="A2171" s="3" t="str">
        <f>"11302207224"</f>
        <v>11302207224</v>
      </c>
      <c r="B2171" s="3">
        <v>2</v>
      </c>
      <c r="C2171" s="3">
        <v>72</v>
      </c>
      <c r="D2171" s="3">
        <v>24</v>
      </c>
      <c r="E2171" s="3" t="s">
        <v>10</v>
      </c>
      <c r="F2171" s="4">
        <v>70.5</v>
      </c>
      <c r="G2171" s="4"/>
      <c r="H2171" s="4">
        <f t="shared" si="208"/>
        <v>70.5</v>
      </c>
    </row>
    <row r="2172" ht="14.25" spans="1:8">
      <c r="A2172" s="3" t="str">
        <f>"11302207225"</f>
        <v>11302207225</v>
      </c>
      <c r="B2172" s="3">
        <v>2</v>
      </c>
      <c r="C2172" s="3">
        <v>72</v>
      </c>
      <c r="D2172" s="3">
        <v>25</v>
      </c>
      <c r="E2172" s="3" t="s">
        <v>10</v>
      </c>
      <c r="F2172" s="4">
        <v>83</v>
      </c>
      <c r="G2172" s="4"/>
      <c r="H2172" s="4">
        <f t="shared" si="208"/>
        <v>83</v>
      </c>
    </row>
    <row r="2173" ht="14.25" spans="1:8">
      <c r="A2173" s="3" t="str">
        <f>"11302207226"</f>
        <v>11302207226</v>
      </c>
      <c r="B2173" s="3">
        <v>2</v>
      </c>
      <c r="C2173" s="3">
        <v>72</v>
      </c>
      <c r="D2173" s="3">
        <v>26</v>
      </c>
      <c r="E2173" s="3" t="s">
        <v>10</v>
      </c>
      <c r="F2173" s="4">
        <v>77.5</v>
      </c>
      <c r="G2173" s="4"/>
      <c r="H2173" s="4">
        <f t="shared" si="208"/>
        <v>77.5</v>
      </c>
    </row>
    <row r="2174" ht="14.25" spans="1:8">
      <c r="A2174" s="3" t="str">
        <f>"11302207227"</f>
        <v>11302207227</v>
      </c>
      <c r="B2174" s="3">
        <v>2</v>
      </c>
      <c r="C2174" s="3">
        <v>72</v>
      </c>
      <c r="D2174" s="3">
        <v>27</v>
      </c>
      <c r="E2174" s="3" t="s">
        <v>10</v>
      </c>
      <c r="F2174" s="4">
        <v>83.5</v>
      </c>
      <c r="G2174" s="4"/>
      <c r="H2174" s="4">
        <f t="shared" si="208"/>
        <v>83.5</v>
      </c>
    </row>
    <row r="2175" ht="14.25" spans="1:8">
      <c r="A2175" s="3" t="str">
        <f>"11302207228"</f>
        <v>11302207228</v>
      </c>
      <c r="B2175" s="3">
        <v>2</v>
      </c>
      <c r="C2175" s="3">
        <v>72</v>
      </c>
      <c r="D2175" s="3">
        <v>28</v>
      </c>
      <c r="E2175" s="3" t="s">
        <v>10</v>
      </c>
      <c r="F2175" s="4">
        <v>79</v>
      </c>
      <c r="G2175" s="4"/>
      <c r="H2175" s="4">
        <f t="shared" si="208"/>
        <v>79</v>
      </c>
    </row>
    <row r="2176" ht="14.25" spans="1:8">
      <c r="A2176" s="3" t="str">
        <f>"11302207229"</f>
        <v>11302207229</v>
      </c>
      <c r="B2176" s="3">
        <v>2</v>
      </c>
      <c r="C2176" s="3">
        <v>72</v>
      </c>
      <c r="D2176" s="3">
        <v>29</v>
      </c>
      <c r="E2176" s="3" t="s">
        <v>10</v>
      </c>
      <c r="F2176" s="4">
        <v>81</v>
      </c>
      <c r="G2176" s="4"/>
      <c r="H2176" s="4">
        <f t="shared" si="208"/>
        <v>81</v>
      </c>
    </row>
    <row r="2177" ht="14.25" spans="1:8">
      <c r="A2177" s="3" t="str">
        <f>"11302207230"</f>
        <v>11302207230</v>
      </c>
      <c r="B2177" s="3">
        <v>2</v>
      </c>
      <c r="C2177" s="3">
        <v>72</v>
      </c>
      <c r="D2177" s="3">
        <v>30</v>
      </c>
      <c r="E2177" s="3" t="s">
        <v>10</v>
      </c>
      <c r="F2177" s="4">
        <v>75.5</v>
      </c>
      <c r="G2177" s="4"/>
      <c r="H2177" s="4">
        <f t="shared" si="208"/>
        <v>75.5</v>
      </c>
    </row>
    <row r="2178" ht="14.25" spans="1:8">
      <c r="A2178" s="3" t="str">
        <f>"11302207301"</f>
        <v>11302207301</v>
      </c>
      <c r="B2178" s="3">
        <v>2</v>
      </c>
      <c r="C2178" s="3">
        <v>73</v>
      </c>
      <c r="D2178" s="3">
        <v>1</v>
      </c>
      <c r="E2178" s="3" t="s">
        <v>10</v>
      </c>
      <c r="F2178" s="4">
        <v>58.5</v>
      </c>
      <c r="G2178" s="4"/>
      <c r="H2178" s="4">
        <f t="shared" si="208"/>
        <v>58.5</v>
      </c>
    </row>
    <row r="2179" ht="14.25" spans="1:8">
      <c r="A2179" s="3" t="str">
        <f>"11302207302"</f>
        <v>11302207302</v>
      </c>
      <c r="B2179" s="3">
        <v>2</v>
      </c>
      <c r="C2179" s="3">
        <v>73</v>
      </c>
      <c r="D2179" s="3">
        <v>2</v>
      </c>
      <c r="E2179" s="3" t="s">
        <v>10</v>
      </c>
      <c r="F2179" s="4">
        <v>89.5</v>
      </c>
      <c r="G2179" s="4"/>
      <c r="H2179" s="4">
        <f t="shared" si="208"/>
        <v>89.5</v>
      </c>
    </row>
    <row r="2180" ht="14.25" spans="1:8">
      <c r="A2180" s="3" t="str">
        <f>"11302207303"</f>
        <v>11302207303</v>
      </c>
      <c r="B2180" s="3">
        <v>2</v>
      </c>
      <c r="C2180" s="3">
        <v>73</v>
      </c>
      <c r="D2180" s="3">
        <v>3</v>
      </c>
      <c r="E2180" s="3" t="s">
        <v>10</v>
      </c>
      <c r="F2180" s="4">
        <v>68</v>
      </c>
      <c r="G2180" s="4"/>
      <c r="H2180" s="4">
        <f t="shared" si="208"/>
        <v>68</v>
      </c>
    </row>
    <row r="2181" ht="14.25" spans="1:8">
      <c r="A2181" s="3" t="str">
        <f>"11302207304"</f>
        <v>11302207304</v>
      </c>
      <c r="B2181" s="3">
        <v>2</v>
      </c>
      <c r="C2181" s="3">
        <v>73</v>
      </c>
      <c r="D2181" s="3">
        <v>4</v>
      </c>
      <c r="E2181" s="3" t="s">
        <v>10</v>
      </c>
      <c r="F2181" s="4">
        <v>71</v>
      </c>
      <c r="G2181" s="4"/>
      <c r="H2181" s="4">
        <f t="shared" si="208"/>
        <v>71</v>
      </c>
    </row>
    <row r="2182" ht="14.25" spans="1:8">
      <c r="A2182" s="3" t="str">
        <f>"11302207305"</f>
        <v>11302207305</v>
      </c>
      <c r="B2182" s="3">
        <v>2</v>
      </c>
      <c r="C2182" s="3">
        <v>73</v>
      </c>
      <c r="D2182" s="3">
        <v>5</v>
      </c>
      <c r="E2182" s="3" t="s">
        <v>10</v>
      </c>
      <c r="F2182" s="4">
        <v>69.5</v>
      </c>
      <c r="G2182" s="4"/>
      <c r="H2182" s="4">
        <f t="shared" si="208"/>
        <v>69.5</v>
      </c>
    </row>
    <row r="2183" ht="14.25" spans="1:8">
      <c r="A2183" s="3" t="str">
        <f>"11302207306"</f>
        <v>11302207306</v>
      </c>
      <c r="B2183" s="3">
        <v>2</v>
      </c>
      <c r="C2183" s="3">
        <v>73</v>
      </c>
      <c r="D2183" s="3">
        <v>6</v>
      </c>
      <c r="E2183" s="3" t="s">
        <v>10</v>
      </c>
      <c r="F2183" s="3">
        <v>0</v>
      </c>
      <c r="G2183" s="4"/>
      <c r="H2183" s="3">
        <v>0</v>
      </c>
    </row>
    <row r="2184" ht="14.25" spans="1:8">
      <c r="A2184" s="3" t="str">
        <f>"11302207307"</f>
        <v>11302207307</v>
      </c>
      <c r="B2184" s="3">
        <v>2</v>
      </c>
      <c r="C2184" s="3">
        <v>73</v>
      </c>
      <c r="D2184" s="3">
        <v>7</v>
      </c>
      <c r="E2184" s="3" t="s">
        <v>10</v>
      </c>
      <c r="F2184" s="4">
        <v>84</v>
      </c>
      <c r="G2184" s="4"/>
      <c r="H2184" s="4">
        <f t="shared" ref="H2184:H2190" si="209">F2184+G2184</f>
        <v>84</v>
      </c>
    </row>
    <row r="2185" ht="14.25" spans="1:8">
      <c r="A2185" s="3" t="str">
        <f>"11302207308"</f>
        <v>11302207308</v>
      </c>
      <c r="B2185" s="3">
        <v>2</v>
      </c>
      <c r="C2185" s="3">
        <v>73</v>
      </c>
      <c r="D2185" s="3">
        <v>8</v>
      </c>
      <c r="E2185" s="3" t="s">
        <v>10</v>
      </c>
      <c r="F2185" s="4">
        <v>74</v>
      </c>
      <c r="G2185" s="4"/>
      <c r="H2185" s="4">
        <f t="shared" si="209"/>
        <v>74</v>
      </c>
    </row>
    <row r="2186" ht="14.25" spans="1:8">
      <c r="A2186" s="3" t="str">
        <f>"11302207309"</f>
        <v>11302207309</v>
      </c>
      <c r="B2186" s="3">
        <v>2</v>
      </c>
      <c r="C2186" s="3">
        <v>73</v>
      </c>
      <c r="D2186" s="3">
        <v>9</v>
      </c>
      <c r="E2186" s="3" t="s">
        <v>10</v>
      </c>
      <c r="F2186" s="4">
        <v>86.5</v>
      </c>
      <c r="G2186" s="4"/>
      <c r="H2186" s="4">
        <f t="shared" si="209"/>
        <v>86.5</v>
      </c>
    </row>
    <row r="2187" ht="14.25" spans="1:8">
      <c r="A2187" s="3" t="str">
        <f>"11302207310"</f>
        <v>11302207310</v>
      </c>
      <c r="B2187" s="3">
        <v>2</v>
      </c>
      <c r="C2187" s="3">
        <v>73</v>
      </c>
      <c r="D2187" s="3">
        <v>10</v>
      </c>
      <c r="E2187" s="3" t="s">
        <v>10</v>
      </c>
      <c r="F2187" s="4">
        <v>82</v>
      </c>
      <c r="G2187" s="4"/>
      <c r="H2187" s="4">
        <f t="shared" si="209"/>
        <v>82</v>
      </c>
    </row>
    <row r="2188" ht="14.25" spans="1:8">
      <c r="A2188" s="3" t="str">
        <f>"11302207311"</f>
        <v>11302207311</v>
      </c>
      <c r="B2188" s="3">
        <v>2</v>
      </c>
      <c r="C2188" s="3">
        <v>73</v>
      </c>
      <c r="D2188" s="3">
        <v>11</v>
      </c>
      <c r="E2188" s="3" t="s">
        <v>10</v>
      </c>
      <c r="F2188" s="4">
        <v>71</v>
      </c>
      <c r="G2188" s="4"/>
      <c r="H2188" s="4">
        <f t="shared" si="209"/>
        <v>71</v>
      </c>
    </row>
    <row r="2189" ht="14.25" spans="1:8">
      <c r="A2189" s="3" t="str">
        <f>"11302207312"</f>
        <v>11302207312</v>
      </c>
      <c r="B2189" s="3">
        <v>2</v>
      </c>
      <c r="C2189" s="3">
        <v>73</v>
      </c>
      <c r="D2189" s="3">
        <v>12</v>
      </c>
      <c r="E2189" s="3" t="s">
        <v>10</v>
      </c>
      <c r="F2189" s="4">
        <v>81.5</v>
      </c>
      <c r="G2189" s="4"/>
      <c r="H2189" s="4">
        <f t="shared" si="209"/>
        <v>81.5</v>
      </c>
    </row>
    <row r="2190" ht="14.25" spans="1:8">
      <c r="A2190" s="3" t="str">
        <f>"11302207313"</f>
        <v>11302207313</v>
      </c>
      <c r="B2190" s="3">
        <v>2</v>
      </c>
      <c r="C2190" s="3">
        <v>73</v>
      </c>
      <c r="D2190" s="3">
        <v>13</v>
      </c>
      <c r="E2190" s="3" t="s">
        <v>10</v>
      </c>
      <c r="F2190" s="4">
        <v>70</v>
      </c>
      <c r="G2190" s="4"/>
      <c r="H2190" s="4">
        <f t="shared" si="209"/>
        <v>70</v>
      </c>
    </row>
    <row r="2191" ht="14.25" spans="1:8">
      <c r="A2191" s="3" t="str">
        <f>"11302207314"</f>
        <v>11302207314</v>
      </c>
      <c r="B2191" s="3">
        <v>2</v>
      </c>
      <c r="C2191" s="3">
        <v>73</v>
      </c>
      <c r="D2191" s="3">
        <v>14</v>
      </c>
      <c r="E2191" s="3" t="s">
        <v>10</v>
      </c>
      <c r="F2191" s="3">
        <v>0</v>
      </c>
      <c r="G2191" s="4"/>
      <c r="H2191" s="3">
        <v>0</v>
      </c>
    </row>
    <row r="2192" ht="14.25" spans="1:8">
      <c r="A2192" s="3" t="str">
        <f>"11302207315"</f>
        <v>11302207315</v>
      </c>
      <c r="B2192" s="3">
        <v>2</v>
      </c>
      <c r="C2192" s="3">
        <v>73</v>
      </c>
      <c r="D2192" s="3">
        <v>15</v>
      </c>
      <c r="E2192" s="3" t="s">
        <v>10</v>
      </c>
      <c r="F2192" s="4">
        <v>72</v>
      </c>
      <c r="G2192" s="4"/>
      <c r="H2192" s="4">
        <f t="shared" ref="H2192:H2198" si="210">F2192+G2192</f>
        <v>72</v>
      </c>
    </row>
    <row r="2193" ht="14.25" spans="1:8">
      <c r="A2193" s="3" t="str">
        <f>"11302207316"</f>
        <v>11302207316</v>
      </c>
      <c r="B2193" s="3">
        <v>2</v>
      </c>
      <c r="C2193" s="3">
        <v>73</v>
      </c>
      <c r="D2193" s="3">
        <v>16</v>
      </c>
      <c r="E2193" s="3" t="s">
        <v>10</v>
      </c>
      <c r="F2193" s="4">
        <v>81</v>
      </c>
      <c r="G2193" s="4"/>
      <c r="H2193" s="4">
        <f t="shared" si="210"/>
        <v>81</v>
      </c>
    </row>
    <row r="2194" ht="14.25" spans="1:8">
      <c r="A2194" s="3" t="str">
        <f>"11302207317"</f>
        <v>11302207317</v>
      </c>
      <c r="B2194" s="3">
        <v>2</v>
      </c>
      <c r="C2194" s="3">
        <v>73</v>
      </c>
      <c r="D2194" s="3">
        <v>17</v>
      </c>
      <c r="E2194" s="3" t="s">
        <v>10</v>
      </c>
      <c r="F2194" s="4">
        <v>49.5</v>
      </c>
      <c r="G2194" s="4"/>
      <c r="H2194" s="4">
        <f t="shared" si="210"/>
        <v>49.5</v>
      </c>
    </row>
    <row r="2195" ht="14.25" spans="1:8">
      <c r="A2195" s="3" t="str">
        <f>"11302207318"</f>
        <v>11302207318</v>
      </c>
      <c r="B2195" s="3">
        <v>2</v>
      </c>
      <c r="C2195" s="3">
        <v>73</v>
      </c>
      <c r="D2195" s="3">
        <v>18</v>
      </c>
      <c r="E2195" s="3" t="s">
        <v>10</v>
      </c>
      <c r="F2195" s="4">
        <v>78.5</v>
      </c>
      <c r="G2195" s="4"/>
      <c r="H2195" s="4">
        <f t="shared" si="210"/>
        <v>78.5</v>
      </c>
    </row>
    <row r="2196" ht="14.25" spans="1:8">
      <c r="A2196" s="3" t="str">
        <f>"11302207319"</f>
        <v>11302207319</v>
      </c>
      <c r="B2196" s="3">
        <v>2</v>
      </c>
      <c r="C2196" s="3">
        <v>73</v>
      </c>
      <c r="D2196" s="3">
        <v>19</v>
      </c>
      <c r="E2196" s="3" t="s">
        <v>10</v>
      </c>
      <c r="F2196" s="4">
        <v>73</v>
      </c>
      <c r="G2196" s="4"/>
      <c r="H2196" s="4">
        <f t="shared" si="210"/>
        <v>73</v>
      </c>
    </row>
    <row r="2197" ht="14.25" spans="1:8">
      <c r="A2197" s="3" t="str">
        <f>"11302207320"</f>
        <v>11302207320</v>
      </c>
      <c r="B2197" s="3">
        <v>2</v>
      </c>
      <c r="C2197" s="3">
        <v>73</v>
      </c>
      <c r="D2197" s="3">
        <v>20</v>
      </c>
      <c r="E2197" s="3" t="s">
        <v>10</v>
      </c>
      <c r="F2197" s="4">
        <v>70</v>
      </c>
      <c r="G2197" s="4"/>
      <c r="H2197" s="4">
        <f t="shared" si="210"/>
        <v>70</v>
      </c>
    </row>
    <row r="2198" ht="14.25" spans="1:8">
      <c r="A2198" s="3" t="str">
        <f>"11302207321"</f>
        <v>11302207321</v>
      </c>
      <c r="B2198" s="3">
        <v>2</v>
      </c>
      <c r="C2198" s="3">
        <v>73</v>
      </c>
      <c r="D2198" s="3">
        <v>21</v>
      </c>
      <c r="E2198" s="3" t="s">
        <v>10</v>
      </c>
      <c r="F2198" s="4">
        <v>73</v>
      </c>
      <c r="G2198" s="4"/>
      <c r="H2198" s="4">
        <f t="shared" si="210"/>
        <v>73</v>
      </c>
    </row>
    <row r="2199" ht="14.25" spans="1:8">
      <c r="A2199" s="3" t="str">
        <f>"11302207322"</f>
        <v>11302207322</v>
      </c>
      <c r="B2199" s="3">
        <v>2</v>
      </c>
      <c r="C2199" s="3">
        <v>73</v>
      </c>
      <c r="D2199" s="3">
        <v>22</v>
      </c>
      <c r="E2199" s="3" t="s">
        <v>10</v>
      </c>
      <c r="F2199" s="3">
        <v>0</v>
      </c>
      <c r="G2199" s="4"/>
      <c r="H2199" s="3">
        <v>0</v>
      </c>
    </row>
    <row r="2200" ht="14.25" spans="1:8">
      <c r="A2200" s="3" t="str">
        <f>"11302207323"</f>
        <v>11302207323</v>
      </c>
      <c r="B2200" s="3">
        <v>2</v>
      </c>
      <c r="C2200" s="3">
        <v>73</v>
      </c>
      <c r="D2200" s="3">
        <v>23</v>
      </c>
      <c r="E2200" s="3" t="s">
        <v>10</v>
      </c>
      <c r="F2200" s="4">
        <v>82</v>
      </c>
      <c r="G2200" s="4"/>
      <c r="H2200" s="4">
        <f t="shared" ref="H2200:H2204" si="211">F2200+G2200</f>
        <v>82</v>
      </c>
    </row>
    <row r="2201" ht="14.25" spans="1:8">
      <c r="A2201" s="3" t="str">
        <f>"11302207324"</f>
        <v>11302207324</v>
      </c>
      <c r="B2201" s="3">
        <v>2</v>
      </c>
      <c r="C2201" s="3">
        <v>73</v>
      </c>
      <c r="D2201" s="3">
        <v>24</v>
      </c>
      <c r="E2201" s="3" t="s">
        <v>10</v>
      </c>
      <c r="F2201" s="4">
        <v>81</v>
      </c>
      <c r="G2201" s="4"/>
      <c r="H2201" s="4">
        <f t="shared" si="211"/>
        <v>81</v>
      </c>
    </row>
    <row r="2202" ht="14.25" spans="1:8">
      <c r="A2202" s="3" t="str">
        <f>"11302207325"</f>
        <v>11302207325</v>
      </c>
      <c r="B2202" s="3">
        <v>2</v>
      </c>
      <c r="C2202" s="3">
        <v>73</v>
      </c>
      <c r="D2202" s="3">
        <v>25</v>
      </c>
      <c r="E2202" s="3" t="s">
        <v>10</v>
      </c>
      <c r="F2202" s="4">
        <v>49.5</v>
      </c>
      <c r="G2202" s="4"/>
      <c r="H2202" s="4">
        <f t="shared" si="211"/>
        <v>49.5</v>
      </c>
    </row>
    <row r="2203" ht="14.25" spans="1:8">
      <c r="A2203" s="3" t="str">
        <f>"11302207326"</f>
        <v>11302207326</v>
      </c>
      <c r="B2203" s="3">
        <v>2</v>
      </c>
      <c r="C2203" s="3">
        <v>73</v>
      </c>
      <c r="D2203" s="3">
        <v>26</v>
      </c>
      <c r="E2203" s="3" t="s">
        <v>10</v>
      </c>
      <c r="F2203" s="4">
        <v>82.5</v>
      </c>
      <c r="G2203" s="4"/>
      <c r="H2203" s="4">
        <f t="shared" si="211"/>
        <v>82.5</v>
      </c>
    </row>
    <row r="2204" ht="14.25" spans="1:8">
      <c r="A2204" s="3" t="str">
        <f>"11302207327"</f>
        <v>11302207327</v>
      </c>
      <c r="B2204" s="3">
        <v>2</v>
      </c>
      <c r="C2204" s="3">
        <v>73</v>
      </c>
      <c r="D2204" s="3">
        <v>27</v>
      </c>
      <c r="E2204" s="3" t="s">
        <v>10</v>
      </c>
      <c r="F2204" s="4">
        <v>85</v>
      </c>
      <c r="G2204" s="4"/>
      <c r="H2204" s="4">
        <f t="shared" si="211"/>
        <v>85</v>
      </c>
    </row>
    <row r="2205" ht="14.25" spans="1:8">
      <c r="A2205" s="3" t="str">
        <f>"11302207328"</f>
        <v>11302207328</v>
      </c>
      <c r="B2205" s="3">
        <v>2</v>
      </c>
      <c r="C2205" s="3">
        <v>73</v>
      </c>
      <c r="D2205" s="3">
        <v>28</v>
      </c>
      <c r="E2205" s="3" t="s">
        <v>10</v>
      </c>
      <c r="F2205" s="3">
        <v>0</v>
      </c>
      <c r="G2205" s="4"/>
      <c r="H2205" s="3">
        <v>0</v>
      </c>
    </row>
    <row r="2206" ht="14.25" spans="1:8">
      <c r="A2206" s="3" t="str">
        <f>"11302207329"</f>
        <v>11302207329</v>
      </c>
      <c r="B2206" s="3">
        <v>2</v>
      </c>
      <c r="C2206" s="3">
        <v>73</v>
      </c>
      <c r="D2206" s="3">
        <v>29</v>
      </c>
      <c r="E2206" s="3" t="s">
        <v>10</v>
      </c>
      <c r="F2206" s="3">
        <v>0</v>
      </c>
      <c r="G2206" s="4"/>
      <c r="H2206" s="3">
        <v>0</v>
      </c>
    </row>
    <row r="2207" ht="14.25" spans="1:8">
      <c r="A2207" s="3" t="str">
        <f>"11303207330"</f>
        <v>11303207330</v>
      </c>
      <c r="B2207" s="3">
        <v>2</v>
      </c>
      <c r="C2207" s="3">
        <v>73</v>
      </c>
      <c r="D2207" s="3">
        <v>30</v>
      </c>
      <c r="E2207" s="3" t="s">
        <v>10</v>
      </c>
      <c r="F2207" s="3">
        <v>0</v>
      </c>
      <c r="G2207" s="4"/>
      <c r="H2207" s="3">
        <v>0</v>
      </c>
    </row>
    <row r="2208" ht="14.25" spans="1:8">
      <c r="A2208" s="3" t="str">
        <f>"11303207401"</f>
        <v>11303207401</v>
      </c>
      <c r="B2208" s="3">
        <v>2</v>
      </c>
      <c r="C2208" s="3">
        <v>74</v>
      </c>
      <c r="D2208" s="3">
        <v>1</v>
      </c>
      <c r="E2208" s="3" t="s">
        <v>10</v>
      </c>
      <c r="F2208" s="4">
        <v>72</v>
      </c>
      <c r="G2208" s="4"/>
      <c r="H2208" s="4">
        <f t="shared" ref="H2208:H2213" si="212">F2208+G2208</f>
        <v>72</v>
      </c>
    </row>
    <row r="2209" ht="14.25" spans="1:8">
      <c r="A2209" s="3" t="str">
        <f>"11303207402"</f>
        <v>11303207402</v>
      </c>
      <c r="B2209" s="3">
        <v>2</v>
      </c>
      <c r="C2209" s="3">
        <v>74</v>
      </c>
      <c r="D2209" s="3">
        <v>2</v>
      </c>
      <c r="E2209" s="3" t="s">
        <v>10</v>
      </c>
      <c r="F2209" s="4">
        <v>47.5</v>
      </c>
      <c r="G2209" s="4"/>
      <c r="H2209" s="4">
        <f t="shared" si="212"/>
        <v>47.5</v>
      </c>
    </row>
    <row r="2210" ht="14.25" spans="1:8">
      <c r="A2210" s="3" t="str">
        <f>"11303207403"</f>
        <v>11303207403</v>
      </c>
      <c r="B2210" s="3">
        <v>2</v>
      </c>
      <c r="C2210" s="3">
        <v>74</v>
      </c>
      <c r="D2210" s="3">
        <v>3</v>
      </c>
      <c r="E2210" s="3" t="s">
        <v>10</v>
      </c>
      <c r="F2210" s="4">
        <v>57</v>
      </c>
      <c r="G2210" s="4"/>
      <c r="H2210" s="4">
        <f t="shared" si="212"/>
        <v>57</v>
      </c>
    </row>
    <row r="2211" ht="14.25" spans="1:8">
      <c r="A2211" s="3" t="str">
        <f>"11303207404"</f>
        <v>11303207404</v>
      </c>
      <c r="B2211" s="3">
        <v>2</v>
      </c>
      <c r="C2211" s="3">
        <v>74</v>
      </c>
      <c r="D2211" s="3">
        <v>4</v>
      </c>
      <c r="E2211" s="3" t="s">
        <v>10</v>
      </c>
      <c r="F2211" s="4">
        <v>65</v>
      </c>
      <c r="G2211" s="4"/>
      <c r="H2211" s="4">
        <f t="shared" si="212"/>
        <v>65</v>
      </c>
    </row>
    <row r="2212" ht="14.25" spans="1:8">
      <c r="A2212" s="3" t="str">
        <f>"11303207405"</f>
        <v>11303207405</v>
      </c>
      <c r="B2212" s="3">
        <v>2</v>
      </c>
      <c r="C2212" s="3">
        <v>74</v>
      </c>
      <c r="D2212" s="3">
        <v>5</v>
      </c>
      <c r="E2212" s="3" t="s">
        <v>10</v>
      </c>
      <c r="F2212" s="4">
        <v>73.5</v>
      </c>
      <c r="G2212" s="4"/>
      <c r="H2212" s="4">
        <f t="shared" si="212"/>
        <v>73.5</v>
      </c>
    </row>
    <row r="2213" ht="14.25" spans="1:8">
      <c r="A2213" s="3" t="str">
        <f>"11303207406"</f>
        <v>11303207406</v>
      </c>
      <c r="B2213" s="3">
        <v>2</v>
      </c>
      <c r="C2213" s="3">
        <v>74</v>
      </c>
      <c r="D2213" s="3">
        <v>6</v>
      </c>
      <c r="E2213" s="3" t="s">
        <v>10</v>
      </c>
      <c r="F2213" s="4">
        <v>67</v>
      </c>
      <c r="G2213" s="4"/>
      <c r="H2213" s="4">
        <f t="shared" si="212"/>
        <v>67</v>
      </c>
    </row>
    <row r="2214" ht="14.25" spans="1:8">
      <c r="A2214" s="3" t="str">
        <f>"11303207407"</f>
        <v>11303207407</v>
      </c>
      <c r="B2214" s="3">
        <v>2</v>
      </c>
      <c r="C2214" s="3">
        <v>74</v>
      </c>
      <c r="D2214" s="3">
        <v>7</v>
      </c>
      <c r="E2214" s="3" t="s">
        <v>10</v>
      </c>
      <c r="F2214" s="3">
        <v>0</v>
      </c>
      <c r="G2214" s="4"/>
      <c r="H2214" s="3">
        <v>0</v>
      </c>
    </row>
    <row r="2215" ht="14.25" spans="1:8">
      <c r="A2215" s="3" t="str">
        <f>"11303207408"</f>
        <v>11303207408</v>
      </c>
      <c r="B2215" s="3">
        <v>2</v>
      </c>
      <c r="C2215" s="3">
        <v>74</v>
      </c>
      <c r="D2215" s="3">
        <v>8</v>
      </c>
      <c r="E2215" s="3" t="s">
        <v>10</v>
      </c>
      <c r="F2215" s="4">
        <v>47.5</v>
      </c>
      <c r="G2215" s="4"/>
      <c r="H2215" s="4">
        <f t="shared" ref="H2215:H2217" si="213">F2215+G2215</f>
        <v>47.5</v>
      </c>
    </row>
    <row r="2216" ht="14.25" spans="1:8">
      <c r="A2216" s="3" t="str">
        <f>"11303207409"</f>
        <v>11303207409</v>
      </c>
      <c r="B2216" s="3">
        <v>2</v>
      </c>
      <c r="C2216" s="3">
        <v>74</v>
      </c>
      <c r="D2216" s="3">
        <v>9</v>
      </c>
      <c r="E2216" s="3" t="s">
        <v>10</v>
      </c>
      <c r="F2216" s="4">
        <v>67</v>
      </c>
      <c r="G2216" s="4"/>
      <c r="H2216" s="4">
        <f t="shared" si="213"/>
        <v>67</v>
      </c>
    </row>
    <row r="2217" ht="14.25" spans="1:8">
      <c r="A2217" s="3" t="str">
        <f>"11303207410"</f>
        <v>11303207410</v>
      </c>
      <c r="B2217" s="3">
        <v>2</v>
      </c>
      <c r="C2217" s="3">
        <v>74</v>
      </c>
      <c r="D2217" s="3">
        <v>10</v>
      </c>
      <c r="E2217" s="3" t="s">
        <v>10</v>
      </c>
      <c r="F2217" s="4">
        <v>81</v>
      </c>
      <c r="G2217" s="4"/>
      <c r="H2217" s="4">
        <f t="shared" si="213"/>
        <v>81</v>
      </c>
    </row>
    <row r="2218" ht="14.25" spans="1:8">
      <c r="A2218" s="3" t="str">
        <f>"11303207411"</f>
        <v>11303207411</v>
      </c>
      <c r="B2218" s="3">
        <v>2</v>
      </c>
      <c r="C2218" s="3">
        <v>74</v>
      </c>
      <c r="D2218" s="3">
        <v>11</v>
      </c>
      <c r="E2218" s="3" t="s">
        <v>10</v>
      </c>
      <c r="F2218" s="3">
        <v>0</v>
      </c>
      <c r="G2218" s="4"/>
      <c r="H2218" s="3">
        <v>0</v>
      </c>
    </row>
    <row r="2219" ht="14.25" spans="1:8">
      <c r="A2219" s="3" t="str">
        <f>"11303207412"</f>
        <v>11303207412</v>
      </c>
      <c r="B2219" s="3">
        <v>2</v>
      </c>
      <c r="C2219" s="3">
        <v>74</v>
      </c>
      <c r="D2219" s="3">
        <v>12</v>
      </c>
      <c r="E2219" s="3" t="s">
        <v>10</v>
      </c>
      <c r="F2219" s="4">
        <v>79.5</v>
      </c>
      <c r="G2219" s="4"/>
      <c r="H2219" s="4">
        <f t="shared" ref="H2219:H2223" si="214">F2219+G2219</f>
        <v>79.5</v>
      </c>
    </row>
    <row r="2220" ht="14.25" spans="1:8">
      <c r="A2220" s="3" t="str">
        <f>"11303207413"</f>
        <v>11303207413</v>
      </c>
      <c r="B2220" s="3">
        <v>2</v>
      </c>
      <c r="C2220" s="3">
        <v>74</v>
      </c>
      <c r="D2220" s="3">
        <v>13</v>
      </c>
      <c r="E2220" s="3" t="s">
        <v>10</v>
      </c>
      <c r="F2220" s="4">
        <v>70</v>
      </c>
      <c r="G2220" s="4"/>
      <c r="H2220" s="4">
        <f t="shared" si="214"/>
        <v>70</v>
      </c>
    </row>
    <row r="2221" ht="14.25" spans="1:8">
      <c r="A2221" s="3" t="str">
        <f>"11303207414"</f>
        <v>11303207414</v>
      </c>
      <c r="B2221" s="3">
        <v>2</v>
      </c>
      <c r="C2221" s="3">
        <v>74</v>
      </c>
      <c r="D2221" s="3">
        <v>14</v>
      </c>
      <c r="E2221" s="3" t="s">
        <v>10</v>
      </c>
      <c r="F2221" s="4">
        <v>43</v>
      </c>
      <c r="G2221" s="4"/>
      <c r="H2221" s="4">
        <f t="shared" si="214"/>
        <v>43</v>
      </c>
    </row>
    <row r="2222" ht="14.25" spans="1:8">
      <c r="A2222" s="3" t="str">
        <f>"11303207415"</f>
        <v>11303207415</v>
      </c>
      <c r="B2222" s="3">
        <v>2</v>
      </c>
      <c r="C2222" s="3">
        <v>74</v>
      </c>
      <c r="D2222" s="3">
        <v>15</v>
      </c>
      <c r="E2222" s="3" t="s">
        <v>10</v>
      </c>
      <c r="F2222" s="4">
        <v>76.5</v>
      </c>
      <c r="G2222" s="4"/>
      <c r="H2222" s="4">
        <f t="shared" si="214"/>
        <v>76.5</v>
      </c>
    </row>
    <row r="2223" ht="14.25" spans="1:8">
      <c r="A2223" s="3" t="str">
        <f>"11303207416"</f>
        <v>11303207416</v>
      </c>
      <c r="B2223" s="3">
        <v>2</v>
      </c>
      <c r="C2223" s="3">
        <v>74</v>
      </c>
      <c r="D2223" s="3">
        <v>16</v>
      </c>
      <c r="E2223" s="3" t="s">
        <v>10</v>
      </c>
      <c r="F2223" s="4">
        <v>64.5</v>
      </c>
      <c r="G2223" s="4"/>
      <c r="H2223" s="4">
        <f t="shared" si="214"/>
        <v>64.5</v>
      </c>
    </row>
    <row r="2224" ht="14.25" spans="1:8">
      <c r="A2224" s="3" t="str">
        <f>"11303207417"</f>
        <v>11303207417</v>
      </c>
      <c r="B2224" s="3">
        <v>2</v>
      </c>
      <c r="C2224" s="3">
        <v>74</v>
      </c>
      <c r="D2224" s="3">
        <v>17</v>
      </c>
      <c r="E2224" s="3" t="s">
        <v>10</v>
      </c>
      <c r="F2224" s="3">
        <v>0</v>
      </c>
      <c r="G2224" s="4"/>
      <c r="H2224" s="3">
        <v>0</v>
      </c>
    </row>
    <row r="2225" ht="14.25" spans="1:8">
      <c r="A2225" s="3" t="str">
        <f>"11303207418"</f>
        <v>11303207418</v>
      </c>
      <c r="B2225" s="3">
        <v>2</v>
      </c>
      <c r="C2225" s="3">
        <v>74</v>
      </c>
      <c r="D2225" s="3">
        <v>18</v>
      </c>
      <c r="E2225" s="3" t="s">
        <v>10</v>
      </c>
      <c r="F2225" s="4">
        <v>82.5</v>
      </c>
      <c r="G2225" s="4"/>
      <c r="H2225" s="4">
        <f t="shared" ref="H2225:H2227" si="215">F2225+G2225</f>
        <v>82.5</v>
      </c>
    </row>
    <row r="2226" ht="14.25" spans="1:8">
      <c r="A2226" s="3" t="str">
        <f>"11303207419"</f>
        <v>11303207419</v>
      </c>
      <c r="B2226" s="3">
        <v>2</v>
      </c>
      <c r="C2226" s="3">
        <v>74</v>
      </c>
      <c r="D2226" s="3">
        <v>19</v>
      </c>
      <c r="E2226" s="3" t="s">
        <v>10</v>
      </c>
      <c r="F2226" s="4">
        <v>76</v>
      </c>
      <c r="G2226" s="4"/>
      <c r="H2226" s="4">
        <f t="shared" si="215"/>
        <v>76</v>
      </c>
    </row>
    <row r="2227" ht="14.25" spans="1:8">
      <c r="A2227" s="3" t="str">
        <f>"11303207420"</f>
        <v>11303207420</v>
      </c>
      <c r="B2227" s="3">
        <v>2</v>
      </c>
      <c r="C2227" s="3">
        <v>74</v>
      </c>
      <c r="D2227" s="3">
        <v>20</v>
      </c>
      <c r="E2227" s="3" t="s">
        <v>10</v>
      </c>
      <c r="F2227" s="4">
        <v>55.5</v>
      </c>
      <c r="G2227" s="4"/>
      <c r="H2227" s="4">
        <f t="shared" si="215"/>
        <v>55.5</v>
      </c>
    </row>
    <row r="2228" ht="14.25" spans="1:8">
      <c r="A2228" s="3" t="str">
        <f>"11303207421"</f>
        <v>11303207421</v>
      </c>
      <c r="B2228" s="3">
        <v>2</v>
      </c>
      <c r="C2228" s="3">
        <v>74</v>
      </c>
      <c r="D2228" s="3">
        <v>21</v>
      </c>
      <c r="E2228" s="3" t="s">
        <v>10</v>
      </c>
      <c r="F2228" s="3">
        <v>0</v>
      </c>
      <c r="G2228" s="4"/>
      <c r="H2228" s="3">
        <v>0</v>
      </c>
    </row>
    <row r="2229" ht="14.25" spans="1:8">
      <c r="A2229" s="3" t="str">
        <f>"11303207422"</f>
        <v>11303207422</v>
      </c>
      <c r="B2229" s="3">
        <v>2</v>
      </c>
      <c r="C2229" s="3">
        <v>74</v>
      </c>
      <c r="D2229" s="3">
        <v>22</v>
      </c>
      <c r="E2229" s="3" t="s">
        <v>10</v>
      </c>
      <c r="F2229" s="4">
        <v>61</v>
      </c>
      <c r="G2229" s="4"/>
      <c r="H2229" s="4">
        <f t="shared" ref="H2229:H2238" si="216">F2229+G2229</f>
        <v>61</v>
      </c>
    </row>
    <row r="2230" ht="14.25" spans="1:8">
      <c r="A2230" s="3" t="str">
        <f>"11303207423"</f>
        <v>11303207423</v>
      </c>
      <c r="B2230" s="3">
        <v>2</v>
      </c>
      <c r="C2230" s="3">
        <v>74</v>
      </c>
      <c r="D2230" s="3">
        <v>23</v>
      </c>
      <c r="E2230" s="3" t="s">
        <v>10</v>
      </c>
      <c r="F2230" s="3">
        <v>0</v>
      </c>
      <c r="G2230" s="4"/>
      <c r="H2230" s="3">
        <v>0</v>
      </c>
    </row>
    <row r="2231" ht="14.25" spans="1:8">
      <c r="A2231" s="3" t="str">
        <f>"11303207424"</f>
        <v>11303207424</v>
      </c>
      <c r="B2231" s="3">
        <v>2</v>
      </c>
      <c r="C2231" s="3">
        <v>74</v>
      </c>
      <c r="D2231" s="3">
        <v>24</v>
      </c>
      <c r="E2231" s="3" t="s">
        <v>10</v>
      </c>
      <c r="F2231" s="4">
        <v>53</v>
      </c>
      <c r="G2231" s="4"/>
      <c r="H2231" s="4">
        <f t="shared" si="216"/>
        <v>53</v>
      </c>
    </row>
    <row r="2232" ht="14.25" spans="1:8">
      <c r="A2232" s="3" t="str">
        <f>"11303207425"</f>
        <v>11303207425</v>
      </c>
      <c r="B2232" s="3">
        <v>2</v>
      </c>
      <c r="C2232" s="3">
        <v>74</v>
      </c>
      <c r="D2232" s="3">
        <v>25</v>
      </c>
      <c r="E2232" s="3" t="s">
        <v>10</v>
      </c>
      <c r="F2232" s="4">
        <v>75</v>
      </c>
      <c r="G2232" s="4"/>
      <c r="H2232" s="4">
        <f t="shared" si="216"/>
        <v>75</v>
      </c>
    </row>
    <row r="2233" ht="14.25" spans="1:8">
      <c r="A2233" s="3" t="str">
        <f>"11303207426"</f>
        <v>11303207426</v>
      </c>
      <c r="B2233" s="3">
        <v>2</v>
      </c>
      <c r="C2233" s="3">
        <v>74</v>
      </c>
      <c r="D2233" s="3">
        <v>26</v>
      </c>
      <c r="E2233" s="3" t="s">
        <v>10</v>
      </c>
      <c r="F2233" s="4">
        <v>73.5</v>
      </c>
      <c r="G2233" s="4"/>
      <c r="H2233" s="4">
        <f t="shared" si="216"/>
        <v>73.5</v>
      </c>
    </row>
    <row r="2234" ht="14.25" spans="1:8">
      <c r="A2234" s="3" t="str">
        <f>"11303207427"</f>
        <v>11303207427</v>
      </c>
      <c r="B2234" s="3">
        <v>2</v>
      </c>
      <c r="C2234" s="3">
        <v>74</v>
      </c>
      <c r="D2234" s="3">
        <v>27</v>
      </c>
      <c r="E2234" s="3" t="s">
        <v>10</v>
      </c>
      <c r="F2234" s="4">
        <v>86</v>
      </c>
      <c r="G2234" s="4"/>
      <c r="H2234" s="4">
        <f t="shared" si="216"/>
        <v>86</v>
      </c>
    </row>
    <row r="2235" ht="14.25" spans="1:8">
      <c r="A2235" s="3" t="str">
        <f>"11303207428"</f>
        <v>11303207428</v>
      </c>
      <c r="B2235" s="3">
        <v>2</v>
      </c>
      <c r="C2235" s="3">
        <v>74</v>
      </c>
      <c r="D2235" s="3">
        <v>28</v>
      </c>
      <c r="E2235" s="3" t="s">
        <v>10</v>
      </c>
      <c r="F2235" s="4">
        <v>79</v>
      </c>
      <c r="G2235" s="4"/>
      <c r="H2235" s="4">
        <f t="shared" si="216"/>
        <v>79</v>
      </c>
    </row>
    <row r="2236" ht="14.25" spans="1:8">
      <c r="A2236" s="3" t="str">
        <f>"11401207429"</f>
        <v>11401207429</v>
      </c>
      <c r="B2236" s="3">
        <v>2</v>
      </c>
      <c r="C2236" s="3">
        <v>74</v>
      </c>
      <c r="D2236" s="3">
        <v>29</v>
      </c>
      <c r="E2236" s="3" t="s">
        <v>10</v>
      </c>
      <c r="F2236" s="4">
        <v>84.5</v>
      </c>
      <c r="G2236" s="4"/>
      <c r="H2236" s="4">
        <f t="shared" si="216"/>
        <v>84.5</v>
      </c>
    </row>
    <row r="2237" ht="14.25" spans="1:8">
      <c r="A2237" s="3" t="str">
        <f>"11401207430"</f>
        <v>11401207430</v>
      </c>
      <c r="B2237" s="3">
        <v>2</v>
      </c>
      <c r="C2237" s="3">
        <v>74</v>
      </c>
      <c r="D2237" s="3">
        <v>30</v>
      </c>
      <c r="E2237" s="3" t="s">
        <v>10</v>
      </c>
      <c r="F2237" s="4">
        <v>55.5</v>
      </c>
      <c r="G2237" s="4"/>
      <c r="H2237" s="4">
        <f t="shared" si="216"/>
        <v>55.5</v>
      </c>
    </row>
    <row r="2238" ht="14.25" spans="1:8">
      <c r="A2238" s="3" t="str">
        <f>"11401207501"</f>
        <v>11401207501</v>
      </c>
      <c r="B2238" s="3">
        <v>2</v>
      </c>
      <c r="C2238" s="3">
        <v>75</v>
      </c>
      <c r="D2238" s="3">
        <v>1</v>
      </c>
      <c r="E2238" s="3" t="s">
        <v>10</v>
      </c>
      <c r="F2238" s="4">
        <v>75.5</v>
      </c>
      <c r="G2238" s="4"/>
      <c r="H2238" s="4">
        <f t="shared" si="216"/>
        <v>75.5</v>
      </c>
    </row>
    <row r="2239" ht="14.25" spans="1:8">
      <c r="A2239" s="3" t="str">
        <f>"11401207502"</f>
        <v>11401207502</v>
      </c>
      <c r="B2239" s="3">
        <v>2</v>
      </c>
      <c r="C2239" s="3">
        <v>75</v>
      </c>
      <c r="D2239" s="3">
        <v>2</v>
      </c>
      <c r="E2239" s="3" t="s">
        <v>10</v>
      </c>
      <c r="F2239" s="3">
        <v>0</v>
      </c>
      <c r="G2239" s="4"/>
      <c r="H2239" s="3">
        <v>0</v>
      </c>
    </row>
    <row r="2240" ht="14.25" spans="1:8">
      <c r="A2240" s="3" t="str">
        <f>"11401207503"</f>
        <v>11401207503</v>
      </c>
      <c r="B2240" s="3">
        <v>2</v>
      </c>
      <c r="C2240" s="3">
        <v>75</v>
      </c>
      <c r="D2240" s="3">
        <v>3</v>
      </c>
      <c r="E2240" s="3" t="s">
        <v>10</v>
      </c>
      <c r="F2240" s="3">
        <v>0</v>
      </c>
      <c r="G2240" s="4"/>
      <c r="H2240" s="3">
        <v>0</v>
      </c>
    </row>
    <row r="2241" ht="14.25" spans="1:8">
      <c r="A2241" s="3" t="str">
        <f>"11401207504"</f>
        <v>11401207504</v>
      </c>
      <c r="B2241" s="3">
        <v>2</v>
      </c>
      <c r="C2241" s="3">
        <v>75</v>
      </c>
      <c r="D2241" s="3">
        <v>4</v>
      </c>
      <c r="E2241" s="3" t="s">
        <v>10</v>
      </c>
      <c r="F2241" s="3">
        <v>0</v>
      </c>
      <c r="G2241" s="4"/>
      <c r="H2241" s="3">
        <v>0</v>
      </c>
    </row>
    <row r="2242" ht="14.25" spans="1:8">
      <c r="A2242" s="3" t="str">
        <f>"11401207505"</f>
        <v>11401207505</v>
      </c>
      <c r="B2242" s="3">
        <v>2</v>
      </c>
      <c r="C2242" s="3">
        <v>75</v>
      </c>
      <c r="D2242" s="3">
        <v>5</v>
      </c>
      <c r="E2242" s="3" t="s">
        <v>10</v>
      </c>
      <c r="F2242" s="3">
        <v>0</v>
      </c>
      <c r="G2242" s="4"/>
      <c r="H2242" s="3">
        <v>0</v>
      </c>
    </row>
    <row r="2243" ht="14.25" spans="1:8">
      <c r="A2243" s="3" t="str">
        <f>"11401207506"</f>
        <v>11401207506</v>
      </c>
      <c r="B2243" s="3">
        <v>2</v>
      </c>
      <c r="C2243" s="3">
        <v>75</v>
      </c>
      <c r="D2243" s="3">
        <v>6</v>
      </c>
      <c r="E2243" s="3" t="s">
        <v>10</v>
      </c>
      <c r="F2243" s="3">
        <v>0</v>
      </c>
      <c r="G2243" s="4"/>
      <c r="H2243" s="3">
        <v>0</v>
      </c>
    </row>
    <row r="2244" ht="14.25" spans="1:8">
      <c r="A2244" s="3" t="str">
        <f>"11401207507"</f>
        <v>11401207507</v>
      </c>
      <c r="B2244" s="3">
        <v>2</v>
      </c>
      <c r="C2244" s="3">
        <v>75</v>
      </c>
      <c r="D2244" s="3">
        <v>7</v>
      </c>
      <c r="E2244" s="3" t="s">
        <v>10</v>
      </c>
      <c r="F2244" s="3">
        <v>0</v>
      </c>
      <c r="G2244" s="4"/>
      <c r="H2244" s="3">
        <v>0</v>
      </c>
    </row>
    <row r="2245" ht="14.25" spans="1:8">
      <c r="A2245" s="3" t="str">
        <f>"11401207508"</f>
        <v>11401207508</v>
      </c>
      <c r="B2245" s="3">
        <v>2</v>
      </c>
      <c r="C2245" s="3">
        <v>75</v>
      </c>
      <c r="D2245" s="3">
        <v>8</v>
      </c>
      <c r="E2245" s="3" t="s">
        <v>10</v>
      </c>
      <c r="F2245" s="3">
        <v>0</v>
      </c>
      <c r="G2245" s="4"/>
      <c r="H2245" s="3">
        <v>0</v>
      </c>
    </row>
    <row r="2246" ht="14.25" spans="1:8">
      <c r="A2246" s="3" t="str">
        <f>"11401207509"</f>
        <v>11401207509</v>
      </c>
      <c r="B2246" s="3">
        <v>2</v>
      </c>
      <c r="C2246" s="3">
        <v>75</v>
      </c>
      <c r="D2246" s="3">
        <v>9</v>
      </c>
      <c r="E2246" s="3" t="s">
        <v>10</v>
      </c>
      <c r="F2246" s="3">
        <v>0</v>
      </c>
      <c r="G2246" s="4"/>
      <c r="H2246" s="3">
        <v>0</v>
      </c>
    </row>
    <row r="2247" ht="14.25" spans="1:8">
      <c r="A2247" s="3" t="str">
        <f>"11401207510"</f>
        <v>11401207510</v>
      </c>
      <c r="B2247" s="3">
        <v>2</v>
      </c>
      <c r="C2247" s="3">
        <v>75</v>
      </c>
      <c r="D2247" s="3">
        <v>10</v>
      </c>
      <c r="E2247" s="3" t="s">
        <v>10</v>
      </c>
      <c r="F2247" s="4">
        <v>68</v>
      </c>
      <c r="G2247" s="4"/>
      <c r="H2247" s="4">
        <f t="shared" ref="H2247:H2251" si="217">F2247+G2247</f>
        <v>68</v>
      </c>
    </row>
    <row r="2248" ht="14.25" spans="1:8">
      <c r="A2248" s="3" t="str">
        <f>"11401207511"</f>
        <v>11401207511</v>
      </c>
      <c r="B2248" s="3">
        <v>2</v>
      </c>
      <c r="C2248" s="3">
        <v>75</v>
      </c>
      <c r="D2248" s="3">
        <v>11</v>
      </c>
      <c r="E2248" s="3" t="s">
        <v>10</v>
      </c>
      <c r="F2248" s="4">
        <v>69</v>
      </c>
      <c r="G2248" s="4"/>
      <c r="H2248" s="4">
        <f t="shared" si="217"/>
        <v>69</v>
      </c>
    </row>
    <row r="2249" ht="14.25" spans="1:8">
      <c r="A2249" s="3" t="str">
        <f>"11401207512"</f>
        <v>11401207512</v>
      </c>
      <c r="B2249" s="3">
        <v>2</v>
      </c>
      <c r="C2249" s="3">
        <v>75</v>
      </c>
      <c r="D2249" s="3">
        <v>12</v>
      </c>
      <c r="E2249" s="3" t="s">
        <v>10</v>
      </c>
      <c r="F2249" s="3">
        <v>0</v>
      </c>
      <c r="G2249" s="4"/>
      <c r="H2249" s="3">
        <v>0</v>
      </c>
    </row>
    <row r="2250" ht="14.25" spans="1:8">
      <c r="A2250" s="3" t="str">
        <f>"11401207513"</f>
        <v>11401207513</v>
      </c>
      <c r="B2250" s="3">
        <v>2</v>
      </c>
      <c r="C2250" s="3">
        <v>75</v>
      </c>
      <c r="D2250" s="3">
        <v>13</v>
      </c>
      <c r="E2250" s="3" t="s">
        <v>10</v>
      </c>
      <c r="F2250" s="4">
        <v>57</v>
      </c>
      <c r="G2250" s="4"/>
      <c r="H2250" s="4">
        <f t="shared" si="217"/>
        <v>57</v>
      </c>
    </row>
    <row r="2251" ht="14.25" spans="1:8">
      <c r="A2251" s="3" t="str">
        <f>"11401207514"</f>
        <v>11401207514</v>
      </c>
      <c r="B2251" s="3">
        <v>2</v>
      </c>
      <c r="C2251" s="3">
        <v>75</v>
      </c>
      <c r="D2251" s="3">
        <v>14</v>
      </c>
      <c r="E2251" s="3" t="s">
        <v>10</v>
      </c>
      <c r="F2251" s="4">
        <v>78</v>
      </c>
      <c r="G2251" s="4"/>
      <c r="H2251" s="4">
        <f t="shared" si="217"/>
        <v>78</v>
      </c>
    </row>
    <row r="2252" ht="14.25" spans="1:8">
      <c r="A2252" s="3" t="str">
        <f>"11401207515"</f>
        <v>11401207515</v>
      </c>
      <c r="B2252" s="3">
        <v>2</v>
      </c>
      <c r="C2252" s="3">
        <v>75</v>
      </c>
      <c r="D2252" s="3">
        <v>15</v>
      </c>
      <c r="E2252" s="3" t="s">
        <v>10</v>
      </c>
      <c r="F2252" s="3">
        <v>0</v>
      </c>
      <c r="G2252" s="4"/>
      <c r="H2252" s="3">
        <v>0</v>
      </c>
    </row>
    <row r="2253" ht="14.25" spans="1:8">
      <c r="A2253" s="3" t="str">
        <f>"11402207516"</f>
        <v>11402207516</v>
      </c>
      <c r="B2253" s="3">
        <v>2</v>
      </c>
      <c r="C2253" s="3">
        <v>75</v>
      </c>
      <c r="D2253" s="3">
        <v>16</v>
      </c>
      <c r="E2253" s="3" t="s">
        <v>10</v>
      </c>
      <c r="F2253" s="3">
        <v>0</v>
      </c>
      <c r="G2253" s="4"/>
      <c r="H2253" s="3">
        <v>0</v>
      </c>
    </row>
    <row r="2254" ht="14.25" spans="1:8">
      <c r="A2254" s="3" t="str">
        <f>"11402207517"</f>
        <v>11402207517</v>
      </c>
      <c r="B2254" s="3">
        <v>2</v>
      </c>
      <c r="C2254" s="3">
        <v>75</v>
      </c>
      <c r="D2254" s="3">
        <v>17</v>
      </c>
      <c r="E2254" s="3" t="s">
        <v>10</v>
      </c>
      <c r="F2254" s="4">
        <v>76</v>
      </c>
      <c r="G2254" s="4"/>
      <c r="H2254" s="4">
        <f t="shared" ref="H2254:H2264" si="218">F2254+G2254</f>
        <v>76</v>
      </c>
    </row>
    <row r="2255" ht="14.25" spans="1:8">
      <c r="A2255" s="3" t="str">
        <f>"11402207518"</f>
        <v>11402207518</v>
      </c>
      <c r="B2255" s="3">
        <v>2</v>
      </c>
      <c r="C2255" s="3">
        <v>75</v>
      </c>
      <c r="D2255" s="3">
        <v>18</v>
      </c>
      <c r="E2255" s="3" t="s">
        <v>10</v>
      </c>
      <c r="F2255" s="4">
        <v>43</v>
      </c>
      <c r="G2255" s="4"/>
      <c r="H2255" s="4">
        <f t="shared" si="218"/>
        <v>43</v>
      </c>
    </row>
    <row r="2256" ht="14.25" spans="1:8">
      <c r="A2256" s="3" t="str">
        <f>"11402207519"</f>
        <v>11402207519</v>
      </c>
      <c r="B2256" s="3">
        <v>2</v>
      </c>
      <c r="C2256" s="3">
        <v>75</v>
      </c>
      <c r="D2256" s="3">
        <v>19</v>
      </c>
      <c r="E2256" s="3" t="s">
        <v>10</v>
      </c>
      <c r="F2256" s="3">
        <v>0</v>
      </c>
      <c r="G2256" s="4"/>
      <c r="H2256" s="3">
        <v>0</v>
      </c>
    </row>
    <row r="2257" ht="14.25" spans="1:8">
      <c r="A2257" s="3" t="str">
        <f>"11402207520"</f>
        <v>11402207520</v>
      </c>
      <c r="B2257" s="3">
        <v>2</v>
      </c>
      <c r="C2257" s="3">
        <v>75</v>
      </c>
      <c r="D2257" s="3">
        <v>20</v>
      </c>
      <c r="E2257" s="3" t="s">
        <v>10</v>
      </c>
      <c r="F2257" s="3">
        <v>0</v>
      </c>
      <c r="G2257" s="4"/>
      <c r="H2257" s="3">
        <v>0</v>
      </c>
    </row>
    <row r="2258" ht="14.25" spans="1:8">
      <c r="A2258" s="3" t="str">
        <f>"11402207521"</f>
        <v>11402207521</v>
      </c>
      <c r="B2258" s="3">
        <v>2</v>
      </c>
      <c r="C2258" s="3">
        <v>75</v>
      </c>
      <c r="D2258" s="3">
        <v>21</v>
      </c>
      <c r="E2258" s="3" t="s">
        <v>10</v>
      </c>
      <c r="F2258" s="3">
        <v>0</v>
      </c>
      <c r="G2258" s="4"/>
      <c r="H2258" s="3">
        <v>0</v>
      </c>
    </row>
    <row r="2259" ht="14.25" spans="1:8">
      <c r="A2259" s="3" t="str">
        <f>"11402207522"</f>
        <v>11402207522</v>
      </c>
      <c r="B2259" s="3">
        <v>2</v>
      </c>
      <c r="C2259" s="3">
        <v>75</v>
      </c>
      <c r="D2259" s="3">
        <v>22</v>
      </c>
      <c r="E2259" s="3" t="s">
        <v>10</v>
      </c>
      <c r="F2259" s="4">
        <v>58.5</v>
      </c>
      <c r="G2259" s="4"/>
      <c r="H2259" s="4">
        <f t="shared" si="218"/>
        <v>58.5</v>
      </c>
    </row>
    <row r="2260" ht="14.25" spans="1:8">
      <c r="A2260" s="3" t="str">
        <f>"11402207523"</f>
        <v>11402207523</v>
      </c>
      <c r="B2260" s="3">
        <v>2</v>
      </c>
      <c r="C2260" s="3">
        <v>75</v>
      </c>
      <c r="D2260" s="3">
        <v>23</v>
      </c>
      <c r="E2260" s="3" t="s">
        <v>10</v>
      </c>
      <c r="F2260" s="4">
        <v>50</v>
      </c>
      <c r="G2260" s="4"/>
      <c r="H2260" s="4">
        <f t="shared" si="218"/>
        <v>50</v>
      </c>
    </row>
    <row r="2261" ht="14.25" spans="1:8">
      <c r="A2261" s="3" t="str">
        <f>"11402207524"</f>
        <v>11402207524</v>
      </c>
      <c r="B2261" s="3">
        <v>2</v>
      </c>
      <c r="C2261" s="3">
        <v>75</v>
      </c>
      <c r="D2261" s="3">
        <v>24</v>
      </c>
      <c r="E2261" s="3" t="s">
        <v>10</v>
      </c>
      <c r="F2261" s="4">
        <v>75</v>
      </c>
      <c r="G2261" s="4"/>
      <c r="H2261" s="4">
        <f t="shared" si="218"/>
        <v>75</v>
      </c>
    </row>
    <row r="2262" ht="14.25" spans="1:8">
      <c r="A2262" s="3" t="str">
        <f>"11403207525"</f>
        <v>11403207525</v>
      </c>
      <c r="B2262" s="3">
        <v>2</v>
      </c>
      <c r="C2262" s="3">
        <v>75</v>
      </c>
      <c r="D2262" s="3">
        <v>25</v>
      </c>
      <c r="E2262" s="3" t="s">
        <v>10</v>
      </c>
      <c r="F2262" s="4">
        <v>65</v>
      </c>
      <c r="G2262" s="4"/>
      <c r="H2262" s="4">
        <f t="shared" si="218"/>
        <v>65</v>
      </c>
    </row>
    <row r="2263" ht="14.25" spans="1:8">
      <c r="A2263" s="3" t="str">
        <f>"11403207526"</f>
        <v>11403207526</v>
      </c>
      <c r="B2263" s="3">
        <v>2</v>
      </c>
      <c r="C2263" s="3">
        <v>75</v>
      </c>
      <c r="D2263" s="3">
        <v>26</v>
      </c>
      <c r="E2263" s="3" t="s">
        <v>10</v>
      </c>
      <c r="F2263" s="4">
        <v>77.5</v>
      </c>
      <c r="G2263" s="4"/>
      <c r="H2263" s="4">
        <f t="shared" si="218"/>
        <v>77.5</v>
      </c>
    </row>
    <row r="2264" ht="14.25" spans="1:8">
      <c r="A2264" s="3" t="str">
        <f>"11403207527"</f>
        <v>11403207527</v>
      </c>
      <c r="B2264" s="3">
        <v>2</v>
      </c>
      <c r="C2264" s="3">
        <v>75</v>
      </c>
      <c r="D2264" s="3">
        <v>27</v>
      </c>
      <c r="E2264" s="3" t="s">
        <v>10</v>
      </c>
      <c r="F2264" s="4">
        <v>76.5</v>
      </c>
      <c r="G2264" s="4"/>
      <c r="H2264" s="4">
        <f t="shared" si="218"/>
        <v>76.5</v>
      </c>
    </row>
    <row r="2265" ht="14.25" spans="1:8">
      <c r="A2265" s="3" t="str">
        <f>"11403207528"</f>
        <v>11403207528</v>
      </c>
      <c r="B2265" s="3">
        <v>2</v>
      </c>
      <c r="C2265" s="3">
        <v>75</v>
      </c>
      <c r="D2265" s="3">
        <v>28</v>
      </c>
      <c r="E2265" s="3" t="s">
        <v>10</v>
      </c>
      <c r="F2265" s="3">
        <v>0</v>
      </c>
      <c r="G2265" s="4"/>
      <c r="H2265" s="3">
        <v>0</v>
      </c>
    </row>
    <row r="2266" ht="14.25" spans="1:8">
      <c r="A2266" s="3" t="str">
        <f>"11403207529"</f>
        <v>11403207529</v>
      </c>
      <c r="B2266" s="3">
        <v>2</v>
      </c>
      <c r="C2266" s="3">
        <v>75</v>
      </c>
      <c r="D2266" s="3">
        <v>29</v>
      </c>
      <c r="E2266" s="3" t="s">
        <v>10</v>
      </c>
      <c r="F2266" s="4">
        <v>62</v>
      </c>
      <c r="G2266" s="4"/>
      <c r="H2266" s="4">
        <f t="shared" ref="H2266:H2274" si="219">F2266+G2266</f>
        <v>62</v>
      </c>
    </row>
    <row r="2267" ht="14.25" spans="1:8">
      <c r="A2267" s="3" t="str">
        <f>"11403207530"</f>
        <v>11403207530</v>
      </c>
      <c r="B2267" s="3">
        <v>2</v>
      </c>
      <c r="C2267" s="3">
        <v>75</v>
      </c>
      <c r="D2267" s="3">
        <v>30</v>
      </c>
      <c r="E2267" s="3" t="s">
        <v>10</v>
      </c>
      <c r="F2267" s="4">
        <v>63.5</v>
      </c>
      <c r="G2267" s="4"/>
      <c r="H2267" s="4">
        <f t="shared" si="219"/>
        <v>63.5</v>
      </c>
    </row>
    <row r="2268" ht="14.25" spans="1:8">
      <c r="A2268" s="3" t="str">
        <f>"11403207601"</f>
        <v>11403207601</v>
      </c>
      <c r="B2268" s="3">
        <v>2</v>
      </c>
      <c r="C2268" s="3">
        <v>76</v>
      </c>
      <c r="D2268" s="3">
        <v>1</v>
      </c>
      <c r="E2268" s="3" t="s">
        <v>10</v>
      </c>
      <c r="F2268" s="4">
        <v>73.5</v>
      </c>
      <c r="G2268" s="4"/>
      <c r="H2268" s="4">
        <f t="shared" si="219"/>
        <v>73.5</v>
      </c>
    </row>
    <row r="2269" ht="14.25" spans="1:8">
      <c r="A2269" s="3" t="str">
        <f>"11403207602"</f>
        <v>11403207602</v>
      </c>
      <c r="B2269" s="3">
        <v>2</v>
      </c>
      <c r="C2269" s="3">
        <v>76</v>
      </c>
      <c r="D2269" s="3">
        <v>2</v>
      </c>
      <c r="E2269" s="3" t="s">
        <v>10</v>
      </c>
      <c r="F2269" s="4">
        <v>69</v>
      </c>
      <c r="G2269" s="4"/>
      <c r="H2269" s="4">
        <f t="shared" si="219"/>
        <v>69</v>
      </c>
    </row>
    <row r="2270" ht="14.25" spans="1:8">
      <c r="A2270" s="3" t="str">
        <f>"11403207603"</f>
        <v>11403207603</v>
      </c>
      <c r="B2270" s="3">
        <v>2</v>
      </c>
      <c r="C2270" s="3">
        <v>76</v>
      </c>
      <c r="D2270" s="3">
        <v>3</v>
      </c>
      <c r="E2270" s="3" t="s">
        <v>10</v>
      </c>
      <c r="F2270" s="4">
        <v>77.5</v>
      </c>
      <c r="G2270" s="4"/>
      <c r="H2270" s="4">
        <f t="shared" si="219"/>
        <v>77.5</v>
      </c>
    </row>
    <row r="2271" ht="14.25" spans="1:8">
      <c r="A2271" s="3" t="str">
        <f>"11403207604"</f>
        <v>11403207604</v>
      </c>
      <c r="B2271" s="3">
        <v>2</v>
      </c>
      <c r="C2271" s="3">
        <v>76</v>
      </c>
      <c r="D2271" s="3">
        <v>4</v>
      </c>
      <c r="E2271" s="3" t="s">
        <v>10</v>
      </c>
      <c r="F2271" s="4">
        <v>73</v>
      </c>
      <c r="G2271" s="4"/>
      <c r="H2271" s="4">
        <f t="shared" si="219"/>
        <v>73</v>
      </c>
    </row>
    <row r="2272" ht="14.25" spans="1:8">
      <c r="A2272" s="3" t="str">
        <f>"11403207605"</f>
        <v>11403207605</v>
      </c>
      <c r="B2272" s="3">
        <v>2</v>
      </c>
      <c r="C2272" s="3">
        <v>76</v>
      </c>
      <c r="D2272" s="3">
        <v>5</v>
      </c>
      <c r="E2272" s="3" t="s">
        <v>10</v>
      </c>
      <c r="F2272" s="4">
        <v>67.5</v>
      </c>
      <c r="G2272" s="4"/>
      <c r="H2272" s="4">
        <f t="shared" si="219"/>
        <v>67.5</v>
      </c>
    </row>
    <row r="2273" ht="14.25" spans="1:8">
      <c r="A2273" s="3" t="str">
        <f>"11403207606"</f>
        <v>11403207606</v>
      </c>
      <c r="B2273" s="3">
        <v>2</v>
      </c>
      <c r="C2273" s="3">
        <v>76</v>
      </c>
      <c r="D2273" s="3">
        <v>6</v>
      </c>
      <c r="E2273" s="3" t="s">
        <v>10</v>
      </c>
      <c r="F2273" s="4">
        <v>78</v>
      </c>
      <c r="G2273" s="4"/>
      <c r="H2273" s="4">
        <f t="shared" si="219"/>
        <v>78</v>
      </c>
    </row>
    <row r="2274" ht="14.25" spans="1:8">
      <c r="A2274" s="3" t="str">
        <f>"11403207607"</f>
        <v>11403207607</v>
      </c>
      <c r="B2274" s="3">
        <v>2</v>
      </c>
      <c r="C2274" s="3">
        <v>76</v>
      </c>
      <c r="D2274" s="3">
        <v>7</v>
      </c>
      <c r="E2274" s="3" t="s">
        <v>10</v>
      </c>
      <c r="F2274" s="4">
        <v>55</v>
      </c>
      <c r="G2274" s="4"/>
      <c r="H2274" s="4">
        <f t="shared" si="219"/>
        <v>55</v>
      </c>
    </row>
    <row r="2275" ht="14.25" spans="1:8">
      <c r="A2275" s="3" t="str">
        <f>"11403207608"</f>
        <v>11403207608</v>
      </c>
      <c r="B2275" s="3">
        <v>2</v>
      </c>
      <c r="C2275" s="3">
        <v>76</v>
      </c>
      <c r="D2275" s="3">
        <v>8</v>
      </c>
      <c r="E2275" s="3" t="s">
        <v>10</v>
      </c>
      <c r="F2275" s="3">
        <v>0</v>
      </c>
      <c r="G2275" s="4"/>
      <c r="H2275" s="3">
        <v>0</v>
      </c>
    </row>
    <row r="2276" ht="14.25" spans="1:8">
      <c r="A2276" s="3" t="str">
        <f>"11403207609"</f>
        <v>11403207609</v>
      </c>
      <c r="B2276" s="3">
        <v>2</v>
      </c>
      <c r="C2276" s="3">
        <v>76</v>
      </c>
      <c r="D2276" s="3">
        <v>9</v>
      </c>
      <c r="E2276" s="3" t="s">
        <v>10</v>
      </c>
      <c r="F2276" s="4">
        <v>79.5</v>
      </c>
      <c r="G2276" s="4"/>
      <c r="H2276" s="4">
        <f t="shared" ref="H2276:H2279" si="220">F2276+G2276</f>
        <v>79.5</v>
      </c>
    </row>
    <row r="2277" ht="14.25" spans="1:8">
      <c r="A2277" s="3" t="str">
        <f>"11404207610"</f>
        <v>11404207610</v>
      </c>
      <c r="B2277" s="3">
        <v>2</v>
      </c>
      <c r="C2277" s="3">
        <v>76</v>
      </c>
      <c r="D2277" s="3">
        <v>10</v>
      </c>
      <c r="E2277" s="3" t="s">
        <v>10</v>
      </c>
      <c r="F2277" s="3">
        <v>0</v>
      </c>
      <c r="G2277" s="4"/>
      <c r="H2277" s="3">
        <v>0</v>
      </c>
    </row>
    <row r="2278" ht="14.25" spans="1:8">
      <c r="A2278" s="3" t="str">
        <f>"11404207611"</f>
        <v>11404207611</v>
      </c>
      <c r="B2278" s="3">
        <v>2</v>
      </c>
      <c r="C2278" s="3">
        <v>76</v>
      </c>
      <c r="D2278" s="3">
        <v>11</v>
      </c>
      <c r="E2278" s="3" t="s">
        <v>10</v>
      </c>
      <c r="F2278" s="4">
        <v>49</v>
      </c>
      <c r="G2278" s="4"/>
      <c r="H2278" s="4">
        <f t="shared" si="220"/>
        <v>49</v>
      </c>
    </row>
    <row r="2279" ht="14.25" spans="1:8">
      <c r="A2279" s="3" t="str">
        <f>"11404207612"</f>
        <v>11404207612</v>
      </c>
      <c r="B2279" s="3">
        <v>2</v>
      </c>
      <c r="C2279" s="3">
        <v>76</v>
      </c>
      <c r="D2279" s="3">
        <v>12</v>
      </c>
      <c r="E2279" s="3" t="s">
        <v>10</v>
      </c>
      <c r="F2279" s="4">
        <v>74</v>
      </c>
      <c r="G2279" s="4"/>
      <c r="H2279" s="4">
        <f t="shared" si="220"/>
        <v>74</v>
      </c>
    </row>
    <row r="2280" ht="14.25" spans="1:8">
      <c r="A2280" s="3" t="str">
        <f>"11404207613"</f>
        <v>11404207613</v>
      </c>
      <c r="B2280" s="3">
        <v>2</v>
      </c>
      <c r="C2280" s="3">
        <v>76</v>
      </c>
      <c r="D2280" s="3">
        <v>13</v>
      </c>
      <c r="E2280" s="3" t="s">
        <v>10</v>
      </c>
      <c r="F2280" s="3">
        <v>0</v>
      </c>
      <c r="G2280" s="4"/>
      <c r="H2280" s="3">
        <v>0</v>
      </c>
    </row>
    <row r="2281" ht="14.25" spans="1:8">
      <c r="A2281" s="3" t="str">
        <f>"11404207614"</f>
        <v>11404207614</v>
      </c>
      <c r="B2281" s="3">
        <v>2</v>
      </c>
      <c r="C2281" s="3">
        <v>76</v>
      </c>
      <c r="D2281" s="3">
        <v>14</v>
      </c>
      <c r="E2281" s="3" t="s">
        <v>10</v>
      </c>
      <c r="F2281" s="3">
        <v>0</v>
      </c>
      <c r="G2281" s="4"/>
      <c r="H2281" s="3">
        <v>0</v>
      </c>
    </row>
    <row r="2282" ht="14.25" spans="1:8">
      <c r="A2282" s="3" t="str">
        <f>"11404207615"</f>
        <v>11404207615</v>
      </c>
      <c r="B2282" s="3">
        <v>2</v>
      </c>
      <c r="C2282" s="3">
        <v>76</v>
      </c>
      <c r="D2282" s="3">
        <v>15</v>
      </c>
      <c r="E2282" s="3" t="s">
        <v>10</v>
      </c>
      <c r="F2282" s="4">
        <v>82.5</v>
      </c>
      <c r="G2282" s="4"/>
      <c r="H2282" s="4">
        <f t="shared" ref="H2282:H2303" si="221">F2282+G2282</f>
        <v>82.5</v>
      </c>
    </row>
    <row r="2283" ht="14.25" spans="1:8">
      <c r="A2283" s="3" t="str">
        <f>"11404207616"</f>
        <v>11404207616</v>
      </c>
      <c r="B2283" s="3">
        <v>2</v>
      </c>
      <c r="C2283" s="3">
        <v>76</v>
      </c>
      <c r="D2283" s="3">
        <v>16</v>
      </c>
      <c r="E2283" s="3" t="s">
        <v>10</v>
      </c>
      <c r="F2283" s="4">
        <v>67.5</v>
      </c>
      <c r="G2283" s="4"/>
      <c r="H2283" s="4">
        <f t="shared" si="221"/>
        <v>67.5</v>
      </c>
    </row>
    <row r="2284" ht="14.25" spans="1:8">
      <c r="A2284" s="3" t="str">
        <f>"11404207617"</f>
        <v>11404207617</v>
      </c>
      <c r="B2284" s="3">
        <v>2</v>
      </c>
      <c r="C2284" s="3">
        <v>76</v>
      </c>
      <c r="D2284" s="3">
        <v>17</v>
      </c>
      <c r="E2284" s="3" t="s">
        <v>10</v>
      </c>
      <c r="F2284" s="3">
        <v>0</v>
      </c>
      <c r="G2284" s="4"/>
      <c r="H2284" s="3">
        <v>0</v>
      </c>
    </row>
    <row r="2285" ht="14.25" spans="1:8">
      <c r="A2285" s="3" t="str">
        <f>"11404207618"</f>
        <v>11404207618</v>
      </c>
      <c r="B2285" s="3">
        <v>2</v>
      </c>
      <c r="C2285" s="3">
        <v>76</v>
      </c>
      <c r="D2285" s="3">
        <v>18</v>
      </c>
      <c r="E2285" s="3" t="s">
        <v>10</v>
      </c>
      <c r="F2285" s="3">
        <v>0</v>
      </c>
      <c r="G2285" s="4"/>
      <c r="H2285" s="3">
        <v>0</v>
      </c>
    </row>
    <row r="2286" ht="14.25" spans="1:8">
      <c r="A2286" s="3" t="str">
        <f>"11405207619"</f>
        <v>11405207619</v>
      </c>
      <c r="B2286" s="3">
        <v>2</v>
      </c>
      <c r="C2286" s="3">
        <v>76</v>
      </c>
      <c r="D2286" s="3">
        <v>19</v>
      </c>
      <c r="E2286" s="3" t="s">
        <v>10</v>
      </c>
      <c r="F2286" s="4">
        <v>75.5</v>
      </c>
      <c r="G2286" s="4"/>
      <c r="H2286" s="4">
        <f t="shared" si="221"/>
        <v>75.5</v>
      </c>
    </row>
    <row r="2287" ht="14.25" spans="1:8">
      <c r="A2287" s="3" t="str">
        <f>"11405207620"</f>
        <v>11405207620</v>
      </c>
      <c r="B2287" s="3">
        <v>2</v>
      </c>
      <c r="C2287" s="3">
        <v>76</v>
      </c>
      <c r="D2287" s="3">
        <v>20</v>
      </c>
      <c r="E2287" s="3" t="s">
        <v>10</v>
      </c>
      <c r="F2287" s="4">
        <v>55.5</v>
      </c>
      <c r="G2287" s="4"/>
      <c r="H2287" s="4">
        <f t="shared" si="221"/>
        <v>55.5</v>
      </c>
    </row>
    <row r="2288" ht="14.25" spans="1:8">
      <c r="A2288" s="3" t="str">
        <f>"11405207621"</f>
        <v>11405207621</v>
      </c>
      <c r="B2288" s="3">
        <v>2</v>
      </c>
      <c r="C2288" s="3">
        <v>76</v>
      </c>
      <c r="D2288" s="3">
        <v>21</v>
      </c>
      <c r="E2288" s="3" t="s">
        <v>10</v>
      </c>
      <c r="F2288" s="4">
        <v>70.5</v>
      </c>
      <c r="G2288" s="4"/>
      <c r="H2288" s="4">
        <f t="shared" si="221"/>
        <v>70.5</v>
      </c>
    </row>
    <row r="2289" ht="14.25" spans="1:8">
      <c r="A2289" s="3" t="str">
        <f>"11405207622"</f>
        <v>11405207622</v>
      </c>
      <c r="B2289" s="3">
        <v>2</v>
      </c>
      <c r="C2289" s="3">
        <v>76</v>
      </c>
      <c r="D2289" s="3">
        <v>22</v>
      </c>
      <c r="E2289" s="3" t="s">
        <v>10</v>
      </c>
      <c r="F2289" s="4">
        <v>78</v>
      </c>
      <c r="G2289" s="4"/>
      <c r="H2289" s="4">
        <f t="shared" si="221"/>
        <v>78</v>
      </c>
    </row>
    <row r="2290" ht="14.25" spans="1:8">
      <c r="A2290" s="3" t="str">
        <f>"11405207623"</f>
        <v>11405207623</v>
      </c>
      <c r="B2290" s="3">
        <v>2</v>
      </c>
      <c r="C2290" s="3">
        <v>76</v>
      </c>
      <c r="D2290" s="3">
        <v>23</v>
      </c>
      <c r="E2290" s="3" t="s">
        <v>10</v>
      </c>
      <c r="F2290" s="4">
        <v>73.5</v>
      </c>
      <c r="G2290" s="4"/>
      <c r="H2290" s="4">
        <f t="shared" si="221"/>
        <v>73.5</v>
      </c>
    </row>
    <row r="2291" ht="14.25" spans="1:8">
      <c r="A2291" s="3" t="str">
        <f>"11406207624"</f>
        <v>11406207624</v>
      </c>
      <c r="B2291" s="3">
        <v>2</v>
      </c>
      <c r="C2291" s="3">
        <v>76</v>
      </c>
      <c r="D2291" s="3">
        <v>24</v>
      </c>
      <c r="E2291" s="3" t="s">
        <v>10</v>
      </c>
      <c r="F2291" s="4">
        <v>75</v>
      </c>
      <c r="G2291" s="4"/>
      <c r="H2291" s="4">
        <f t="shared" si="221"/>
        <v>75</v>
      </c>
    </row>
    <row r="2292" ht="14.25" spans="1:8">
      <c r="A2292" s="3" t="str">
        <f>"11406207625"</f>
        <v>11406207625</v>
      </c>
      <c r="B2292" s="3">
        <v>2</v>
      </c>
      <c r="C2292" s="3">
        <v>76</v>
      </c>
      <c r="D2292" s="3">
        <v>25</v>
      </c>
      <c r="E2292" s="3" t="s">
        <v>10</v>
      </c>
      <c r="F2292" s="4">
        <v>64.5</v>
      </c>
      <c r="G2292" s="4"/>
      <c r="H2292" s="4">
        <f t="shared" si="221"/>
        <v>64.5</v>
      </c>
    </row>
    <row r="2293" ht="14.25" spans="1:8">
      <c r="A2293" s="3" t="str">
        <f>"11406207626"</f>
        <v>11406207626</v>
      </c>
      <c r="B2293" s="3">
        <v>2</v>
      </c>
      <c r="C2293" s="3">
        <v>76</v>
      </c>
      <c r="D2293" s="3">
        <v>26</v>
      </c>
      <c r="E2293" s="3" t="s">
        <v>10</v>
      </c>
      <c r="F2293" s="4">
        <v>77.5</v>
      </c>
      <c r="G2293" s="4"/>
      <c r="H2293" s="4">
        <f t="shared" si="221"/>
        <v>77.5</v>
      </c>
    </row>
    <row r="2294" ht="14.25" spans="1:8">
      <c r="A2294" s="3" t="str">
        <f>"11406207627"</f>
        <v>11406207627</v>
      </c>
      <c r="B2294" s="3">
        <v>2</v>
      </c>
      <c r="C2294" s="3">
        <v>76</v>
      </c>
      <c r="D2294" s="3">
        <v>27</v>
      </c>
      <c r="E2294" s="3" t="s">
        <v>10</v>
      </c>
      <c r="F2294" s="4">
        <v>65.5</v>
      </c>
      <c r="G2294" s="4"/>
      <c r="H2294" s="4">
        <f t="shared" si="221"/>
        <v>65.5</v>
      </c>
    </row>
    <row r="2295" ht="14.25" spans="1:8">
      <c r="A2295" s="3" t="str">
        <f>"11406207628"</f>
        <v>11406207628</v>
      </c>
      <c r="B2295" s="3">
        <v>2</v>
      </c>
      <c r="C2295" s="3">
        <v>76</v>
      </c>
      <c r="D2295" s="3">
        <v>28</v>
      </c>
      <c r="E2295" s="3" t="s">
        <v>10</v>
      </c>
      <c r="F2295" s="4">
        <v>65.5</v>
      </c>
      <c r="G2295" s="4"/>
      <c r="H2295" s="4">
        <f t="shared" si="221"/>
        <v>65.5</v>
      </c>
    </row>
    <row r="2296" ht="14.25" spans="1:8">
      <c r="A2296" s="3" t="str">
        <f>"11406207629"</f>
        <v>11406207629</v>
      </c>
      <c r="B2296" s="3">
        <v>2</v>
      </c>
      <c r="C2296" s="3">
        <v>76</v>
      </c>
      <c r="D2296" s="3">
        <v>29</v>
      </c>
      <c r="E2296" s="3" t="s">
        <v>10</v>
      </c>
      <c r="F2296" s="4">
        <v>67</v>
      </c>
      <c r="G2296" s="4"/>
      <c r="H2296" s="4">
        <f t="shared" si="221"/>
        <v>67</v>
      </c>
    </row>
    <row r="2297" ht="14.25" spans="1:8">
      <c r="A2297" s="3" t="str">
        <f>"11407207630"</f>
        <v>11407207630</v>
      </c>
      <c r="B2297" s="3">
        <v>2</v>
      </c>
      <c r="C2297" s="3">
        <v>76</v>
      </c>
      <c r="D2297" s="3">
        <v>30</v>
      </c>
      <c r="E2297" s="3" t="s">
        <v>10</v>
      </c>
      <c r="F2297" s="4">
        <v>82</v>
      </c>
      <c r="G2297" s="4"/>
      <c r="H2297" s="4">
        <f t="shared" si="221"/>
        <v>82</v>
      </c>
    </row>
    <row r="2298" ht="14.25" spans="1:8">
      <c r="A2298" s="3" t="str">
        <f>"11407207701"</f>
        <v>11407207701</v>
      </c>
      <c r="B2298" s="3">
        <v>2</v>
      </c>
      <c r="C2298" s="3">
        <v>77</v>
      </c>
      <c r="D2298" s="3">
        <v>1</v>
      </c>
      <c r="E2298" s="3" t="s">
        <v>10</v>
      </c>
      <c r="F2298" s="4">
        <v>56.5</v>
      </c>
      <c r="G2298" s="4"/>
      <c r="H2298" s="4">
        <f t="shared" si="221"/>
        <v>56.5</v>
      </c>
    </row>
    <row r="2299" ht="14.25" spans="1:8">
      <c r="A2299" s="3" t="str">
        <f>"11407207702"</f>
        <v>11407207702</v>
      </c>
      <c r="B2299" s="3">
        <v>2</v>
      </c>
      <c r="C2299" s="3">
        <v>77</v>
      </c>
      <c r="D2299" s="3">
        <v>2</v>
      </c>
      <c r="E2299" s="3" t="s">
        <v>10</v>
      </c>
      <c r="F2299" s="4">
        <v>77</v>
      </c>
      <c r="G2299" s="4">
        <v>10</v>
      </c>
      <c r="H2299" s="4">
        <f t="shared" si="221"/>
        <v>87</v>
      </c>
    </row>
    <row r="2300" ht="14.25" spans="1:8">
      <c r="A2300" s="3" t="str">
        <f>"11407207703"</f>
        <v>11407207703</v>
      </c>
      <c r="B2300" s="3">
        <v>2</v>
      </c>
      <c r="C2300" s="3">
        <v>77</v>
      </c>
      <c r="D2300" s="3">
        <v>3</v>
      </c>
      <c r="E2300" s="3" t="s">
        <v>10</v>
      </c>
      <c r="F2300" s="4">
        <v>49.5</v>
      </c>
      <c r="G2300" s="4"/>
      <c r="H2300" s="4">
        <f t="shared" si="221"/>
        <v>49.5</v>
      </c>
    </row>
    <row r="2301" ht="14.25" spans="1:8">
      <c r="A2301" s="3" t="str">
        <f>"11407207704"</f>
        <v>11407207704</v>
      </c>
      <c r="B2301" s="3">
        <v>2</v>
      </c>
      <c r="C2301" s="3">
        <v>77</v>
      </c>
      <c r="D2301" s="3">
        <v>4</v>
      </c>
      <c r="E2301" s="3" t="s">
        <v>10</v>
      </c>
      <c r="F2301" s="4">
        <v>57</v>
      </c>
      <c r="G2301" s="4"/>
      <c r="H2301" s="4">
        <f t="shared" si="221"/>
        <v>57</v>
      </c>
    </row>
    <row r="2302" ht="14.25" spans="1:8">
      <c r="A2302" s="3" t="str">
        <f>"11407207705"</f>
        <v>11407207705</v>
      </c>
      <c r="B2302" s="3">
        <v>2</v>
      </c>
      <c r="C2302" s="3">
        <v>77</v>
      </c>
      <c r="D2302" s="3">
        <v>5</v>
      </c>
      <c r="E2302" s="3" t="s">
        <v>10</v>
      </c>
      <c r="F2302" s="4">
        <v>80.5</v>
      </c>
      <c r="G2302" s="4"/>
      <c r="H2302" s="4">
        <f t="shared" si="221"/>
        <v>80.5</v>
      </c>
    </row>
    <row r="2303" ht="14.25" spans="1:8">
      <c r="A2303" s="3" t="str">
        <f>"11407207706"</f>
        <v>11407207706</v>
      </c>
      <c r="B2303" s="3">
        <v>2</v>
      </c>
      <c r="C2303" s="3">
        <v>77</v>
      </c>
      <c r="D2303" s="3">
        <v>6</v>
      </c>
      <c r="E2303" s="3" t="s">
        <v>10</v>
      </c>
      <c r="F2303" s="4">
        <v>68.5</v>
      </c>
      <c r="G2303" s="4"/>
      <c r="H2303" s="4">
        <f t="shared" si="221"/>
        <v>68.5</v>
      </c>
    </row>
    <row r="2304" ht="14.25" spans="1:8">
      <c r="A2304" s="3" t="str">
        <f>"11407207707"</f>
        <v>11407207707</v>
      </c>
      <c r="B2304" s="3">
        <v>2</v>
      </c>
      <c r="C2304" s="3">
        <v>77</v>
      </c>
      <c r="D2304" s="3">
        <v>7</v>
      </c>
      <c r="E2304" s="3" t="s">
        <v>10</v>
      </c>
      <c r="F2304" s="3">
        <v>0</v>
      </c>
      <c r="G2304" s="4"/>
      <c r="H2304" s="3">
        <v>0</v>
      </c>
    </row>
    <row r="2305" ht="14.25" spans="1:8">
      <c r="A2305" s="3" t="str">
        <f>"11407207708"</f>
        <v>11407207708</v>
      </c>
      <c r="B2305" s="3">
        <v>2</v>
      </c>
      <c r="C2305" s="3">
        <v>77</v>
      </c>
      <c r="D2305" s="3">
        <v>8</v>
      </c>
      <c r="E2305" s="3" t="s">
        <v>10</v>
      </c>
      <c r="F2305" s="3">
        <v>0</v>
      </c>
      <c r="G2305" s="4"/>
      <c r="H2305" s="3">
        <v>0</v>
      </c>
    </row>
    <row r="2306" ht="14.25" spans="1:8">
      <c r="A2306" s="3" t="str">
        <f>"11407207709"</f>
        <v>11407207709</v>
      </c>
      <c r="B2306" s="3">
        <v>2</v>
      </c>
      <c r="C2306" s="3">
        <v>77</v>
      </c>
      <c r="D2306" s="3">
        <v>9</v>
      </c>
      <c r="E2306" s="3" t="s">
        <v>10</v>
      </c>
      <c r="F2306" s="4">
        <v>75.5</v>
      </c>
      <c r="G2306" s="4"/>
      <c r="H2306" s="4">
        <f t="shared" ref="H2306:H2310" si="222">F2306+G2306</f>
        <v>75.5</v>
      </c>
    </row>
    <row r="2307" ht="14.25" spans="1:8">
      <c r="A2307" s="3" t="str">
        <f>"11407207710"</f>
        <v>11407207710</v>
      </c>
      <c r="B2307" s="3">
        <v>2</v>
      </c>
      <c r="C2307" s="3">
        <v>77</v>
      </c>
      <c r="D2307" s="3">
        <v>10</v>
      </c>
      <c r="E2307" s="3" t="s">
        <v>10</v>
      </c>
      <c r="F2307" s="3">
        <v>0</v>
      </c>
      <c r="G2307" s="4"/>
      <c r="H2307" s="3">
        <v>0</v>
      </c>
    </row>
    <row r="2308" ht="14.25" spans="1:8">
      <c r="A2308" s="3" t="str">
        <f>"11407207711"</f>
        <v>11407207711</v>
      </c>
      <c r="B2308" s="3">
        <v>2</v>
      </c>
      <c r="C2308" s="3">
        <v>77</v>
      </c>
      <c r="D2308" s="3">
        <v>11</v>
      </c>
      <c r="E2308" s="3" t="s">
        <v>10</v>
      </c>
      <c r="F2308" s="4">
        <v>64</v>
      </c>
      <c r="G2308" s="4"/>
      <c r="H2308" s="4">
        <f t="shared" si="222"/>
        <v>64</v>
      </c>
    </row>
    <row r="2309" ht="14.25" spans="1:8">
      <c r="A2309" s="3" t="str">
        <f>"11407207712"</f>
        <v>11407207712</v>
      </c>
      <c r="B2309" s="3">
        <v>2</v>
      </c>
      <c r="C2309" s="3">
        <v>77</v>
      </c>
      <c r="D2309" s="3">
        <v>12</v>
      </c>
      <c r="E2309" s="3" t="s">
        <v>10</v>
      </c>
      <c r="F2309" s="4">
        <v>60.5</v>
      </c>
      <c r="G2309" s="4"/>
      <c r="H2309" s="4">
        <f t="shared" si="222"/>
        <v>60.5</v>
      </c>
    </row>
    <row r="2310" ht="14.25" spans="1:8">
      <c r="A2310" s="3" t="str">
        <f>"11407207713"</f>
        <v>11407207713</v>
      </c>
      <c r="B2310" s="3">
        <v>2</v>
      </c>
      <c r="C2310" s="3">
        <v>77</v>
      </c>
      <c r="D2310" s="3">
        <v>13</v>
      </c>
      <c r="E2310" s="3" t="s">
        <v>10</v>
      </c>
      <c r="F2310" s="4">
        <v>44</v>
      </c>
      <c r="G2310" s="4"/>
      <c r="H2310" s="4">
        <f t="shared" si="222"/>
        <v>44</v>
      </c>
    </row>
    <row r="2311" ht="14.25" spans="1:8">
      <c r="A2311" s="3" t="str">
        <f>"11408207714"</f>
        <v>11408207714</v>
      </c>
      <c r="B2311" s="3">
        <v>2</v>
      </c>
      <c r="C2311" s="3">
        <v>77</v>
      </c>
      <c r="D2311" s="3">
        <v>14</v>
      </c>
      <c r="E2311" s="3" t="s">
        <v>10</v>
      </c>
      <c r="F2311" s="3">
        <v>0</v>
      </c>
      <c r="G2311" s="4"/>
      <c r="H2311" s="3">
        <v>0</v>
      </c>
    </row>
    <row r="2312" ht="14.25" spans="1:8">
      <c r="A2312" s="3" t="str">
        <f>"11408207715"</f>
        <v>11408207715</v>
      </c>
      <c r="B2312" s="3">
        <v>2</v>
      </c>
      <c r="C2312" s="3">
        <v>77</v>
      </c>
      <c r="D2312" s="3">
        <v>15</v>
      </c>
      <c r="E2312" s="3" t="s">
        <v>10</v>
      </c>
      <c r="F2312" s="4">
        <v>62.5</v>
      </c>
      <c r="G2312" s="4"/>
      <c r="H2312" s="4">
        <f t="shared" ref="H2312:H2321" si="223">F2312+G2312</f>
        <v>62.5</v>
      </c>
    </row>
    <row r="2313" ht="14.25" spans="1:8">
      <c r="A2313" s="3" t="str">
        <f>"11408207716"</f>
        <v>11408207716</v>
      </c>
      <c r="B2313" s="3">
        <v>2</v>
      </c>
      <c r="C2313" s="3">
        <v>77</v>
      </c>
      <c r="D2313" s="3">
        <v>16</v>
      </c>
      <c r="E2313" s="3" t="s">
        <v>10</v>
      </c>
      <c r="F2313" s="3">
        <v>0</v>
      </c>
      <c r="G2313" s="4"/>
      <c r="H2313" s="3">
        <v>0</v>
      </c>
    </row>
    <row r="2314" ht="14.25" spans="1:8">
      <c r="A2314" s="3" t="str">
        <f>"11408207717"</f>
        <v>11408207717</v>
      </c>
      <c r="B2314" s="3">
        <v>2</v>
      </c>
      <c r="C2314" s="3">
        <v>77</v>
      </c>
      <c r="D2314" s="3">
        <v>17</v>
      </c>
      <c r="E2314" s="3" t="s">
        <v>10</v>
      </c>
      <c r="F2314" s="4">
        <v>73</v>
      </c>
      <c r="G2314" s="4"/>
      <c r="H2314" s="4">
        <f t="shared" si="223"/>
        <v>73</v>
      </c>
    </row>
    <row r="2315" ht="14.25" spans="1:8">
      <c r="A2315" s="3" t="str">
        <f>"11408207718"</f>
        <v>11408207718</v>
      </c>
      <c r="B2315" s="3">
        <v>2</v>
      </c>
      <c r="C2315" s="3">
        <v>77</v>
      </c>
      <c r="D2315" s="3">
        <v>18</v>
      </c>
      <c r="E2315" s="3" t="s">
        <v>10</v>
      </c>
      <c r="F2315" s="3">
        <v>0</v>
      </c>
      <c r="G2315" s="4"/>
      <c r="H2315" s="3">
        <v>0</v>
      </c>
    </row>
    <row r="2316" ht="14.25" spans="1:8">
      <c r="A2316" s="3" t="str">
        <f>"11408207719"</f>
        <v>11408207719</v>
      </c>
      <c r="B2316" s="3">
        <v>2</v>
      </c>
      <c r="C2316" s="3">
        <v>77</v>
      </c>
      <c r="D2316" s="3">
        <v>19</v>
      </c>
      <c r="E2316" s="3" t="s">
        <v>10</v>
      </c>
      <c r="F2316" s="3">
        <v>0</v>
      </c>
      <c r="G2316" s="4"/>
      <c r="H2316" s="3">
        <v>0</v>
      </c>
    </row>
    <row r="2317" ht="14.25" spans="1:8">
      <c r="A2317" s="3" t="str">
        <f>"11408207720"</f>
        <v>11408207720</v>
      </c>
      <c r="B2317" s="3">
        <v>2</v>
      </c>
      <c r="C2317" s="3">
        <v>77</v>
      </c>
      <c r="D2317" s="3">
        <v>20</v>
      </c>
      <c r="E2317" s="3" t="s">
        <v>10</v>
      </c>
      <c r="F2317" s="4">
        <v>78</v>
      </c>
      <c r="G2317" s="4"/>
      <c r="H2317" s="4">
        <f t="shared" si="223"/>
        <v>78</v>
      </c>
    </row>
    <row r="2318" ht="14.25" spans="1:8">
      <c r="A2318" s="3" t="str">
        <f>"11501207721"</f>
        <v>11501207721</v>
      </c>
      <c r="B2318" s="3">
        <v>2</v>
      </c>
      <c r="C2318" s="3">
        <v>77</v>
      </c>
      <c r="D2318" s="3">
        <v>21</v>
      </c>
      <c r="E2318" s="3" t="s">
        <v>10</v>
      </c>
      <c r="F2318" s="4">
        <v>57</v>
      </c>
      <c r="G2318" s="4"/>
      <c r="H2318" s="4">
        <f t="shared" si="223"/>
        <v>57</v>
      </c>
    </row>
    <row r="2319" ht="14.25" spans="1:8">
      <c r="A2319" s="3" t="str">
        <f>"11501207722"</f>
        <v>11501207722</v>
      </c>
      <c r="B2319" s="3">
        <v>2</v>
      </c>
      <c r="C2319" s="3">
        <v>77</v>
      </c>
      <c r="D2319" s="3">
        <v>22</v>
      </c>
      <c r="E2319" s="3" t="s">
        <v>10</v>
      </c>
      <c r="F2319" s="4">
        <v>67</v>
      </c>
      <c r="G2319" s="4"/>
      <c r="H2319" s="4">
        <f t="shared" si="223"/>
        <v>67</v>
      </c>
    </row>
    <row r="2320" ht="14.25" spans="1:8">
      <c r="A2320" s="3" t="str">
        <f>"11501207723"</f>
        <v>11501207723</v>
      </c>
      <c r="B2320" s="3">
        <v>2</v>
      </c>
      <c r="C2320" s="3">
        <v>77</v>
      </c>
      <c r="D2320" s="3">
        <v>23</v>
      </c>
      <c r="E2320" s="3" t="s">
        <v>10</v>
      </c>
      <c r="F2320" s="4">
        <v>78</v>
      </c>
      <c r="G2320" s="4"/>
      <c r="H2320" s="4">
        <f t="shared" si="223"/>
        <v>78</v>
      </c>
    </row>
    <row r="2321" ht="14.25" spans="1:8">
      <c r="A2321" s="3" t="str">
        <f>"11501207724"</f>
        <v>11501207724</v>
      </c>
      <c r="B2321" s="3">
        <v>2</v>
      </c>
      <c r="C2321" s="3">
        <v>77</v>
      </c>
      <c r="D2321" s="3">
        <v>24</v>
      </c>
      <c r="E2321" s="3" t="s">
        <v>10</v>
      </c>
      <c r="F2321" s="4">
        <v>66.5</v>
      </c>
      <c r="G2321" s="4"/>
      <c r="H2321" s="4">
        <f t="shared" si="223"/>
        <v>66.5</v>
      </c>
    </row>
    <row r="2322" ht="14.25" spans="1:8">
      <c r="A2322" s="3" t="str">
        <f>"11501207725"</f>
        <v>11501207725</v>
      </c>
      <c r="B2322" s="3">
        <v>2</v>
      </c>
      <c r="C2322" s="3">
        <v>77</v>
      </c>
      <c r="D2322" s="3">
        <v>25</v>
      </c>
      <c r="E2322" s="3" t="s">
        <v>10</v>
      </c>
      <c r="F2322" s="3">
        <v>0</v>
      </c>
      <c r="G2322" s="4"/>
      <c r="H2322" s="3">
        <v>0</v>
      </c>
    </row>
    <row r="2323" ht="14.25" spans="1:8">
      <c r="A2323" s="3" t="str">
        <f>"11501207726"</f>
        <v>11501207726</v>
      </c>
      <c r="B2323" s="3">
        <v>2</v>
      </c>
      <c r="C2323" s="3">
        <v>77</v>
      </c>
      <c r="D2323" s="3">
        <v>26</v>
      </c>
      <c r="E2323" s="3" t="s">
        <v>10</v>
      </c>
      <c r="F2323" s="3">
        <v>0</v>
      </c>
      <c r="G2323" s="4"/>
      <c r="H2323" s="3">
        <v>0</v>
      </c>
    </row>
    <row r="2324" ht="14.25" spans="1:8">
      <c r="A2324" s="3" t="str">
        <f>"11501207727"</f>
        <v>11501207727</v>
      </c>
      <c r="B2324" s="3">
        <v>2</v>
      </c>
      <c r="C2324" s="3">
        <v>77</v>
      </c>
      <c r="D2324" s="3">
        <v>27</v>
      </c>
      <c r="E2324" s="3" t="s">
        <v>10</v>
      </c>
      <c r="F2324" s="4">
        <v>66.5</v>
      </c>
      <c r="G2324" s="4"/>
      <c r="H2324" s="4">
        <f t="shared" ref="H2324:H2331" si="224">F2324+G2324</f>
        <v>66.5</v>
      </c>
    </row>
    <row r="2325" ht="14.25" spans="1:8">
      <c r="A2325" s="3" t="str">
        <f>"11501207728"</f>
        <v>11501207728</v>
      </c>
      <c r="B2325" s="3">
        <v>2</v>
      </c>
      <c r="C2325" s="3">
        <v>77</v>
      </c>
      <c r="D2325" s="3">
        <v>28</v>
      </c>
      <c r="E2325" s="3" t="s">
        <v>10</v>
      </c>
      <c r="F2325" s="4">
        <v>58.5</v>
      </c>
      <c r="G2325" s="4"/>
      <c r="H2325" s="4">
        <f t="shared" si="224"/>
        <v>58.5</v>
      </c>
    </row>
    <row r="2326" ht="14.25" spans="1:8">
      <c r="A2326" s="3" t="str">
        <f>"11501207729"</f>
        <v>11501207729</v>
      </c>
      <c r="B2326" s="3">
        <v>2</v>
      </c>
      <c r="C2326" s="3">
        <v>77</v>
      </c>
      <c r="D2326" s="3">
        <v>29</v>
      </c>
      <c r="E2326" s="3" t="s">
        <v>10</v>
      </c>
      <c r="F2326" s="3">
        <v>0</v>
      </c>
      <c r="G2326" s="4"/>
      <c r="H2326" s="3">
        <v>0</v>
      </c>
    </row>
    <row r="2327" ht="14.25" spans="1:8">
      <c r="A2327" s="3" t="str">
        <f>"11501207730"</f>
        <v>11501207730</v>
      </c>
      <c r="B2327" s="3">
        <v>2</v>
      </c>
      <c r="C2327" s="3">
        <v>77</v>
      </c>
      <c r="D2327" s="3">
        <v>30</v>
      </c>
      <c r="E2327" s="3" t="s">
        <v>10</v>
      </c>
      <c r="F2327" s="4">
        <v>80.5</v>
      </c>
      <c r="G2327" s="4"/>
      <c r="H2327" s="4">
        <f t="shared" si="224"/>
        <v>80.5</v>
      </c>
    </row>
    <row r="2328" ht="14.25" spans="1:8">
      <c r="A2328" s="3" t="str">
        <f>"11501207801"</f>
        <v>11501207801</v>
      </c>
      <c r="B2328" s="3">
        <v>2</v>
      </c>
      <c r="C2328" s="3">
        <v>78</v>
      </c>
      <c r="D2328" s="3">
        <v>1</v>
      </c>
      <c r="E2328" s="3" t="s">
        <v>10</v>
      </c>
      <c r="F2328" s="4">
        <v>56.5</v>
      </c>
      <c r="G2328" s="4"/>
      <c r="H2328" s="4">
        <f t="shared" si="224"/>
        <v>56.5</v>
      </c>
    </row>
    <row r="2329" ht="14.25" spans="1:8">
      <c r="A2329" s="3" t="str">
        <f>"11501207802"</f>
        <v>11501207802</v>
      </c>
      <c r="B2329" s="3">
        <v>2</v>
      </c>
      <c r="C2329" s="3">
        <v>78</v>
      </c>
      <c r="D2329" s="3">
        <v>2</v>
      </c>
      <c r="E2329" s="3" t="s">
        <v>10</v>
      </c>
      <c r="F2329" s="4">
        <v>66</v>
      </c>
      <c r="G2329" s="4"/>
      <c r="H2329" s="4">
        <f t="shared" si="224"/>
        <v>66</v>
      </c>
    </row>
    <row r="2330" ht="14.25" spans="1:8">
      <c r="A2330" s="3" t="str">
        <f>"11501207803"</f>
        <v>11501207803</v>
      </c>
      <c r="B2330" s="3">
        <v>2</v>
      </c>
      <c r="C2330" s="3">
        <v>78</v>
      </c>
      <c r="D2330" s="3">
        <v>3</v>
      </c>
      <c r="E2330" s="3" t="s">
        <v>10</v>
      </c>
      <c r="F2330" s="4">
        <v>75</v>
      </c>
      <c r="G2330" s="4"/>
      <c r="H2330" s="4">
        <f t="shared" si="224"/>
        <v>75</v>
      </c>
    </row>
    <row r="2331" ht="14.25" spans="1:8">
      <c r="A2331" s="3" t="str">
        <f>"11501207804"</f>
        <v>11501207804</v>
      </c>
      <c r="B2331" s="3">
        <v>2</v>
      </c>
      <c r="C2331" s="3">
        <v>78</v>
      </c>
      <c r="D2331" s="3">
        <v>4</v>
      </c>
      <c r="E2331" s="3" t="s">
        <v>10</v>
      </c>
      <c r="F2331" s="4">
        <v>62</v>
      </c>
      <c r="G2331" s="4"/>
      <c r="H2331" s="4">
        <f t="shared" si="224"/>
        <v>62</v>
      </c>
    </row>
    <row r="2332" ht="14.25" spans="1:8">
      <c r="A2332" s="3" t="str">
        <f>"11501207805"</f>
        <v>11501207805</v>
      </c>
      <c r="B2332" s="3">
        <v>2</v>
      </c>
      <c r="C2332" s="3">
        <v>78</v>
      </c>
      <c r="D2332" s="3">
        <v>5</v>
      </c>
      <c r="E2332" s="3" t="s">
        <v>10</v>
      </c>
      <c r="F2332" s="3">
        <v>0</v>
      </c>
      <c r="G2332" s="4"/>
      <c r="H2332" s="3">
        <v>0</v>
      </c>
    </row>
    <row r="2333" ht="14.25" spans="1:8">
      <c r="A2333" s="3" t="str">
        <f>"11501207806"</f>
        <v>11501207806</v>
      </c>
      <c r="B2333" s="3">
        <v>2</v>
      </c>
      <c r="C2333" s="3">
        <v>78</v>
      </c>
      <c r="D2333" s="3">
        <v>6</v>
      </c>
      <c r="E2333" s="3" t="s">
        <v>10</v>
      </c>
      <c r="F2333" s="4">
        <v>69</v>
      </c>
      <c r="G2333" s="4"/>
      <c r="H2333" s="4">
        <f t="shared" ref="H2333:H2337" si="225">F2333+G2333</f>
        <v>69</v>
      </c>
    </row>
    <row r="2334" ht="14.25" spans="1:8">
      <c r="A2334" s="3" t="str">
        <f>"11501207807"</f>
        <v>11501207807</v>
      </c>
      <c r="B2334" s="3">
        <v>2</v>
      </c>
      <c r="C2334" s="3">
        <v>78</v>
      </c>
      <c r="D2334" s="3">
        <v>7</v>
      </c>
      <c r="E2334" s="3" t="s">
        <v>10</v>
      </c>
      <c r="F2334" s="4">
        <v>52</v>
      </c>
      <c r="G2334" s="4"/>
      <c r="H2334" s="4">
        <f t="shared" si="225"/>
        <v>52</v>
      </c>
    </row>
    <row r="2335" ht="14.25" spans="1:8">
      <c r="A2335" s="3" t="str">
        <f>"11501207808"</f>
        <v>11501207808</v>
      </c>
      <c r="B2335" s="3">
        <v>2</v>
      </c>
      <c r="C2335" s="3">
        <v>78</v>
      </c>
      <c r="D2335" s="3">
        <v>8</v>
      </c>
      <c r="E2335" s="3" t="s">
        <v>10</v>
      </c>
      <c r="F2335" s="3">
        <v>0</v>
      </c>
      <c r="G2335" s="4"/>
      <c r="H2335" s="3">
        <v>0</v>
      </c>
    </row>
    <row r="2336" ht="14.25" spans="1:8">
      <c r="A2336" s="3" t="str">
        <f>"11501207809"</f>
        <v>11501207809</v>
      </c>
      <c r="B2336" s="3">
        <v>2</v>
      </c>
      <c r="C2336" s="3">
        <v>78</v>
      </c>
      <c r="D2336" s="3">
        <v>9</v>
      </c>
      <c r="E2336" s="3" t="s">
        <v>10</v>
      </c>
      <c r="F2336" s="4">
        <v>83.5</v>
      </c>
      <c r="G2336" s="4"/>
      <c r="H2336" s="4">
        <f t="shared" si="225"/>
        <v>83.5</v>
      </c>
    </row>
    <row r="2337" ht="14.25" spans="1:8">
      <c r="A2337" s="3" t="str">
        <f>"11501207810"</f>
        <v>11501207810</v>
      </c>
      <c r="B2337" s="3">
        <v>2</v>
      </c>
      <c r="C2337" s="3">
        <v>78</v>
      </c>
      <c r="D2337" s="3">
        <v>10</v>
      </c>
      <c r="E2337" s="3" t="s">
        <v>10</v>
      </c>
      <c r="F2337" s="4">
        <v>77.5</v>
      </c>
      <c r="G2337" s="4"/>
      <c r="H2337" s="4">
        <f t="shared" si="225"/>
        <v>77.5</v>
      </c>
    </row>
    <row r="2338" ht="14.25" spans="1:8">
      <c r="A2338" s="3" t="str">
        <f>"11501207811"</f>
        <v>11501207811</v>
      </c>
      <c r="B2338" s="3">
        <v>2</v>
      </c>
      <c r="C2338" s="3">
        <v>78</v>
      </c>
      <c r="D2338" s="3">
        <v>11</v>
      </c>
      <c r="E2338" s="3" t="s">
        <v>10</v>
      </c>
      <c r="F2338" s="3">
        <v>0</v>
      </c>
      <c r="G2338" s="4"/>
      <c r="H2338" s="3">
        <v>0</v>
      </c>
    </row>
    <row r="2339" ht="14.25" spans="1:8">
      <c r="A2339" s="3" t="str">
        <f>"11501207812"</f>
        <v>11501207812</v>
      </c>
      <c r="B2339" s="3">
        <v>2</v>
      </c>
      <c r="C2339" s="3">
        <v>78</v>
      </c>
      <c r="D2339" s="3">
        <v>12</v>
      </c>
      <c r="E2339" s="3" t="s">
        <v>10</v>
      </c>
      <c r="F2339" s="4">
        <v>75.5</v>
      </c>
      <c r="G2339" s="4"/>
      <c r="H2339" s="4">
        <f t="shared" ref="H2339:H2341" si="226">F2339+G2339</f>
        <v>75.5</v>
      </c>
    </row>
    <row r="2340" ht="14.25" spans="1:8">
      <c r="A2340" s="3" t="str">
        <f>"11501207813"</f>
        <v>11501207813</v>
      </c>
      <c r="B2340" s="3">
        <v>2</v>
      </c>
      <c r="C2340" s="3">
        <v>78</v>
      </c>
      <c r="D2340" s="3">
        <v>13</v>
      </c>
      <c r="E2340" s="3" t="s">
        <v>10</v>
      </c>
      <c r="F2340" s="4">
        <v>62.5</v>
      </c>
      <c r="G2340" s="4"/>
      <c r="H2340" s="4">
        <f t="shared" si="226"/>
        <v>62.5</v>
      </c>
    </row>
    <row r="2341" ht="14.25" spans="1:8">
      <c r="A2341" s="3" t="str">
        <f>"11501207814"</f>
        <v>11501207814</v>
      </c>
      <c r="B2341" s="3">
        <v>2</v>
      </c>
      <c r="C2341" s="3">
        <v>78</v>
      </c>
      <c r="D2341" s="3">
        <v>14</v>
      </c>
      <c r="E2341" s="3" t="s">
        <v>10</v>
      </c>
      <c r="F2341" s="4">
        <v>57.5</v>
      </c>
      <c r="G2341" s="4"/>
      <c r="H2341" s="4">
        <f t="shared" si="226"/>
        <v>57.5</v>
      </c>
    </row>
    <row r="2342" ht="14.25" spans="1:8">
      <c r="A2342" s="3" t="str">
        <f>"11501207815"</f>
        <v>11501207815</v>
      </c>
      <c r="B2342" s="3">
        <v>2</v>
      </c>
      <c r="C2342" s="3">
        <v>78</v>
      </c>
      <c r="D2342" s="3">
        <v>15</v>
      </c>
      <c r="E2342" s="3" t="s">
        <v>10</v>
      </c>
      <c r="F2342" s="3">
        <v>0</v>
      </c>
      <c r="G2342" s="4"/>
      <c r="H2342" s="3">
        <v>0</v>
      </c>
    </row>
    <row r="2343" ht="14.25" spans="1:8">
      <c r="A2343" s="3" t="str">
        <f>"11501207816"</f>
        <v>11501207816</v>
      </c>
      <c r="B2343" s="3">
        <v>2</v>
      </c>
      <c r="C2343" s="3">
        <v>78</v>
      </c>
      <c r="D2343" s="3">
        <v>16</v>
      </c>
      <c r="E2343" s="3" t="s">
        <v>10</v>
      </c>
      <c r="F2343" s="4">
        <v>63</v>
      </c>
      <c r="G2343" s="4"/>
      <c r="H2343" s="4">
        <f t="shared" ref="H2343:H2349" si="227">F2343+G2343</f>
        <v>63</v>
      </c>
    </row>
    <row r="2344" ht="14.25" spans="1:8">
      <c r="A2344" s="3" t="str">
        <f>"11501207817"</f>
        <v>11501207817</v>
      </c>
      <c r="B2344" s="3">
        <v>2</v>
      </c>
      <c r="C2344" s="3">
        <v>78</v>
      </c>
      <c r="D2344" s="3">
        <v>17</v>
      </c>
      <c r="E2344" s="3" t="s">
        <v>10</v>
      </c>
      <c r="F2344" s="4">
        <v>57.5</v>
      </c>
      <c r="G2344" s="4"/>
      <c r="H2344" s="4">
        <f t="shared" si="227"/>
        <v>57.5</v>
      </c>
    </row>
    <row r="2345" ht="14.25" spans="1:8">
      <c r="A2345" s="3" t="str">
        <f>"11501207818"</f>
        <v>11501207818</v>
      </c>
      <c r="B2345" s="3">
        <v>2</v>
      </c>
      <c r="C2345" s="3">
        <v>78</v>
      </c>
      <c r="D2345" s="3">
        <v>18</v>
      </c>
      <c r="E2345" s="3" t="s">
        <v>10</v>
      </c>
      <c r="F2345" s="3">
        <v>0</v>
      </c>
      <c r="G2345" s="4"/>
      <c r="H2345" s="3">
        <v>0</v>
      </c>
    </row>
    <row r="2346" ht="14.25" spans="1:8">
      <c r="A2346" s="3" t="str">
        <f>"11501207819"</f>
        <v>11501207819</v>
      </c>
      <c r="B2346" s="3">
        <v>2</v>
      </c>
      <c r="C2346" s="3">
        <v>78</v>
      </c>
      <c r="D2346" s="3">
        <v>19</v>
      </c>
      <c r="E2346" s="3" t="s">
        <v>10</v>
      </c>
      <c r="F2346" s="3">
        <v>0</v>
      </c>
      <c r="G2346" s="4"/>
      <c r="H2346" s="3">
        <v>0</v>
      </c>
    </row>
    <row r="2347" ht="14.25" spans="1:8">
      <c r="A2347" s="3" t="str">
        <f>"11501207820"</f>
        <v>11501207820</v>
      </c>
      <c r="B2347" s="3">
        <v>2</v>
      </c>
      <c r="C2347" s="3">
        <v>78</v>
      </c>
      <c r="D2347" s="3">
        <v>20</v>
      </c>
      <c r="E2347" s="3" t="s">
        <v>10</v>
      </c>
      <c r="F2347" s="3">
        <v>0</v>
      </c>
      <c r="G2347" s="4"/>
      <c r="H2347" s="3">
        <v>0</v>
      </c>
    </row>
    <row r="2348" ht="14.25" spans="1:8">
      <c r="A2348" s="3" t="str">
        <f>"11501207821"</f>
        <v>11501207821</v>
      </c>
      <c r="B2348" s="3">
        <v>2</v>
      </c>
      <c r="C2348" s="3">
        <v>78</v>
      </c>
      <c r="D2348" s="3">
        <v>21</v>
      </c>
      <c r="E2348" s="3" t="s">
        <v>10</v>
      </c>
      <c r="F2348" s="4">
        <v>60.5</v>
      </c>
      <c r="G2348" s="4"/>
      <c r="H2348" s="4">
        <f t="shared" si="227"/>
        <v>60.5</v>
      </c>
    </row>
    <row r="2349" ht="14.25" spans="1:8">
      <c r="A2349" s="3" t="str">
        <f>"11501207822"</f>
        <v>11501207822</v>
      </c>
      <c r="B2349" s="3">
        <v>2</v>
      </c>
      <c r="C2349" s="3">
        <v>78</v>
      </c>
      <c r="D2349" s="3">
        <v>22</v>
      </c>
      <c r="E2349" s="3" t="s">
        <v>10</v>
      </c>
      <c r="F2349" s="4">
        <v>52</v>
      </c>
      <c r="G2349" s="4"/>
      <c r="H2349" s="4">
        <f t="shared" si="227"/>
        <v>52</v>
      </c>
    </row>
    <row r="2350" ht="14.25" spans="1:8">
      <c r="A2350" s="3" t="str">
        <f>"11501207823"</f>
        <v>11501207823</v>
      </c>
      <c r="B2350" s="3">
        <v>2</v>
      </c>
      <c r="C2350" s="3">
        <v>78</v>
      </c>
      <c r="D2350" s="3">
        <v>23</v>
      </c>
      <c r="E2350" s="3" t="s">
        <v>10</v>
      </c>
      <c r="F2350" s="3">
        <v>0</v>
      </c>
      <c r="G2350" s="4"/>
      <c r="H2350" s="3">
        <v>0</v>
      </c>
    </row>
    <row r="2351" ht="14.25" spans="1:8">
      <c r="A2351" s="3" t="str">
        <f>"11501207824"</f>
        <v>11501207824</v>
      </c>
      <c r="B2351" s="3">
        <v>2</v>
      </c>
      <c r="C2351" s="3">
        <v>78</v>
      </c>
      <c r="D2351" s="3">
        <v>24</v>
      </c>
      <c r="E2351" s="3" t="s">
        <v>10</v>
      </c>
      <c r="F2351" s="4">
        <v>75</v>
      </c>
      <c r="G2351" s="4"/>
      <c r="H2351" s="4">
        <f t="shared" ref="H2351:H2355" si="228">F2351+G2351</f>
        <v>75</v>
      </c>
    </row>
    <row r="2352" ht="14.25" spans="1:8">
      <c r="A2352" s="3" t="str">
        <f>"11501207825"</f>
        <v>11501207825</v>
      </c>
      <c r="B2352" s="3">
        <v>2</v>
      </c>
      <c r="C2352" s="3">
        <v>78</v>
      </c>
      <c r="D2352" s="3">
        <v>25</v>
      </c>
      <c r="E2352" s="3" t="s">
        <v>10</v>
      </c>
      <c r="F2352" s="3">
        <v>0</v>
      </c>
      <c r="G2352" s="4"/>
      <c r="H2352" s="3">
        <v>0</v>
      </c>
    </row>
    <row r="2353" ht="14.25" spans="1:8">
      <c r="A2353" s="3" t="str">
        <f>"11501207826"</f>
        <v>11501207826</v>
      </c>
      <c r="B2353" s="3">
        <v>2</v>
      </c>
      <c r="C2353" s="3">
        <v>78</v>
      </c>
      <c r="D2353" s="3">
        <v>26</v>
      </c>
      <c r="E2353" s="3" t="s">
        <v>10</v>
      </c>
      <c r="F2353" s="4">
        <v>70.5</v>
      </c>
      <c r="G2353" s="4"/>
      <c r="H2353" s="4">
        <f t="shared" si="228"/>
        <v>70.5</v>
      </c>
    </row>
    <row r="2354" ht="14.25" spans="1:8">
      <c r="A2354" s="3" t="str">
        <f>"11501207827"</f>
        <v>11501207827</v>
      </c>
      <c r="B2354" s="3">
        <v>2</v>
      </c>
      <c r="C2354" s="3">
        <v>78</v>
      </c>
      <c r="D2354" s="3">
        <v>27</v>
      </c>
      <c r="E2354" s="3" t="s">
        <v>10</v>
      </c>
      <c r="F2354" s="4">
        <v>85.5</v>
      </c>
      <c r="G2354" s="4"/>
      <c r="H2354" s="4">
        <f t="shared" si="228"/>
        <v>85.5</v>
      </c>
    </row>
    <row r="2355" ht="14.25" spans="1:8">
      <c r="A2355" s="3" t="str">
        <f>"11501207828"</f>
        <v>11501207828</v>
      </c>
      <c r="B2355" s="3">
        <v>2</v>
      </c>
      <c r="C2355" s="3">
        <v>78</v>
      </c>
      <c r="D2355" s="3">
        <v>28</v>
      </c>
      <c r="E2355" s="3" t="s">
        <v>10</v>
      </c>
      <c r="F2355" s="4">
        <v>69.5</v>
      </c>
      <c r="G2355" s="4"/>
      <c r="H2355" s="4">
        <f t="shared" si="228"/>
        <v>69.5</v>
      </c>
    </row>
    <row r="2356" ht="14.25" spans="1:8">
      <c r="A2356" s="3" t="str">
        <f>"11501207829"</f>
        <v>11501207829</v>
      </c>
      <c r="B2356" s="3">
        <v>2</v>
      </c>
      <c r="C2356" s="3">
        <v>78</v>
      </c>
      <c r="D2356" s="3">
        <v>29</v>
      </c>
      <c r="E2356" s="3" t="s">
        <v>10</v>
      </c>
      <c r="F2356" s="3">
        <v>0</v>
      </c>
      <c r="G2356" s="4"/>
      <c r="H2356" s="3">
        <v>0</v>
      </c>
    </row>
    <row r="2357" ht="14.25" spans="1:8">
      <c r="A2357" s="3" t="str">
        <f>"11601207830"</f>
        <v>11601207830</v>
      </c>
      <c r="B2357" s="3">
        <v>2</v>
      </c>
      <c r="C2357" s="3">
        <v>78</v>
      </c>
      <c r="D2357" s="3">
        <v>30</v>
      </c>
      <c r="E2357" s="3" t="s">
        <v>10</v>
      </c>
      <c r="F2357" s="4">
        <v>76</v>
      </c>
      <c r="G2357" s="4"/>
      <c r="H2357" s="4">
        <f t="shared" ref="H2357:H2361" si="229">F2357+G2357</f>
        <v>76</v>
      </c>
    </row>
    <row r="2358" ht="14.25" spans="1:8">
      <c r="A2358" s="3" t="str">
        <f>"11601207901"</f>
        <v>11601207901</v>
      </c>
      <c r="B2358" s="3">
        <v>2</v>
      </c>
      <c r="C2358" s="3">
        <v>79</v>
      </c>
      <c r="D2358" s="3">
        <v>1</v>
      </c>
      <c r="E2358" s="3" t="s">
        <v>10</v>
      </c>
      <c r="F2358" s="3">
        <v>0</v>
      </c>
      <c r="G2358" s="4"/>
      <c r="H2358" s="3">
        <v>0</v>
      </c>
    </row>
    <row r="2359" ht="14.25" spans="1:8">
      <c r="A2359" s="3" t="str">
        <f>"11601207902"</f>
        <v>11601207902</v>
      </c>
      <c r="B2359" s="3">
        <v>2</v>
      </c>
      <c r="C2359" s="3">
        <v>79</v>
      </c>
      <c r="D2359" s="3">
        <v>2</v>
      </c>
      <c r="E2359" s="3" t="s">
        <v>10</v>
      </c>
      <c r="F2359" s="4">
        <v>83</v>
      </c>
      <c r="G2359" s="4"/>
      <c r="H2359" s="4">
        <f t="shared" si="229"/>
        <v>83</v>
      </c>
    </row>
    <row r="2360" ht="14.25" spans="1:8">
      <c r="A2360" s="3" t="str">
        <f>"11601207903"</f>
        <v>11601207903</v>
      </c>
      <c r="B2360" s="3">
        <v>2</v>
      </c>
      <c r="C2360" s="3">
        <v>79</v>
      </c>
      <c r="D2360" s="3">
        <v>3</v>
      </c>
      <c r="E2360" s="3" t="s">
        <v>10</v>
      </c>
      <c r="F2360" s="4">
        <v>74</v>
      </c>
      <c r="G2360" s="4"/>
      <c r="H2360" s="4">
        <f t="shared" si="229"/>
        <v>74</v>
      </c>
    </row>
    <row r="2361" ht="14.25" spans="1:8">
      <c r="A2361" s="3" t="str">
        <f>"11601207904"</f>
        <v>11601207904</v>
      </c>
      <c r="B2361" s="3">
        <v>2</v>
      </c>
      <c r="C2361" s="3">
        <v>79</v>
      </c>
      <c r="D2361" s="3">
        <v>4</v>
      </c>
      <c r="E2361" s="3" t="s">
        <v>10</v>
      </c>
      <c r="F2361" s="4">
        <v>61.5</v>
      </c>
      <c r="G2361" s="4"/>
      <c r="H2361" s="4">
        <f t="shared" si="229"/>
        <v>61.5</v>
      </c>
    </row>
    <row r="2362" ht="14.25" spans="1:8">
      <c r="A2362" s="3" t="str">
        <f>"11601207905"</f>
        <v>11601207905</v>
      </c>
      <c r="B2362" s="3">
        <v>2</v>
      </c>
      <c r="C2362" s="3">
        <v>79</v>
      </c>
      <c r="D2362" s="3">
        <v>5</v>
      </c>
      <c r="E2362" s="3" t="s">
        <v>10</v>
      </c>
      <c r="F2362" s="3">
        <v>0</v>
      </c>
      <c r="G2362" s="4"/>
      <c r="H2362" s="3">
        <v>0</v>
      </c>
    </row>
    <row r="2363" ht="14.25" spans="1:8">
      <c r="A2363" s="3" t="str">
        <f>"11601207906"</f>
        <v>11601207906</v>
      </c>
      <c r="B2363" s="3">
        <v>2</v>
      </c>
      <c r="C2363" s="3">
        <v>79</v>
      </c>
      <c r="D2363" s="3">
        <v>6</v>
      </c>
      <c r="E2363" s="3" t="s">
        <v>10</v>
      </c>
      <c r="F2363" s="4">
        <v>79.5</v>
      </c>
      <c r="G2363" s="4"/>
      <c r="H2363" s="4">
        <f t="shared" ref="H2363:H2368" si="230">F2363+G2363</f>
        <v>79.5</v>
      </c>
    </row>
    <row r="2364" ht="14.25" spans="1:8">
      <c r="A2364" s="3" t="str">
        <f>"11601207907"</f>
        <v>11601207907</v>
      </c>
      <c r="B2364" s="3">
        <v>2</v>
      </c>
      <c r="C2364" s="3">
        <v>79</v>
      </c>
      <c r="D2364" s="3">
        <v>7</v>
      </c>
      <c r="E2364" s="3" t="s">
        <v>10</v>
      </c>
      <c r="F2364" s="4">
        <v>75.5</v>
      </c>
      <c r="G2364" s="4"/>
      <c r="H2364" s="4">
        <f t="shared" si="230"/>
        <v>75.5</v>
      </c>
    </row>
    <row r="2365" ht="14.25" spans="1:8">
      <c r="A2365" s="3" t="str">
        <f>"11601207908"</f>
        <v>11601207908</v>
      </c>
      <c r="B2365" s="3">
        <v>2</v>
      </c>
      <c r="C2365" s="3">
        <v>79</v>
      </c>
      <c r="D2365" s="3">
        <v>8</v>
      </c>
      <c r="E2365" s="3" t="s">
        <v>10</v>
      </c>
      <c r="F2365" s="4">
        <v>70</v>
      </c>
      <c r="G2365" s="4"/>
      <c r="H2365" s="4">
        <f t="shared" si="230"/>
        <v>70</v>
      </c>
    </row>
    <row r="2366" ht="14.25" spans="1:8">
      <c r="A2366" s="3" t="str">
        <f>"11601207909"</f>
        <v>11601207909</v>
      </c>
      <c r="B2366" s="3">
        <v>2</v>
      </c>
      <c r="C2366" s="3">
        <v>79</v>
      </c>
      <c r="D2366" s="3">
        <v>9</v>
      </c>
      <c r="E2366" s="3" t="s">
        <v>10</v>
      </c>
      <c r="F2366" s="4">
        <v>69.5</v>
      </c>
      <c r="G2366" s="4"/>
      <c r="H2366" s="4">
        <f t="shared" si="230"/>
        <v>69.5</v>
      </c>
    </row>
    <row r="2367" ht="14.25" spans="1:8">
      <c r="A2367" s="3" t="str">
        <f>"11601207910"</f>
        <v>11601207910</v>
      </c>
      <c r="B2367" s="3">
        <v>2</v>
      </c>
      <c r="C2367" s="3">
        <v>79</v>
      </c>
      <c r="D2367" s="3">
        <v>10</v>
      </c>
      <c r="E2367" s="3" t="s">
        <v>10</v>
      </c>
      <c r="F2367" s="4">
        <v>76</v>
      </c>
      <c r="G2367" s="4"/>
      <c r="H2367" s="4">
        <f t="shared" si="230"/>
        <v>76</v>
      </c>
    </row>
    <row r="2368" ht="14.25" spans="1:8">
      <c r="A2368" s="3" t="str">
        <f>"11601207911"</f>
        <v>11601207911</v>
      </c>
      <c r="B2368" s="3">
        <v>2</v>
      </c>
      <c r="C2368" s="3">
        <v>79</v>
      </c>
      <c r="D2368" s="3">
        <v>11</v>
      </c>
      <c r="E2368" s="3" t="s">
        <v>10</v>
      </c>
      <c r="F2368" s="4">
        <v>64.5</v>
      </c>
      <c r="G2368" s="4"/>
      <c r="H2368" s="4">
        <f t="shared" si="230"/>
        <v>64.5</v>
      </c>
    </row>
    <row r="2369" ht="14.25" spans="1:8">
      <c r="A2369" s="3" t="str">
        <f>"11601207912"</f>
        <v>11601207912</v>
      </c>
      <c r="B2369" s="3">
        <v>2</v>
      </c>
      <c r="C2369" s="3">
        <v>79</v>
      </c>
      <c r="D2369" s="3">
        <v>12</v>
      </c>
      <c r="E2369" s="3" t="s">
        <v>10</v>
      </c>
      <c r="F2369" s="3">
        <v>0</v>
      </c>
      <c r="G2369" s="4"/>
      <c r="H2369" s="3">
        <v>0</v>
      </c>
    </row>
    <row r="2370" ht="14.25" spans="1:8">
      <c r="A2370" s="3" t="str">
        <f>"11601207913"</f>
        <v>11601207913</v>
      </c>
      <c r="B2370" s="3">
        <v>2</v>
      </c>
      <c r="C2370" s="3">
        <v>79</v>
      </c>
      <c r="D2370" s="3">
        <v>13</v>
      </c>
      <c r="E2370" s="3" t="s">
        <v>10</v>
      </c>
      <c r="F2370" s="4">
        <v>75.5</v>
      </c>
      <c r="G2370" s="4"/>
      <c r="H2370" s="4">
        <f t="shared" ref="H2370:H2378" si="231">F2370+G2370</f>
        <v>75.5</v>
      </c>
    </row>
    <row r="2371" ht="14.25" spans="1:8">
      <c r="A2371" s="3" t="str">
        <f>"11601207914"</f>
        <v>11601207914</v>
      </c>
      <c r="B2371" s="3">
        <v>2</v>
      </c>
      <c r="C2371" s="3">
        <v>79</v>
      </c>
      <c r="D2371" s="3">
        <v>14</v>
      </c>
      <c r="E2371" s="3" t="s">
        <v>10</v>
      </c>
      <c r="F2371" s="4">
        <v>70</v>
      </c>
      <c r="G2371" s="4"/>
      <c r="H2371" s="4">
        <f t="shared" si="231"/>
        <v>70</v>
      </c>
    </row>
    <row r="2372" ht="14.25" spans="1:8">
      <c r="A2372" s="3" t="str">
        <f>"11601207915"</f>
        <v>11601207915</v>
      </c>
      <c r="B2372" s="3">
        <v>2</v>
      </c>
      <c r="C2372" s="3">
        <v>79</v>
      </c>
      <c r="D2372" s="3">
        <v>15</v>
      </c>
      <c r="E2372" s="3" t="s">
        <v>10</v>
      </c>
      <c r="F2372" s="4">
        <v>72.5</v>
      </c>
      <c r="G2372" s="4"/>
      <c r="H2372" s="4">
        <f t="shared" si="231"/>
        <v>72.5</v>
      </c>
    </row>
    <row r="2373" ht="14.25" spans="1:8">
      <c r="A2373" s="3" t="str">
        <f>"11601207916"</f>
        <v>11601207916</v>
      </c>
      <c r="B2373" s="3">
        <v>2</v>
      </c>
      <c r="C2373" s="3">
        <v>79</v>
      </c>
      <c r="D2373" s="3">
        <v>16</v>
      </c>
      <c r="E2373" s="3" t="s">
        <v>10</v>
      </c>
      <c r="F2373" s="4">
        <v>77</v>
      </c>
      <c r="G2373" s="4"/>
      <c r="H2373" s="4">
        <f t="shared" si="231"/>
        <v>77</v>
      </c>
    </row>
    <row r="2374" ht="14.25" spans="1:8">
      <c r="A2374" s="3" t="str">
        <f>"11601207917"</f>
        <v>11601207917</v>
      </c>
      <c r="B2374" s="3">
        <v>2</v>
      </c>
      <c r="C2374" s="3">
        <v>79</v>
      </c>
      <c r="D2374" s="3">
        <v>17</v>
      </c>
      <c r="E2374" s="3" t="s">
        <v>10</v>
      </c>
      <c r="F2374" s="4">
        <v>60.5</v>
      </c>
      <c r="G2374" s="4"/>
      <c r="H2374" s="4">
        <f t="shared" si="231"/>
        <v>60.5</v>
      </c>
    </row>
    <row r="2375" ht="14.25" spans="1:8">
      <c r="A2375" s="3" t="str">
        <f>"11601207918"</f>
        <v>11601207918</v>
      </c>
      <c r="B2375" s="3">
        <v>2</v>
      </c>
      <c r="C2375" s="3">
        <v>79</v>
      </c>
      <c r="D2375" s="3">
        <v>18</v>
      </c>
      <c r="E2375" s="3" t="s">
        <v>10</v>
      </c>
      <c r="F2375" s="4">
        <v>79.5</v>
      </c>
      <c r="G2375" s="4"/>
      <c r="H2375" s="4">
        <f t="shared" si="231"/>
        <v>79.5</v>
      </c>
    </row>
    <row r="2376" ht="14.25" spans="1:8">
      <c r="A2376" s="3" t="str">
        <f>"11601207919"</f>
        <v>11601207919</v>
      </c>
      <c r="B2376" s="3">
        <v>2</v>
      </c>
      <c r="C2376" s="3">
        <v>79</v>
      </c>
      <c r="D2376" s="3">
        <v>19</v>
      </c>
      <c r="E2376" s="3" t="s">
        <v>10</v>
      </c>
      <c r="F2376" s="4">
        <v>60.5</v>
      </c>
      <c r="G2376" s="4"/>
      <c r="H2376" s="4">
        <f t="shared" si="231"/>
        <v>60.5</v>
      </c>
    </row>
    <row r="2377" ht="14.25" spans="1:8">
      <c r="A2377" s="3" t="str">
        <f>"11601207920"</f>
        <v>11601207920</v>
      </c>
      <c r="B2377" s="3">
        <v>2</v>
      </c>
      <c r="C2377" s="3">
        <v>79</v>
      </c>
      <c r="D2377" s="3">
        <v>20</v>
      </c>
      <c r="E2377" s="3" t="s">
        <v>10</v>
      </c>
      <c r="F2377" s="4">
        <v>75</v>
      </c>
      <c r="G2377" s="4"/>
      <c r="H2377" s="4">
        <f t="shared" si="231"/>
        <v>75</v>
      </c>
    </row>
    <row r="2378" ht="14.25" spans="1:8">
      <c r="A2378" s="3" t="str">
        <f>"11601207921"</f>
        <v>11601207921</v>
      </c>
      <c r="B2378" s="3">
        <v>2</v>
      </c>
      <c r="C2378" s="3">
        <v>79</v>
      </c>
      <c r="D2378" s="3">
        <v>21</v>
      </c>
      <c r="E2378" s="3" t="s">
        <v>10</v>
      </c>
      <c r="F2378" s="4">
        <v>79</v>
      </c>
      <c r="G2378" s="4"/>
      <c r="H2378" s="4">
        <f t="shared" si="231"/>
        <v>79</v>
      </c>
    </row>
    <row r="2379" ht="14.25" spans="1:8">
      <c r="A2379" s="3" t="str">
        <f>"11601207922"</f>
        <v>11601207922</v>
      </c>
      <c r="B2379" s="3">
        <v>2</v>
      </c>
      <c r="C2379" s="3">
        <v>79</v>
      </c>
      <c r="D2379" s="3">
        <v>22</v>
      </c>
      <c r="E2379" s="3" t="s">
        <v>10</v>
      </c>
      <c r="F2379" s="3">
        <v>0</v>
      </c>
      <c r="G2379" s="4"/>
      <c r="H2379" s="3">
        <v>0</v>
      </c>
    </row>
    <row r="2380" ht="14.25" spans="1:8">
      <c r="A2380" s="3" t="str">
        <f>"11601207923"</f>
        <v>11601207923</v>
      </c>
      <c r="B2380" s="3">
        <v>2</v>
      </c>
      <c r="C2380" s="3">
        <v>79</v>
      </c>
      <c r="D2380" s="3">
        <v>23</v>
      </c>
      <c r="E2380" s="3" t="s">
        <v>10</v>
      </c>
      <c r="F2380" s="3">
        <v>0</v>
      </c>
      <c r="G2380" s="4"/>
      <c r="H2380" s="3">
        <v>0</v>
      </c>
    </row>
    <row r="2381" ht="14.25" spans="1:8">
      <c r="A2381" s="3" t="str">
        <f>"11601207924"</f>
        <v>11601207924</v>
      </c>
      <c r="B2381" s="3">
        <v>2</v>
      </c>
      <c r="C2381" s="3">
        <v>79</v>
      </c>
      <c r="D2381" s="3">
        <v>24</v>
      </c>
      <c r="E2381" s="3" t="s">
        <v>10</v>
      </c>
      <c r="F2381" s="4">
        <v>68.5</v>
      </c>
      <c r="G2381" s="4"/>
      <c r="H2381" s="4">
        <f t="shared" ref="H2381:H2384" si="232">F2381+G2381</f>
        <v>68.5</v>
      </c>
    </row>
    <row r="2382" ht="14.25" spans="1:8">
      <c r="A2382" s="3" t="str">
        <f>"11601207925"</f>
        <v>11601207925</v>
      </c>
      <c r="B2382" s="3">
        <v>2</v>
      </c>
      <c r="C2382" s="3">
        <v>79</v>
      </c>
      <c r="D2382" s="3">
        <v>25</v>
      </c>
      <c r="E2382" s="3" t="s">
        <v>10</v>
      </c>
      <c r="F2382" s="4">
        <v>80</v>
      </c>
      <c r="G2382" s="4"/>
      <c r="H2382" s="4">
        <f t="shared" si="232"/>
        <v>80</v>
      </c>
    </row>
    <row r="2383" ht="14.25" spans="1:8">
      <c r="A2383" s="3" t="str">
        <f>"11601207926"</f>
        <v>11601207926</v>
      </c>
      <c r="B2383" s="3">
        <v>2</v>
      </c>
      <c r="C2383" s="3">
        <v>79</v>
      </c>
      <c r="D2383" s="3">
        <v>26</v>
      </c>
      <c r="E2383" s="3" t="s">
        <v>10</v>
      </c>
      <c r="F2383" s="3">
        <v>0</v>
      </c>
      <c r="G2383" s="4"/>
      <c r="H2383" s="3">
        <v>0</v>
      </c>
    </row>
    <row r="2384" ht="14.25" spans="1:8">
      <c r="A2384" s="3" t="str">
        <f>"11601207927"</f>
        <v>11601207927</v>
      </c>
      <c r="B2384" s="3">
        <v>2</v>
      </c>
      <c r="C2384" s="3">
        <v>79</v>
      </c>
      <c r="D2384" s="3">
        <v>27</v>
      </c>
      <c r="E2384" s="3" t="s">
        <v>10</v>
      </c>
      <c r="F2384" s="4">
        <v>80.5</v>
      </c>
      <c r="G2384" s="4"/>
      <c r="H2384" s="4">
        <f t="shared" si="232"/>
        <v>80.5</v>
      </c>
    </row>
    <row r="2385" ht="14.25" spans="1:8">
      <c r="A2385" s="3" t="str">
        <f>"11601207928"</f>
        <v>11601207928</v>
      </c>
      <c r="B2385" s="3">
        <v>2</v>
      </c>
      <c r="C2385" s="3">
        <v>79</v>
      </c>
      <c r="D2385" s="3">
        <v>28</v>
      </c>
      <c r="E2385" s="3" t="s">
        <v>10</v>
      </c>
      <c r="F2385" s="3">
        <v>0</v>
      </c>
      <c r="G2385" s="4"/>
      <c r="H2385" s="3">
        <v>0</v>
      </c>
    </row>
    <row r="2386" ht="14.25" spans="1:8">
      <c r="A2386" s="3" t="str">
        <f>"11601207929"</f>
        <v>11601207929</v>
      </c>
      <c r="B2386" s="3">
        <v>2</v>
      </c>
      <c r="C2386" s="3">
        <v>79</v>
      </c>
      <c r="D2386" s="3">
        <v>29</v>
      </c>
      <c r="E2386" s="3" t="s">
        <v>10</v>
      </c>
      <c r="F2386" s="4">
        <v>61</v>
      </c>
      <c r="G2386" s="4"/>
      <c r="H2386" s="4">
        <f t="shared" ref="H2386:H2390" si="233">F2386+G2386</f>
        <v>61</v>
      </c>
    </row>
    <row r="2387" ht="14.25" spans="1:8">
      <c r="A2387" s="3" t="str">
        <f>"11601207930"</f>
        <v>11601207930</v>
      </c>
      <c r="B2387" s="3">
        <v>2</v>
      </c>
      <c r="C2387" s="3">
        <v>79</v>
      </c>
      <c r="D2387" s="3">
        <v>30</v>
      </c>
      <c r="E2387" s="3" t="s">
        <v>10</v>
      </c>
      <c r="F2387" s="4">
        <v>81</v>
      </c>
      <c r="G2387" s="4"/>
      <c r="H2387" s="4">
        <f t="shared" si="233"/>
        <v>81</v>
      </c>
    </row>
    <row r="2388" ht="14.25" spans="1:8">
      <c r="A2388" s="3" t="str">
        <f>"11601208001"</f>
        <v>11601208001</v>
      </c>
      <c r="B2388" s="3">
        <v>2</v>
      </c>
      <c r="C2388" s="3">
        <v>80</v>
      </c>
      <c r="D2388" s="3">
        <v>1</v>
      </c>
      <c r="E2388" s="3" t="s">
        <v>10</v>
      </c>
      <c r="F2388" s="4">
        <v>65</v>
      </c>
      <c r="G2388" s="4"/>
      <c r="H2388" s="4">
        <f t="shared" si="233"/>
        <v>65</v>
      </c>
    </row>
    <row r="2389" ht="14.25" spans="1:8">
      <c r="A2389" s="3" t="str">
        <f>"11602208002"</f>
        <v>11602208002</v>
      </c>
      <c r="B2389" s="3">
        <v>2</v>
      </c>
      <c r="C2389" s="3">
        <v>80</v>
      </c>
      <c r="D2389" s="3">
        <v>2</v>
      </c>
      <c r="E2389" s="3" t="s">
        <v>10</v>
      </c>
      <c r="F2389" s="4">
        <v>86.5</v>
      </c>
      <c r="G2389" s="4"/>
      <c r="H2389" s="4">
        <f t="shared" si="233"/>
        <v>86.5</v>
      </c>
    </row>
    <row r="2390" ht="14.25" spans="1:8">
      <c r="A2390" s="3" t="str">
        <f>"11602208003"</f>
        <v>11602208003</v>
      </c>
      <c r="B2390" s="3">
        <v>2</v>
      </c>
      <c r="C2390" s="3">
        <v>80</v>
      </c>
      <c r="D2390" s="3">
        <v>3</v>
      </c>
      <c r="E2390" s="3" t="s">
        <v>10</v>
      </c>
      <c r="F2390" s="4">
        <v>53</v>
      </c>
      <c r="G2390" s="4"/>
      <c r="H2390" s="4">
        <f t="shared" si="233"/>
        <v>53</v>
      </c>
    </row>
    <row r="2391" ht="14.25" spans="1:8">
      <c r="A2391" s="3" t="str">
        <f>"11602208004"</f>
        <v>11602208004</v>
      </c>
      <c r="B2391" s="3">
        <v>2</v>
      </c>
      <c r="C2391" s="3">
        <v>80</v>
      </c>
      <c r="D2391" s="3">
        <v>4</v>
      </c>
      <c r="E2391" s="3" t="s">
        <v>10</v>
      </c>
      <c r="F2391" s="3">
        <v>0</v>
      </c>
      <c r="G2391" s="4"/>
      <c r="H2391" s="3">
        <v>0</v>
      </c>
    </row>
    <row r="2392" ht="14.25" spans="1:8">
      <c r="A2392" s="3" t="str">
        <f>"11602208005"</f>
        <v>11602208005</v>
      </c>
      <c r="B2392" s="3">
        <v>2</v>
      </c>
      <c r="C2392" s="3">
        <v>80</v>
      </c>
      <c r="D2392" s="3">
        <v>5</v>
      </c>
      <c r="E2392" s="3" t="s">
        <v>10</v>
      </c>
      <c r="F2392" s="4">
        <v>71.5</v>
      </c>
      <c r="G2392" s="4"/>
      <c r="H2392" s="4">
        <f t="shared" ref="H2392:H2397" si="234">F2392+G2392</f>
        <v>71.5</v>
      </c>
    </row>
    <row r="2393" ht="14.25" spans="1:8">
      <c r="A2393" s="3" t="str">
        <f>"11602208006"</f>
        <v>11602208006</v>
      </c>
      <c r="B2393" s="3">
        <v>2</v>
      </c>
      <c r="C2393" s="3">
        <v>80</v>
      </c>
      <c r="D2393" s="3">
        <v>6</v>
      </c>
      <c r="E2393" s="3" t="s">
        <v>10</v>
      </c>
      <c r="F2393" s="4">
        <v>56</v>
      </c>
      <c r="G2393" s="4"/>
      <c r="H2393" s="4">
        <f t="shared" si="234"/>
        <v>56</v>
      </c>
    </row>
    <row r="2394" ht="14.25" spans="1:8">
      <c r="A2394" s="3" t="str">
        <f>"11602208007"</f>
        <v>11602208007</v>
      </c>
      <c r="B2394" s="3">
        <v>2</v>
      </c>
      <c r="C2394" s="3">
        <v>80</v>
      </c>
      <c r="D2394" s="3">
        <v>7</v>
      </c>
      <c r="E2394" s="3" t="s">
        <v>10</v>
      </c>
      <c r="F2394" s="3">
        <v>0</v>
      </c>
      <c r="G2394" s="4"/>
      <c r="H2394" s="3">
        <v>0</v>
      </c>
    </row>
    <row r="2395" ht="14.25" spans="1:8">
      <c r="A2395" s="3" t="str">
        <f>"11602208008"</f>
        <v>11602208008</v>
      </c>
      <c r="B2395" s="3">
        <v>2</v>
      </c>
      <c r="C2395" s="3">
        <v>80</v>
      </c>
      <c r="D2395" s="3">
        <v>8</v>
      </c>
      <c r="E2395" s="3" t="s">
        <v>10</v>
      </c>
      <c r="F2395" s="3">
        <v>0</v>
      </c>
      <c r="G2395" s="4"/>
      <c r="H2395" s="3">
        <v>0</v>
      </c>
    </row>
    <row r="2396" ht="14.25" spans="1:8">
      <c r="A2396" s="3" t="str">
        <f>"11602208009"</f>
        <v>11602208009</v>
      </c>
      <c r="B2396" s="3">
        <v>2</v>
      </c>
      <c r="C2396" s="3">
        <v>80</v>
      </c>
      <c r="D2396" s="3">
        <v>9</v>
      </c>
      <c r="E2396" s="3" t="s">
        <v>10</v>
      </c>
      <c r="F2396" s="4">
        <v>76</v>
      </c>
      <c r="G2396" s="4"/>
      <c r="H2396" s="4">
        <f t="shared" si="234"/>
        <v>76</v>
      </c>
    </row>
    <row r="2397" ht="14.25" spans="1:8">
      <c r="A2397" s="3" t="str">
        <f>"11602208010"</f>
        <v>11602208010</v>
      </c>
      <c r="B2397" s="3">
        <v>2</v>
      </c>
      <c r="C2397" s="3">
        <v>80</v>
      </c>
      <c r="D2397" s="3">
        <v>10</v>
      </c>
      <c r="E2397" s="3" t="s">
        <v>10</v>
      </c>
      <c r="F2397" s="4">
        <v>72</v>
      </c>
      <c r="G2397" s="4"/>
      <c r="H2397" s="4">
        <f t="shared" si="234"/>
        <v>72</v>
      </c>
    </row>
    <row r="2398" ht="14.25" spans="1:8">
      <c r="A2398" s="3" t="str">
        <f>"11602208011"</f>
        <v>11602208011</v>
      </c>
      <c r="B2398" s="3">
        <v>2</v>
      </c>
      <c r="C2398" s="3">
        <v>80</v>
      </c>
      <c r="D2398" s="3">
        <v>11</v>
      </c>
      <c r="E2398" s="3" t="s">
        <v>10</v>
      </c>
      <c r="F2398" s="3">
        <v>0</v>
      </c>
      <c r="G2398" s="4"/>
      <c r="H2398" s="3">
        <v>0</v>
      </c>
    </row>
    <row r="2399" ht="14.25" spans="1:8">
      <c r="A2399" s="3" t="str">
        <f>"11602208012"</f>
        <v>11602208012</v>
      </c>
      <c r="B2399" s="3">
        <v>2</v>
      </c>
      <c r="C2399" s="3">
        <v>80</v>
      </c>
      <c r="D2399" s="3">
        <v>12</v>
      </c>
      <c r="E2399" s="3" t="s">
        <v>10</v>
      </c>
      <c r="F2399" s="4">
        <v>74.5</v>
      </c>
      <c r="G2399" s="4"/>
      <c r="H2399" s="4">
        <f t="shared" ref="H2399:H2401" si="235">F2399+G2399</f>
        <v>74.5</v>
      </c>
    </row>
    <row r="2400" ht="14.25" spans="1:8">
      <c r="A2400" s="3" t="str">
        <f>"11602208013"</f>
        <v>11602208013</v>
      </c>
      <c r="B2400" s="3">
        <v>2</v>
      </c>
      <c r="C2400" s="3">
        <v>80</v>
      </c>
      <c r="D2400" s="3">
        <v>13</v>
      </c>
      <c r="E2400" s="3" t="s">
        <v>10</v>
      </c>
      <c r="F2400" s="4">
        <v>86</v>
      </c>
      <c r="G2400" s="4"/>
      <c r="H2400" s="4">
        <f t="shared" si="235"/>
        <v>86</v>
      </c>
    </row>
    <row r="2401" ht="14.25" spans="1:8">
      <c r="A2401" s="3" t="str">
        <f>"11602208014"</f>
        <v>11602208014</v>
      </c>
      <c r="B2401" s="3">
        <v>2</v>
      </c>
      <c r="C2401" s="3">
        <v>80</v>
      </c>
      <c r="D2401" s="3">
        <v>14</v>
      </c>
      <c r="E2401" s="3" t="s">
        <v>10</v>
      </c>
      <c r="F2401" s="4">
        <v>81.5</v>
      </c>
      <c r="G2401" s="4"/>
      <c r="H2401" s="4">
        <f t="shared" si="235"/>
        <v>81.5</v>
      </c>
    </row>
    <row r="2402" ht="14.25" spans="1:8">
      <c r="A2402" s="3" t="str">
        <f>"11602208015"</f>
        <v>11602208015</v>
      </c>
      <c r="B2402" s="3">
        <v>2</v>
      </c>
      <c r="C2402" s="3">
        <v>80</v>
      </c>
      <c r="D2402" s="3">
        <v>15</v>
      </c>
      <c r="E2402" s="3" t="s">
        <v>10</v>
      </c>
      <c r="F2402" s="3">
        <v>0</v>
      </c>
      <c r="G2402" s="4"/>
      <c r="H2402" s="3">
        <v>0</v>
      </c>
    </row>
    <row r="2403" ht="14.25" spans="1:8">
      <c r="A2403" s="3" t="str">
        <f>"11602208016"</f>
        <v>11602208016</v>
      </c>
      <c r="B2403" s="3">
        <v>2</v>
      </c>
      <c r="C2403" s="3">
        <v>80</v>
      </c>
      <c r="D2403" s="3">
        <v>16</v>
      </c>
      <c r="E2403" s="3" t="s">
        <v>10</v>
      </c>
      <c r="F2403" s="4">
        <v>75</v>
      </c>
      <c r="G2403" s="4"/>
      <c r="H2403" s="4">
        <f t="shared" ref="H2403:H2408" si="236">F2403+G2403</f>
        <v>75</v>
      </c>
    </row>
    <row r="2404" ht="14.25" spans="1:8">
      <c r="A2404" s="3" t="str">
        <f>"11602208017"</f>
        <v>11602208017</v>
      </c>
      <c r="B2404" s="3">
        <v>2</v>
      </c>
      <c r="C2404" s="3">
        <v>80</v>
      </c>
      <c r="D2404" s="3">
        <v>17</v>
      </c>
      <c r="E2404" s="3" t="s">
        <v>10</v>
      </c>
      <c r="F2404" s="3">
        <v>0</v>
      </c>
      <c r="G2404" s="4"/>
      <c r="H2404" s="3">
        <v>0</v>
      </c>
    </row>
    <row r="2405" ht="14.25" spans="1:8">
      <c r="A2405" s="3" t="str">
        <f>"11602208018"</f>
        <v>11602208018</v>
      </c>
      <c r="B2405" s="3">
        <v>2</v>
      </c>
      <c r="C2405" s="3">
        <v>80</v>
      </c>
      <c r="D2405" s="3">
        <v>18</v>
      </c>
      <c r="E2405" s="3" t="s">
        <v>10</v>
      </c>
      <c r="F2405" s="4">
        <v>54</v>
      </c>
      <c r="G2405" s="4"/>
      <c r="H2405" s="4">
        <f t="shared" si="236"/>
        <v>54</v>
      </c>
    </row>
    <row r="2406" ht="14.25" spans="1:8">
      <c r="A2406" s="3" t="str">
        <f>"11602208019"</f>
        <v>11602208019</v>
      </c>
      <c r="B2406" s="3">
        <v>2</v>
      </c>
      <c r="C2406" s="3">
        <v>80</v>
      </c>
      <c r="D2406" s="3">
        <v>19</v>
      </c>
      <c r="E2406" s="3" t="s">
        <v>10</v>
      </c>
      <c r="F2406" s="3">
        <v>0</v>
      </c>
      <c r="G2406" s="4"/>
      <c r="H2406" s="3">
        <v>0</v>
      </c>
    </row>
    <row r="2407" ht="14.25" spans="1:8">
      <c r="A2407" s="3" t="str">
        <f>"11602208020"</f>
        <v>11602208020</v>
      </c>
      <c r="B2407" s="3">
        <v>2</v>
      </c>
      <c r="C2407" s="3">
        <v>80</v>
      </c>
      <c r="D2407" s="3">
        <v>20</v>
      </c>
      <c r="E2407" s="3" t="s">
        <v>10</v>
      </c>
      <c r="F2407" s="3">
        <v>0</v>
      </c>
      <c r="G2407" s="4"/>
      <c r="H2407" s="3">
        <v>0</v>
      </c>
    </row>
    <row r="2408" ht="14.25" spans="1:8">
      <c r="A2408" s="3" t="str">
        <f>"11602208021"</f>
        <v>11602208021</v>
      </c>
      <c r="B2408" s="3">
        <v>2</v>
      </c>
      <c r="C2408" s="3">
        <v>80</v>
      </c>
      <c r="D2408" s="3">
        <v>21</v>
      </c>
      <c r="E2408" s="3" t="s">
        <v>10</v>
      </c>
      <c r="F2408" s="4">
        <v>71.5</v>
      </c>
      <c r="G2408" s="4"/>
      <c r="H2408" s="4">
        <f t="shared" si="236"/>
        <v>71.5</v>
      </c>
    </row>
    <row r="2409" ht="14.25" spans="1:8">
      <c r="A2409" s="3" t="str">
        <f>"11602208022"</f>
        <v>11602208022</v>
      </c>
      <c r="B2409" s="3">
        <v>2</v>
      </c>
      <c r="C2409" s="3">
        <v>80</v>
      </c>
      <c r="D2409" s="3">
        <v>22</v>
      </c>
      <c r="E2409" s="3" t="s">
        <v>10</v>
      </c>
      <c r="F2409" s="3">
        <v>0</v>
      </c>
      <c r="G2409" s="4"/>
      <c r="H2409" s="3">
        <v>0</v>
      </c>
    </row>
    <row r="2410" ht="14.25" spans="1:8">
      <c r="A2410" s="3" t="str">
        <f>"11602208023"</f>
        <v>11602208023</v>
      </c>
      <c r="B2410" s="3">
        <v>2</v>
      </c>
      <c r="C2410" s="3">
        <v>80</v>
      </c>
      <c r="D2410" s="3">
        <v>23</v>
      </c>
      <c r="E2410" s="3" t="s">
        <v>10</v>
      </c>
      <c r="F2410" s="4">
        <v>80.5</v>
      </c>
      <c r="G2410" s="4"/>
      <c r="H2410" s="4">
        <f t="shared" ref="H2410:H2417" si="237">F2410+G2410</f>
        <v>80.5</v>
      </c>
    </row>
    <row r="2411" ht="14.25" spans="1:8">
      <c r="A2411" s="3" t="str">
        <f>"11603208024"</f>
        <v>11603208024</v>
      </c>
      <c r="B2411" s="3">
        <v>2</v>
      </c>
      <c r="C2411" s="3">
        <v>80</v>
      </c>
      <c r="D2411" s="3">
        <v>24</v>
      </c>
      <c r="E2411" s="3" t="s">
        <v>10</v>
      </c>
      <c r="F2411" s="3">
        <v>0</v>
      </c>
      <c r="G2411" s="4"/>
      <c r="H2411" s="3">
        <v>0</v>
      </c>
    </row>
    <row r="2412" ht="14.25" spans="1:8">
      <c r="A2412" s="3" t="str">
        <f>"11603208025"</f>
        <v>11603208025</v>
      </c>
      <c r="B2412" s="3">
        <v>2</v>
      </c>
      <c r="C2412" s="3">
        <v>80</v>
      </c>
      <c r="D2412" s="3">
        <v>25</v>
      </c>
      <c r="E2412" s="3" t="s">
        <v>10</v>
      </c>
      <c r="F2412" s="3">
        <v>0</v>
      </c>
      <c r="G2412" s="4"/>
      <c r="H2412" s="3">
        <v>0</v>
      </c>
    </row>
    <row r="2413" ht="14.25" spans="1:8">
      <c r="A2413" s="3" t="str">
        <f>"11603208026"</f>
        <v>11603208026</v>
      </c>
      <c r="B2413" s="3">
        <v>2</v>
      </c>
      <c r="C2413" s="3">
        <v>80</v>
      </c>
      <c r="D2413" s="3">
        <v>26</v>
      </c>
      <c r="E2413" s="3" t="s">
        <v>10</v>
      </c>
      <c r="F2413" s="4">
        <v>74</v>
      </c>
      <c r="G2413" s="4"/>
      <c r="H2413" s="4">
        <f t="shared" si="237"/>
        <v>74</v>
      </c>
    </row>
    <row r="2414" ht="14.25" spans="1:8">
      <c r="A2414" s="3" t="str">
        <f>"11603208027"</f>
        <v>11603208027</v>
      </c>
      <c r="B2414" s="3">
        <v>2</v>
      </c>
      <c r="C2414" s="3">
        <v>80</v>
      </c>
      <c r="D2414" s="3">
        <v>27</v>
      </c>
      <c r="E2414" s="3" t="s">
        <v>10</v>
      </c>
      <c r="F2414" s="4">
        <v>64.5</v>
      </c>
      <c r="G2414" s="4"/>
      <c r="H2414" s="4">
        <f t="shared" si="237"/>
        <v>64.5</v>
      </c>
    </row>
    <row r="2415" ht="14.25" spans="1:8">
      <c r="A2415" s="3" t="str">
        <f>"11603208028"</f>
        <v>11603208028</v>
      </c>
      <c r="B2415" s="3">
        <v>2</v>
      </c>
      <c r="C2415" s="3">
        <v>80</v>
      </c>
      <c r="D2415" s="3">
        <v>28</v>
      </c>
      <c r="E2415" s="3" t="s">
        <v>10</v>
      </c>
      <c r="F2415" s="4">
        <v>78</v>
      </c>
      <c r="G2415" s="4"/>
      <c r="H2415" s="4">
        <f t="shared" si="237"/>
        <v>78</v>
      </c>
    </row>
    <row r="2416" ht="14.25" spans="1:8">
      <c r="A2416" s="3" t="str">
        <f>"11603208029"</f>
        <v>11603208029</v>
      </c>
      <c r="B2416" s="3">
        <v>2</v>
      </c>
      <c r="C2416" s="3">
        <v>80</v>
      </c>
      <c r="D2416" s="3">
        <v>29</v>
      </c>
      <c r="E2416" s="3" t="s">
        <v>10</v>
      </c>
      <c r="F2416" s="4">
        <v>69.5</v>
      </c>
      <c r="G2416" s="4"/>
      <c r="H2416" s="4">
        <f t="shared" si="237"/>
        <v>69.5</v>
      </c>
    </row>
    <row r="2417" ht="14.25" spans="1:8">
      <c r="A2417" s="3" t="str">
        <f>"11603208030"</f>
        <v>11603208030</v>
      </c>
      <c r="B2417" s="3">
        <v>2</v>
      </c>
      <c r="C2417" s="3">
        <v>80</v>
      </c>
      <c r="D2417" s="3">
        <v>30</v>
      </c>
      <c r="E2417" s="3" t="s">
        <v>10</v>
      </c>
      <c r="F2417" s="4">
        <v>82.5</v>
      </c>
      <c r="G2417" s="4"/>
      <c r="H2417" s="4">
        <f t="shared" si="237"/>
        <v>82.5</v>
      </c>
    </row>
    <row r="2418" ht="14.25" spans="1:8">
      <c r="A2418" s="3" t="str">
        <f>"11603208101"</f>
        <v>11603208101</v>
      </c>
      <c r="B2418" s="3">
        <v>2</v>
      </c>
      <c r="C2418" s="3">
        <v>81</v>
      </c>
      <c r="D2418" s="3">
        <v>1</v>
      </c>
      <c r="E2418" s="3" t="s">
        <v>10</v>
      </c>
      <c r="F2418" s="3">
        <v>0</v>
      </c>
      <c r="G2418" s="4"/>
      <c r="H2418" s="3">
        <v>0</v>
      </c>
    </row>
    <row r="2419" ht="14.25" spans="1:8">
      <c r="A2419" s="3" t="str">
        <f>"11603208102"</f>
        <v>11603208102</v>
      </c>
      <c r="B2419" s="3">
        <v>2</v>
      </c>
      <c r="C2419" s="3">
        <v>81</v>
      </c>
      <c r="D2419" s="3">
        <v>2</v>
      </c>
      <c r="E2419" s="3" t="s">
        <v>10</v>
      </c>
      <c r="F2419" s="4">
        <v>79</v>
      </c>
      <c r="G2419" s="4"/>
      <c r="H2419" s="4">
        <f t="shared" ref="H2419:H2423" si="238">F2419+G2419</f>
        <v>79</v>
      </c>
    </row>
    <row r="2420" ht="14.25" spans="1:8">
      <c r="A2420" s="3" t="str">
        <f>"11603208103"</f>
        <v>11603208103</v>
      </c>
      <c r="B2420" s="3">
        <v>2</v>
      </c>
      <c r="C2420" s="3">
        <v>81</v>
      </c>
      <c r="D2420" s="3">
        <v>3</v>
      </c>
      <c r="E2420" s="3" t="s">
        <v>10</v>
      </c>
      <c r="F2420" s="3">
        <v>0</v>
      </c>
      <c r="G2420" s="4"/>
      <c r="H2420" s="3">
        <v>0</v>
      </c>
    </row>
    <row r="2421" ht="14.25" spans="1:8">
      <c r="A2421" s="3" t="str">
        <f>"11603208104"</f>
        <v>11603208104</v>
      </c>
      <c r="B2421" s="3">
        <v>2</v>
      </c>
      <c r="C2421" s="3">
        <v>81</v>
      </c>
      <c r="D2421" s="3">
        <v>4</v>
      </c>
      <c r="E2421" s="3" t="s">
        <v>10</v>
      </c>
      <c r="F2421" s="4">
        <v>77</v>
      </c>
      <c r="G2421" s="4"/>
      <c r="H2421" s="4">
        <f t="shared" si="238"/>
        <v>77</v>
      </c>
    </row>
    <row r="2422" ht="14.25" spans="1:8">
      <c r="A2422" s="3" t="str">
        <f>"11603208105"</f>
        <v>11603208105</v>
      </c>
      <c r="B2422" s="3">
        <v>2</v>
      </c>
      <c r="C2422" s="3">
        <v>81</v>
      </c>
      <c r="D2422" s="3">
        <v>5</v>
      </c>
      <c r="E2422" s="3" t="s">
        <v>10</v>
      </c>
      <c r="F2422" s="4">
        <v>80.5</v>
      </c>
      <c r="G2422" s="4"/>
      <c r="H2422" s="4">
        <f t="shared" si="238"/>
        <v>80.5</v>
      </c>
    </row>
    <row r="2423" ht="14.25" spans="1:8">
      <c r="A2423" s="3" t="str">
        <f>"11603208106"</f>
        <v>11603208106</v>
      </c>
      <c r="B2423" s="3">
        <v>2</v>
      </c>
      <c r="C2423" s="3">
        <v>81</v>
      </c>
      <c r="D2423" s="3">
        <v>6</v>
      </c>
      <c r="E2423" s="3" t="s">
        <v>10</v>
      </c>
      <c r="F2423" s="4">
        <v>75</v>
      </c>
      <c r="G2423" s="4"/>
      <c r="H2423" s="4">
        <f t="shared" si="238"/>
        <v>75</v>
      </c>
    </row>
    <row r="2424" ht="14.25" spans="1:8">
      <c r="A2424" s="3" t="str">
        <f>"11603208107"</f>
        <v>11603208107</v>
      </c>
      <c r="B2424" s="3">
        <v>2</v>
      </c>
      <c r="C2424" s="3">
        <v>81</v>
      </c>
      <c r="D2424" s="3">
        <v>7</v>
      </c>
      <c r="E2424" s="3" t="s">
        <v>10</v>
      </c>
      <c r="F2424" s="3">
        <v>0</v>
      </c>
      <c r="G2424" s="4"/>
      <c r="H2424" s="3">
        <v>0</v>
      </c>
    </row>
    <row r="2425" ht="14.25" spans="1:8">
      <c r="A2425" s="3" t="str">
        <f>"11603208108"</f>
        <v>11603208108</v>
      </c>
      <c r="B2425" s="3">
        <v>2</v>
      </c>
      <c r="C2425" s="3">
        <v>81</v>
      </c>
      <c r="D2425" s="3">
        <v>8</v>
      </c>
      <c r="E2425" s="3" t="s">
        <v>10</v>
      </c>
      <c r="F2425" s="4">
        <v>68</v>
      </c>
      <c r="G2425" s="4"/>
      <c r="H2425" s="4">
        <f t="shared" ref="H2425:H2427" si="239">F2425+G2425</f>
        <v>68</v>
      </c>
    </row>
    <row r="2426" ht="14.25" spans="1:8">
      <c r="A2426" s="3" t="str">
        <f>"11603208109"</f>
        <v>11603208109</v>
      </c>
      <c r="B2426" s="3">
        <v>2</v>
      </c>
      <c r="C2426" s="3">
        <v>81</v>
      </c>
      <c r="D2426" s="3">
        <v>9</v>
      </c>
      <c r="E2426" s="3" t="s">
        <v>10</v>
      </c>
      <c r="F2426" s="4">
        <v>76</v>
      </c>
      <c r="G2426" s="4"/>
      <c r="H2426" s="4">
        <f t="shared" si="239"/>
        <v>76</v>
      </c>
    </row>
    <row r="2427" ht="14.25" spans="1:8">
      <c r="A2427" s="3" t="str">
        <f>"11603208110"</f>
        <v>11603208110</v>
      </c>
      <c r="B2427" s="3">
        <v>2</v>
      </c>
      <c r="C2427" s="3">
        <v>81</v>
      </c>
      <c r="D2427" s="3">
        <v>10</v>
      </c>
      <c r="E2427" s="3" t="s">
        <v>10</v>
      </c>
      <c r="F2427" s="4">
        <v>69.5</v>
      </c>
      <c r="G2427" s="4"/>
      <c r="H2427" s="4">
        <f t="shared" si="239"/>
        <v>69.5</v>
      </c>
    </row>
    <row r="2428" ht="14.25" spans="1:8">
      <c r="A2428" s="3" t="str">
        <f>"11603208111"</f>
        <v>11603208111</v>
      </c>
      <c r="B2428" s="3">
        <v>2</v>
      </c>
      <c r="C2428" s="3">
        <v>81</v>
      </c>
      <c r="D2428" s="3">
        <v>11</v>
      </c>
      <c r="E2428" s="3" t="s">
        <v>10</v>
      </c>
      <c r="F2428" s="3">
        <v>0</v>
      </c>
      <c r="G2428" s="4"/>
      <c r="H2428" s="3">
        <v>0</v>
      </c>
    </row>
    <row r="2429" ht="14.25" spans="1:8">
      <c r="A2429" s="3" t="str">
        <f>"11603208112"</f>
        <v>11603208112</v>
      </c>
      <c r="B2429" s="3">
        <v>2</v>
      </c>
      <c r="C2429" s="3">
        <v>81</v>
      </c>
      <c r="D2429" s="3">
        <v>12</v>
      </c>
      <c r="E2429" s="3" t="s">
        <v>10</v>
      </c>
      <c r="F2429" s="4">
        <v>82.5</v>
      </c>
      <c r="G2429" s="4"/>
      <c r="H2429" s="4">
        <f>F2429+G2429</f>
        <v>82.5</v>
      </c>
    </row>
    <row r="2430" ht="14.25" spans="1:8">
      <c r="A2430" s="3" t="str">
        <f>"11603208113"</f>
        <v>11603208113</v>
      </c>
      <c r="B2430" s="3">
        <v>2</v>
      </c>
      <c r="C2430" s="3">
        <v>81</v>
      </c>
      <c r="D2430" s="3">
        <v>13</v>
      </c>
      <c r="E2430" s="3" t="s">
        <v>10</v>
      </c>
      <c r="F2430" s="3">
        <v>0</v>
      </c>
      <c r="G2430" s="4"/>
      <c r="H2430" s="3">
        <v>0</v>
      </c>
    </row>
    <row r="2431" ht="14.25" spans="1:8">
      <c r="A2431" s="3" t="str">
        <f>"11603208114"</f>
        <v>11603208114</v>
      </c>
      <c r="B2431" s="3">
        <v>2</v>
      </c>
      <c r="C2431" s="3">
        <v>81</v>
      </c>
      <c r="D2431" s="3">
        <v>14</v>
      </c>
      <c r="E2431" s="3" t="s">
        <v>10</v>
      </c>
      <c r="F2431" s="4">
        <v>66.5</v>
      </c>
      <c r="G2431" s="4"/>
      <c r="H2431" s="4">
        <f>F2431+G2431</f>
        <v>66.5</v>
      </c>
    </row>
    <row r="2432" ht="14.25" spans="1:8">
      <c r="A2432" s="3" t="str">
        <f>"11604208115"</f>
        <v>11604208115</v>
      </c>
      <c r="B2432" s="3">
        <v>2</v>
      </c>
      <c r="C2432" s="3">
        <v>81</v>
      </c>
      <c r="D2432" s="3">
        <v>15</v>
      </c>
      <c r="E2432" s="3" t="s">
        <v>10</v>
      </c>
      <c r="F2432" s="3">
        <v>0</v>
      </c>
      <c r="G2432" s="4"/>
      <c r="H2432" s="3">
        <v>0</v>
      </c>
    </row>
    <row r="2433" ht="14.25" spans="1:8">
      <c r="A2433" s="3" t="str">
        <f>"11604208116"</f>
        <v>11604208116</v>
      </c>
      <c r="B2433" s="3">
        <v>2</v>
      </c>
      <c r="C2433" s="3">
        <v>81</v>
      </c>
      <c r="D2433" s="3">
        <v>16</v>
      </c>
      <c r="E2433" s="3" t="s">
        <v>10</v>
      </c>
      <c r="F2433" s="3">
        <v>0</v>
      </c>
      <c r="G2433" s="4"/>
      <c r="H2433" s="3">
        <v>0</v>
      </c>
    </row>
    <row r="2434" ht="14.25" spans="1:8">
      <c r="A2434" s="3" t="str">
        <f>"11604208117"</f>
        <v>11604208117</v>
      </c>
      <c r="B2434" s="3">
        <v>2</v>
      </c>
      <c r="C2434" s="3">
        <v>81</v>
      </c>
      <c r="D2434" s="3">
        <v>17</v>
      </c>
      <c r="E2434" s="3" t="s">
        <v>10</v>
      </c>
      <c r="F2434" s="3">
        <v>0</v>
      </c>
      <c r="G2434" s="4"/>
      <c r="H2434" s="3">
        <v>0</v>
      </c>
    </row>
    <row r="2435" ht="14.25" spans="1:8">
      <c r="A2435" s="3" t="str">
        <f>"11604208118"</f>
        <v>11604208118</v>
      </c>
      <c r="B2435" s="3">
        <v>2</v>
      </c>
      <c r="C2435" s="3">
        <v>81</v>
      </c>
      <c r="D2435" s="3">
        <v>18</v>
      </c>
      <c r="E2435" s="3" t="s">
        <v>10</v>
      </c>
      <c r="F2435" s="3">
        <v>0</v>
      </c>
      <c r="G2435" s="4"/>
      <c r="H2435" s="3">
        <v>0</v>
      </c>
    </row>
    <row r="2436" ht="14.25" spans="1:8">
      <c r="A2436" s="3" t="str">
        <f>"11604208119"</f>
        <v>11604208119</v>
      </c>
      <c r="B2436" s="3">
        <v>2</v>
      </c>
      <c r="C2436" s="3">
        <v>81</v>
      </c>
      <c r="D2436" s="3">
        <v>19</v>
      </c>
      <c r="E2436" s="3" t="s">
        <v>10</v>
      </c>
      <c r="F2436" s="4">
        <v>77</v>
      </c>
      <c r="G2436" s="4"/>
      <c r="H2436" s="4">
        <f t="shared" ref="H2436:H2439" si="240">F2436+G2436</f>
        <v>77</v>
      </c>
    </row>
    <row r="2437" ht="14.25" spans="1:8">
      <c r="A2437" s="3" t="str">
        <f>"11604208120"</f>
        <v>11604208120</v>
      </c>
      <c r="B2437" s="3">
        <v>2</v>
      </c>
      <c r="C2437" s="3">
        <v>81</v>
      </c>
      <c r="D2437" s="3">
        <v>20</v>
      </c>
      <c r="E2437" s="3" t="s">
        <v>10</v>
      </c>
      <c r="F2437" s="3">
        <v>0</v>
      </c>
      <c r="G2437" s="4"/>
      <c r="H2437" s="3">
        <v>0</v>
      </c>
    </row>
    <row r="2438" ht="14.25" spans="1:8">
      <c r="A2438" s="3" t="str">
        <f>"11604208121"</f>
        <v>11604208121</v>
      </c>
      <c r="B2438" s="3">
        <v>2</v>
      </c>
      <c r="C2438" s="3">
        <v>81</v>
      </c>
      <c r="D2438" s="3">
        <v>21</v>
      </c>
      <c r="E2438" s="3" t="s">
        <v>10</v>
      </c>
      <c r="F2438" s="4">
        <v>66.5</v>
      </c>
      <c r="G2438" s="4"/>
      <c r="H2438" s="4">
        <f t="shared" si="240"/>
        <v>66.5</v>
      </c>
    </row>
    <row r="2439" ht="14.25" spans="1:8">
      <c r="A2439" s="3" t="str">
        <f>"11605208122"</f>
        <v>11605208122</v>
      </c>
      <c r="B2439" s="3">
        <v>2</v>
      </c>
      <c r="C2439" s="3">
        <v>81</v>
      </c>
      <c r="D2439" s="3">
        <v>22</v>
      </c>
      <c r="E2439" s="3" t="s">
        <v>10</v>
      </c>
      <c r="F2439" s="4">
        <v>61.5</v>
      </c>
      <c r="G2439" s="4"/>
      <c r="H2439" s="4">
        <f t="shared" si="240"/>
        <v>61.5</v>
      </c>
    </row>
    <row r="2440" ht="14.25" spans="1:8">
      <c r="A2440" s="3" t="str">
        <f>"11605208123"</f>
        <v>11605208123</v>
      </c>
      <c r="B2440" s="3">
        <v>2</v>
      </c>
      <c r="C2440" s="3">
        <v>81</v>
      </c>
      <c r="D2440" s="3">
        <v>23</v>
      </c>
      <c r="E2440" s="3" t="s">
        <v>10</v>
      </c>
      <c r="F2440" s="3">
        <v>0</v>
      </c>
      <c r="G2440" s="4"/>
      <c r="H2440" s="3">
        <v>0</v>
      </c>
    </row>
    <row r="2441" ht="14.25" spans="1:8">
      <c r="A2441" s="3" t="str">
        <f>"11605208124"</f>
        <v>11605208124</v>
      </c>
      <c r="B2441" s="3">
        <v>2</v>
      </c>
      <c r="C2441" s="3">
        <v>81</v>
      </c>
      <c r="D2441" s="3">
        <v>24</v>
      </c>
      <c r="E2441" s="3" t="s">
        <v>10</v>
      </c>
      <c r="F2441" s="4">
        <v>54</v>
      </c>
      <c r="G2441" s="4"/>
      <c r="H2441" s="4">
        <f t="shared" ref="H2441:H2445" si="241">F2441+G2441</f>
        <v>54</v>
      </c>
    </row>
    <row r="2442" ht="14.25" spans="1:8">
      <c r="A2442" s="3" t="str">
        <f>"11605208125"</f>
        <v>11605208125</v>
      </c>
      <c r="B2442" s="3">
        <v>2</v>
      </c>
      <c r="C2442" s="3">
        <v>81</v>
      </c>
      <c r="D2442" s="3">
        <v>25</v>
      </c>
      <c r="E2442" s="3" t="s">
        <v>10</v>
      </c>
      <c r="F2442" s="3">
        <v>0</v>
      </c>
      <c r="G2442" s="4"/>
      <c r="H2442" s="3">
        <v>0</v>
      </c>
    </row>
    <row r="2443" ht="14.25" spans="1:8">
      <c r="A2443" s="3" t="str">
        <f>"11605208126"</f>
        <v>11605208126</v>
      </c>
      <c r="B2443" s="3">
        <v>2</v>
      </c>
      <c r="C2443" s="3">
        <v>81</v>
      </c>
      <c r="D2443" s="3">
        <v>26</v>
      </c>
      <c r="E2443" s="3" t="s">
        <v>10</v>
      </c>
      <c r="F2443" s="3">
        <v>0</v>
      </c>
      <c r="G2443" s="4"/>
      <c r="H2443" s="3">
        <v>0</v>
      </c>
    </row>
    <row r="2444" ht="14.25" spans="1:8">
      <c r="A2444" s="3" t="str">
        <f>"11606208127"</f>
        <v>11606208127</v>
      </c>
      <c r="B2444" s="3">
        <v>2</v>
      </c>
      <c r="C2444" s="3">
        <v>81</v>
      </c>
      <c r="D2444" s="3">
        <v>27</v>
      </c>
      <c r="E2444" s="3" t="s">
        <v>10</v>
      </c>
      <c r="F2444" s="4">
        <v>83.5</v>
      </c>
      <c r="G2444" s="4"/>
      <c r="H2444" s="4">
        <f t="shared" si="241"/>
        <v>83.5</v>
      </c>
    </row>
    <row r="2445" ht="14.25" spans="1:8">
      <c r="A2445" s="3" t="str">
        <f>"11606208128"</f>
        <v>11606208128</v>
      </c>
      <c r="B2445" s="3">
        <v>2</v>
      </c>
      <c r="C2445" s="3">
        <v>81</v>
      </c>
      <c r="D2445" s="3">
        <v>28</v>
      </c>
      <c r="E2445" s="3" t="s">
        <v>10</v>
      </c>
      <c r="F2445" s="4">
        <v>72.5</v>
      </c>
      <c r="G2445" s="4"/>
      <c r="H2445" s="4">
        <f t="shared" si="241"/>
        <v>72.5</v>
      </c>
    </row>
    <row r="2446" ht="14.25" spans="1:8">
      <c r="A2446" s="3" t="str">
        <f>"11606208129"</f>
        <v>11606208129</v>
      </c>
      <c r="B2446" s="3">
        <v>2</v>
      </c>
      <c r="C2446" s="3">
        <v>81</v>
      </c>
      <c r="D2446" s="3">
        <v>29</v>
      </c>
      <c r="E2446" s="3" t="s">
        <v>10</v>
      </c>
      <c r="F2446" s="3">
        <v>0</v>
      </c>
      <c r="G2446" s="4"/>
      <c r="H2446" s="3">
        <v>0</v>
      </c>
    </row>
    <row r="2447" ht="14.25" spans="1:8">
      <c r="A2447" s="3" t="str">
        <f>"11606208130"</f>
        <v>11606208130</v>
      </c>
      <c r="B2447" s="3">
        <v>2</v>
      </c>
      <c r="C2447" s="3">
        <v>81</v>
      </c>
      <c r="D2447" s="3">
        <v>30</v>
      </c>
      <c r="E2447" s="3" t="s">
        <v>10</v>
      </c>
      <c r="F2447" s="4">
        <v>83.5</v>
      </c>
      <c r="G2447" s="4"/>
      <c r="H2447" s="4">
        <f t="shared" ref="H2447:H2451" si="242">F2447+G2447</f>
        <v>83.5</v>
      </c>
    </row>
    <row r="2448" ht="14.25" spans="1:8">
      <c r="A2448" s="3" t="str">
        <f>"11606208201"</f>
        <v>11606208201</v>
      </c>
      <c r="B2448" s="3">
        <v>2</v>
      </c>
      <c r="C2448" s="3">
        <v>82</v>
      </c>
      <c r="D2448" s="3">
        <v>1</v>
      </c>
      <c r="E2448" s="3" t="s">
        <v>10</v>
      </c>
      <c r="F2448" s="3">
        <v>0</v>
      </c>
      <c r="G2448" s="4"/>
      <c r="H2448" s="3">
        <v>0</v>
      </c>
    </row>
    <row r="2449" ht="14.25" spans="1:8">
      <c r="A2449" s="3" t="str">
        <f>"11606208202"</f>
        <v>11606208202</v>
      </c>
      <c r="B2449" s="3">
        <v>2</v>
      </c>
      <c r="C2449" s="3">
        <v>82</v>
      </c>
      <c r="D2449" s="3">
        <v>2</v>
      </c>
      <c r="E2449" s="3" t="s">
        <v>10</v>
      </c>
      <c r="F2449" s="4">
        <v>56</v>
      </c>
      <c r="G2449" s="4"/>
      <c r="H2449" s="4">
        <f t="shared" si="242"/>
        <v>56</v>
      </c>
    </row>
    <row r="2450" ht="14.25" spans="1:8">
      <c r="A2450" s="3" t="str">
        <f>"11606208203"</f>
        <v>11606208203</v>
      </c>
      <c r="B2450" s="3">
        <v>2</v>
      </c>
      <c r="C2450" s="3">
        <v>82</v>
      </c>
      <c r="D2450" s="3">
        <v>3</v>
      </c>
      <c r="E2450" s="3" t="s">
        <v>10</v>
      </c>
      <c r="F2450" s="4">
        <v>60</v>
      </c>
      <c r="G2450" s="4"/>
      <c r="H2450" s="4">
        <f t="shared" si="242"/>
        <v>60</v>
      </c>
    </row>
    <row r="2451" ht="14.25" spans="1:8">
      <c r="A2451" s="3" t="str">
        <f>"11606208204"</f>
        <v>11606208204</v>
      </c>
      <c r="B2451" s="3">
        <v>2</v>
      </c>
      <c r="C2451" s="3">
        <v>82</v>
      </c>
      <c r="D2451" s="3">
        <v>4</v>
      </c>
      <c r="E2451" s="3" t="s">
        <v>10</v>
      </c>
      <c r="F2451" s="4">
        <v>66.5</v>
      </c>
      <c r="G2451" s="4"/>
      <c r="H2451" s="4">
        <f t="shared" si="242"/>
        <v>66.5</v>
      </c>
    </row>
    <row r="2452" ht="14.25" spans="1:8">
      <c r="A2452" s="3" t="str">
        <f>"11606208205"</f>
        <v>11606208205</v>
      </c>
      <c r="B2452" s="3">
        <v>2</v>
      </c>
      <c r="C2452" s="3">
        <v>82</v>
      </c>
      <c r="D2452" s="3">
        <v>5</v>
      </c>
      <c r="E2452" s="3" t="s">
        <v>10</v>
      </c>
      <c r="F2452" s="3">
        <v>0</v>
      </c>
      <c r="G2452" s="4"/>
      <c r="H2452" s="3">
        <v>0</v>
      </c>
    </row>
    <row r="2453" ht="14.25" spans="1:8">
      <c r="A2453" s="3" t="str">
        <f>"11607208206"</f>
        <v>11607208206</v>
      </c>
      <c r="B2453" s="3">
        <v>2</v>
      </c>
      <c r="C2453" s="3">
        <v>82</v>
      </c>
      <c r="D2453" s="3">
        <v>6</v>
      </c>
      <c r="E2453" s="3" t="s">
        <v>10</v>
      </c>
      <c r="F2453" s="4">
        <v>57.5</v>
      </c>
      <c r="G2453" s="4"/>
      <c r="H2453" s="4">
        <f t="shared" ref="H2453:H2460" si="243">F2453+G2453</f>
        <v>57.5</v>
      </c>
    </row>
    <row r="2454" ht="14.25" spans="1:8">
      <c r="A2454" s="3" t="str">
        <f>"11607208207"</f>
        <v>11607208207</v>
      </c>
      <c r="B2454" s="3">
        <v>2</v>
      </c>
      <c r="C2454" s="3">
        <v>82</v>
      </c>
      <c r="D2454" s="3">
        <v>7</v>
      </c>
      <c r="E2454" s="3" t="s">
        <v>10</v>
      </c>
      <c r="F2454" s="4">
        <v>53.5</v>
      </c>
      <c r="G2454" s="4"/>
      <c r="H2454" s="4">
        <f t="shared" si="243"/>
        <v>53.5</v>
      </c>
    </row>
    <row r="2455" ht="14.25" spans="1:8">
      <c r="A2455" s="3" t="str">
        <f>"11607208208"</f>
        <v>11607208208</v>
      </c>
      <c r="B2455" s="3">
        <v>2</v>
      </c>
      <c r="C2455" s="3">
        <v>82</v>
      </c>
      <c r="D2455" s="3">
        <v>8</v>
      </c>
      <c r="E2455" s="3" t="s">
        <v>10</v>
      </c>
      <c r="F2455" s="3">
        <v>0</v>
      </c>
      <c r="G2455" s="4"/>
      <c r="H2455" s="3">
        <v>0</v>
      </c>
    </row>
    <row r="2456" ht="14.25" spans="1:8">
      <c r="A2456" s="3" t="str">
        <f>"11607208209"</f>
        <v>11607208209</v>
      </c>
      <c r="B2456" s="3">
        <v>2</v>
      </c>
      <c r="C2456" s="3">
        <v>82</v>
      </c>
      <c r="D2456" s="3">
        <v>9</v>
      </c>
      <c r="E2456" s="3" t="s">
        <v>10</v>
      </c>
      <c r="F2456" s="3">
        <v>0</v>
      </c>
      <c r="G2456" s="4"/>
      <c r="H2456" s="3">
        <v>0</v>
      </c>
    </row>
    <row r="2457" ht="14.25" spans="1:8">
      <c r="A2457" s="3" t="str">
        <f>"11607208210"</f>
        <v>11607208210</v>
      </c>
      <c r="B2457" s="3">
        <v>2</v>
      </c>
      <c r="C2457" s="3">
        <v>82</v>
      </c>
      <c r="D2457" s="3">
        <v>10</v>
      </c>
      <c r="E2457" s="3" t="s">
        <v>10</v>
      </c>
      <c r="F2457" s="3">
        <v>0</v>
      </c>
      <c r="G2457" s="4"/>
      <c r="H2457" s="3">
        <v>0</v>
      </c>
    </row>
    <row r="2458" ht="14.25" spans="1:8">
      <c r="A2458" s="3" t="str">
        <f>"11607208211"</f>
        <v>11607208211</v>
      </c>
      <c r="B2458" s="3">
        <v>2</v>
      </c>
      <c r="C2458" s="3">
        <v>82</v>
      </c>
      <c r="D2458" s="3">
        <v>11</v>
      </c>
      <c r="E2458" s="3" t="s">
        <v>10</v>
      </c>
      <c r="F2458" s="4">
        <v>71</v>
      </c>
      <c r="G2458" s="4"/>
      <c r="H2458" s="4">
        <f t="shared" si="243"/>
        <v>71</v>
      </c>
    </row>
    <row r="2459" ht="14.25" spans="1:8">
      <c r="A2459" s="3" t="str">
        <f>"11607208212"</f>
        <v>11607208212</v>
      </c>
      <c r="B2459" s="3">
        <v>2</v>
      </c>
      <c r="C2459" s="3">
        <v>82</v>
      </c>
      <c r="D2459" s="3">
        <v>12</v>
      </c>
      <c r="E2459" s="3" t="s">
        <v>10</v>
      </c>
      <c r="F2459" s="4">
        <v>82</v>
      </c>
      <c r="G2459" s="4"/>
      <c r="H2459" s="4">
        <f t="shared" si="243"/>
        <v>82</v>
      </c>
    </row>
    <row r="2460" ht="14.25" spans="1:8">
      <c r="A2460" s="3" t="str">
        <f>"11607208213"</f>
        <v>11607208213</v>
      </c>
      <c r="B2460" s="3">
        <v>2</v>
      </c>
      <c r="C2460" s="3">
        <v>82</v>
      </c>
      <c r="D2460" s="3">
        <v>13</v>
      </c>
      <c r="E2460" s="3" t="s">
        <v>10</v>
      </c>
      <c r="F2460" s="4">
        <v>79</v>
      </c>
      <c r="G2460" s="4"/>
      <c r="H2460" s="4">
        <f t="shared" si="243"/>
        <v>79</v>
      </c>
    </row>
    <row r="2461" ht="14.25" spans="1:8">
      <c r="A2461" s="3" t="str">
        <f>"11608208214"</f>
        <v>11608208214</v>
      </c>
      <c r="B2461" s="3">
        <v>2</v>
      </c>
      <c r="C2461" s="3">
        <v>82</v>
      </c>
      <c r="D2461" s="3">
        <v>14</v>
      </c>
      <c r="E2461" s="3" t="s">
        <v>10</v>
      </c>
      <c r="F2461" s="3">
        <v>0</v>
      </c>
      <c r="G2461" s="4"/>
      <c r="H2461" s="3">
        <v>0</v>
      </c>
    </row>
    <row r="2462" ht="14.25" spans="1:8">
      <c r="A2462" s="3" t="str">
        <f>"11608208215"</f>
        <v>11608208215</v>
      </c>
      <c r="B2462" s="3">
        <v>2</v>
      </c>
      <c r="C2462" s="3">
        <v>82</v>
      </c>
      <c r="D2462" s="3">
        <v>15</v>
      </c>
      <c r="E2462" s="3" t="s">
        <v>10</v>
      </c>
      <c r="F2462" s="4">
        <v>85</v>
      </c>
      <c r="G2462" s="4"/>
      <c r="H2462" s="4">
        <f>F2462+G2462</f>
        <v>85</v>
      </c>
    </row>
    <row r="2463" ht="14.25" spans="1:8">
      <c r="A2463" s="3" t="str">
        <f>"11608208216"</f>
        <v>11608208216</v>
      </c>
      <c r="B2463" s="3">
        <v>2</v>
      </c>
      <c r="C2463" s="3">
        <v>82</v>
      </c>
      <c r="D2463" s="3">
        <v>16</v>
      </c>
      <c r="E2463" s="3" t="s">
        <v>10</v>
      </c>
      <c r="F2463" s="3">
        <v>0</v>
      </c>
      <c r="G2463" s="4"/>
      <c r="H2463" s="3">
        <v>0</v>
      </c>
    </row>
    <row r="2464" ht="14.25" spans="1:8">
      <c r="A2464" s="3" t="str">
        <f>"11608208217"</f>
        <v>11608208217</v>
      </c>
      <c r="B2464" s="3">
        <v>2</v>
      </c>
      <c r="C2464" s="3">
        <v>82</v>
      </c>
      <c r="D2464" s="3">
        <v>17</v>
      </c>
      <c r="E2464" s="3" t="s">
        <v>10</v>
      </c>
      <c r="F2464" s="3">
        <v>0</v>
      </c>
      <c r="G2464" s="4"/>
      <c r="H2464" s="3">
        <v>0</v>
      </c>
    </row>
    <row r="2465" ht="14.25" spans="1:8">
      <c r="A2465" s="3" t="str">
        <f>"11608208218"</f>
        <v>11608208218</v>
      </c>
      <c r="B2465" s="3">
        <v>2</v>
      </c>
      <c r="C2465" s="3">
        <v>82</v>
      </c>
      <c r="D2465" s="3">
        <v>18</v>
      </c>
      <c r="E2465" s="3" t="s">
        <v>10</v>
      </c>
      <c r="F2465" s="3">
        <v>0</v>
      </c>
      <c r="G2465" s="4"/>
      <c r="H2465" s="3">
        <v>0</v>
      </c>
    </row>
    <row r="2466" ht="14.25" spans="1:8">
      <c r="A2466" s="3" t="str">
        <f>"11608208219"</f>
        <v>11608208219</v>
      </c>
      <c r="B2466" s="3">
        <v>2</v>
      </c>
      <c r="C2466" s="3">
        <v>82</v>
      </c>
      <c r="D2466" s="3">
        <v>19</v>
      </c>
      <c r="E2466" s="3" t="s">
        <v>10</v>
      </c>
      <c r="F2466" s="3">
        <v>0</v>
      </c>
      <c r="G2466" s="4"/>
      <c r="H2466" s="3">
        <v>0</v>
      </c>
    </row>
    <row r="2467" ht="14.25" spans="1:8">
      <c r="A2467" s="3" t="str">
        <f>"11608208220"</f>
        <v>11608208220</v>
      </c>
      <c r="B2467" s="3">
        <v>2</v>
      </c>
      <c r="C2467" s="3">
        <v>82</v>
      </c>
      <c r="D2467" s="3">
        <v>20</v>
      </c>
      <c r="E2467" s="3" t="s">
        <v>10</v>
      </c>
      <c r="F2467" s="3">
        <v>0</v>
      </c>
      <c r="G2467" s="4"/>
      <c r="H2467" s="3">
        <v>0</v>
      </c>
    </row>
    <row r="2468" ht="14.25" spans="1:8">
      <c r="A2468" s="3" t="str">
        <f>"11608208221"</f>
        <v>11608208221</v>
      </c>
      <c r="B2468" s="3">
        <v>2</v>
      </c>
      <c r="C2468" s="3">
        <v>82</v>
      </c>
      <c r="D2468" s="3">
        <v>21</v>
      </c>
      <c r="E2468" s="3" t="s">
        <v>10</v>
      </c>
      <c r="F2468" s="3">
        <v>0</v>
      </c>
      <c r="G2468" s="4"/>
      <c r="H2468" s="3">
        <v>0</v>
      </c>
    </row>
    <row r="2469" ht="14.25" spans="1:8">
      <c r="A2469" s="3" t="str">
        <f>"11608208222"</f>
        <v>11608208222</v>
      </c>
      <c r="B2469" s="3">
        <v>2</v>
      </c>
      <c r="C2469" s="3">
        <v>82</v>
      </c>
      <c r="D2469" s="3">
        <v>22</v>
      </c>
      <c r="E2469" s="3" t="s">
        <v>10</v>
      </c>
      <c r="F2469" s="4">
        <v>37</v>
      </c>
      <c r="G2469" s="4"/>
      <c r="H2469" s="4">
        <f>F2469+G2469</f>
        <v>37</v>
      </c>
    </row>
    <row r="2470" ht="14.25" spans="1:8">
      <c r="A2470" s="3" t="str">
        <f>"11608208223"</f>
        <v>11608208223</v>
      </c>
      <c r="B2470" s="3">
        <v>2</v>
      </c>
      <c r="C2470" s="3">
        <v>82</v>
      </c>
      <c r="D2470" s="3">
        <v>23</v>
      </c>
      <c r="E2470" s="3" t="s">
        <v>10</v>
      </c>
      <c r="F2470" s="3">
        <v>0</v>
      </c>
      <c r="G2470" s="4"/>
      <c r="H2470" s="3">
        <v>0</v>
      </c>
    </row>
    <row r="2471" ht="14.25" spans="1:8">
      <c r="A2471" s="3" t="str">
        <f>"11608208224"</f>
        <v>11608208224</v>
      </c>
      <c r="B2471" s="3">
        <v>2</v>
      </c>
      <c r="C2471" s="3">
        <v>82</v>
      </c>
      <c r="D2471" s="3">
        <v>24</v>
      </c>
      <c r="E2471" s="3" t="s">
        <v>10</v>
      </c>
      <c r="F2471" s="3">
        <v>0</v>
      </c>
      <c r="G2471" s="4"/>
      <c r="H2471" s="3">
        <v>0</v>
      </c>
    </row>
    <row r="2472" ht="14.25" spans="1:8">
      <c r="A2472" s="3" t="str">
        <f>"11608208225"</f>
        <v>11608208225</v>
      </c>
      <c r="B2472" s="3">
        <v>2</v>
      </c>
      <c r="C2472" s="3">
        <v>82</v>
      </c>
      <c r="D2472" s="3">
        <v>25</v>
      </c>
      <c r="E2472" s="3" t="s">
        <v>10</v>
      </c>
      <c r="F2472" s="4">
        <v>41.5</v>
      </c>
      <c r="G2472" s="4"/>
      <c r="H2472" s="4">
        <f t="shared" ref="H2472:H2479" si="244">F2472+G2472</f>
        <v>41.5</v>
      </c>
    </row>
    <row r="2473" ht="14.25" spans="1:8">
      <c r="A2473" s="3" t="str">
        <f>"11608208226"</f>
        <v>11608208226</v>
      </c>
      <c r="B2473" s="3">
        <v>2</v>
      </c>
      <c r="C2473" s="3">
        <v>82</v>
      </c>
      <c r="D2473" s="3">
        <v>26</v>
      </c>
      <c r="E2473" s="3" t="s">
        <v>10</v>
      </c>
      <c r="F2473" s="3">
        <v>0</v>
      </c>
      <c r="G2473" s="4"/>
      <c r="H2473" s="3">
        <v>0</v>
      </c>
    </row>
    <row r="2474" ht="14.25" spans="1:8">
      <c r="A2474" s="3" t="str">
        <f>"11701208227"</f>
        <v>11701208227</v>
      </c>
      <c r="B2474" s="3">
        <v>2</v>
      </c>
      <c r="C2474" s="3">
        <v>82</v>
      </c>
      <c r="D2474" s="3">
        <v>27</v>
      </c>
      <c r="E2474" s="3" t="s">
        <v>10</v>
      </c>
      <c r="F2474" s="3">
        <v>0</v>
      </c>
      <c r="G2474" s="4"/>
      <c r="H2474" s="3">
        <v>0</v>
      </c>
    </row>
    <row r="2475" ht="14.25" spans="1:8">
      <c r="A2475" s="3" t="str">
        <f>"11701208228"</f>
        <v>11701208228</v>
      </c>
      <c r="B2475" s="3">
        <v>2</v>
      </c>
      <c r="C2475" s="3">
        <v>82</v>
      </c>
      <c r="D2475" s="3">
        <v>28</v>
      </c>
      <c r="E2475" s="3" t="s">
        <v>10</v>
      </c>
      <c r="F2475" s="4">
        <v>82.5</v>
      </c>
      <c r="G2475" s="4"/>
      <c r="H2475" s="4">
        <f t="shared" si="244"/>
        <v>82.5</v>
      </c>
    </row>
    <row r="2476" ht="14.25" spans="1:8">
      <c r="A2476" s="3" t="str">
        <f>"11701208229"</f>
        <v>11701208229</v>
      </c>
      <c r="B2476" s="3">
        <v>2</v>
      </c>
      <c r="C2476" s="3">
        <v>82</v>
      </c>
      <c r="D2476" s="3">
        <v>29</v>
      </c>
      <c r="E2476" s="3" t="s">
        <v>10</v>
      </c>
      <c r="F2476" s="4">
        <v>79.5</v>
      </c>
      <c r="G2476" s="4"/>
      <c r="H2476" s="4">
        <f t="shared" si="244"/>
        <v>79.5</v>
      </c>
    </row>
    <row r="2477" ht="14.25" spans="1:8">
      <c r="A2477" s="3" t="str">
        <f>"11701208230"</f>
        <v>11701208230</v>
      </c>
      <c r="B2477" s="3">
        <v>2</v>
      </c>
      <c r="C2477" s="3">
        <v>82</v>
      </c>
      <c r="D2477" s="3">
        <v>30</v>
      </c>
      <c r="E2477" s="3" t="s">
        <v>10</v>
      </c>
      <c r="F2477" s="4">
        <v>81</v>
      </c>
      <c r="G2477" s="4"/>
      <c r="H2477" s="4">
        <f t="shared" si="244"/>
        <v>81</v>
      </c>
    </row>
    <row r="2478" ht="14.25" spans="1:8">
      <c r="A2478" s="3" t="str">
        <f>"11701208301"</f>
        <v>11701208301</v>
      </c>
      <c r="B2478" s="3">
        <v>2</v>
      </c>
      <c r="C2478" s="3">
        <v>83</v>
      </c>
      <c r="D2478" s="3">
        <v>1</v>
      </c>
      <c r="E2478" s="3" t="s">
        <v>10</v>
      </c>
      <c r="F2478" s="4">
        <v>77.5</v>
      </c>
      <c r="G2478" s="4"/>
      <c r="H2478" s="4">
        <f t="shared" si="244"/>
        <v>77.5</v>
      </c>
    </row>
    <row r="2479" ht="14.25" spans="1:8">
      <c r="A2479" s="3" t="str">
        <f>"11701208302"</f>
        <v>11701208302</v>
      </c>
      <c r="B2479" s="3">
        <v>2</v>
      </c>
      <c r="C2479" s="3">
        <v>83</v>
      </c>
      <c r="D2479" s="3">
        <v>2</v>
      </c>
      <c r="E2479" s="3" t="s">
        <v>10</v>
      </c>
      <c r="F2479" s="4">
        <v>84</v>
      </c>
      <c r="G2479" s="4"/>
      <c r="H2479" s="4">
        <f t="shared" si="244"/>
        <v>84</v>
      </c>
    </row>
    <row r="2480" ht="14.25" spans="1:8">
      <c r="A2480" s="3" t="str">
        <f>"11701208303"</f>
        <v>11701208303</v>
      </c>
      <c r="B2480" s="3">
        <v>2</v>
      </c>
      <c r="C2480" s="3">
        <v>83</v>
      </c>
      <c r="D2480" s="3">
        <v>3</v>
      </c>
      <c r="E2480" s="3" t="s">
        <v>10</v>
      </c>
      <c r="F2480" s="3">
        <v>0</v>
      </c>
      <c r="G2480" s="4"/>
      <c r="H2480" s="3">
        <v>0</v>
      </c>
    </row>
    <row r="2481" ht="14.25" spans="1:8">
      <c r="A2481" s="3" t="str">
        <f>"11701208304"</f>
        <v>11701208304</v>
      </c>
      <c r="B2481" s="3">
        <v>2</v>
      </c>
      <c r="C2481" s="3">
        <v>83</v>
      </c>
      <c r="D2481" s="3">
        <v>4</v>
      </c>
      <c r="E2481" s="3" t="s">
        <v>10</v>
      </c>
      <c r="F2481" s="3">
        <v>0</v>
      </c>
      <c r="G2481" s="4"/>
      <c r="H2481" s="3">
        <v>0</v>
      </c>
    </row>
    <row r="2482" ht="14.25" spans="1:8">
      <c r="A2482" s="3" t="str">
        <f>"11701208305"</f>
        <v>11701208305</v>
      </c>
      <c r="B2482" s="3">
        <v>2</v>
      </c>
      <c r="C2482" s="3">
        <v>83</v>
      </c>
      <c r="D2482" s="3">
        <v>5</v>
      </c>
      <c r="E2482" s="3" t="s">
        <v>10</v>
      </c>
      <c r="F2482" s="4">
        <v>74.5</v>
      </c>
      <c r="G2482" s="4"/>
      <c r="H2482" s="4">
        <f t="shared" ref="H2482:H2488" si="245">F2482+G2482</f>
        <v>74.5</v>
      </c>
    </row>
    <row r="2483" ht="14.25" spans="1:8">
      <c r="A2483" s="3" t="str">
        <f>"11701208306"</f>
        <v>11701208306</v>
      </c>
      <c r="B2483" s="3">
        <v>2</v>
      </c>
      <c r="C2483" s="3">
        <v>83</v>
      </c>
      <c r="D2483" s="3">
        <v>6</v>
      </c>
      <c r="E2483" s="3" t="s">
        <v>10</v>
      </c>
      <c r="F2483" s="4">
        <v>81</v>
      </c>
      <c r="G2483" s="4"/>
      <c r="H2483" s="4">
        <f t="shared" si="245"/>
        <v>81</v>
      </c>
    </row>
    <row r="2484" ht="14.25" spans="1:8">
      <c r="A2484" s="3" t="str">
        <f>"11701208307"</f>
        <v>11701208307</v>
      </c>
      <c r="B2484" s="3">
        <v>2</v>
      </c>
      <c r="C2484" s="3">
        <v>83</v>
      </c>
      <c r="D2484" s="3">
        <v>7</v>
      </c>
      <c r="E2484" s="3" t="s">
        <v>10</v>
      </c>
      <c r="F2484" s="4">
        <v>70</v>
      </c>
      <c r="G2484" s="4"/>
      <c r="H2484" s="4">
        <f t="shared" si="245"/>
        <v>70</v>
      </c>
    </row>
    <row r="2485" ht="14.25" spans="1:8">
      <c r="A2485" s="3" t="str">
        <f>"11701208308"</f>
        <v>11701208308</v>
      </c>
      <c r="B2485" s="3">
        <v>2</v>
      </c>
      <c r="C2485" s="3">
        <v>83</v>
      </c>
      <c r="D2485" s="3">
        <v>8</v>
      </c>
      <c r="E2485" s="3" t="s">
        <v>10</v>
      </c>
      <c r="F2485" s="4">
        <v>74</v>
      </c>
      <c r="G2485" s="4"/>
      <c r="H2485" s="4">
        <f t="shared" si="245"/>
        <v>74</v>
      </c>
    </row>
    <row r="2486" ht="14.25" spans="1:8">
      <c r="A2486" s="3" t="str">
        <f>"11701208309"</f>
        <v>11701208309</v>
      </c>
      <c r="B2486" s="3">
        <v>2</v>
      </c>
      <c r="C2486" s="3">
        <v>83</v>
      </c>
      <c r="D2486" s="3">
        <v>9</v>
      </c>
      <c r="E2486" s="3" t="s">
        <v>10</v>
      </c>
      <c r="F2486" s="4">
        <v>78</v>
      </c>
      <c r="G2486" s="4"/>
      <c r="H2486" s="4">
        <f t="shared" si="245"/>
        <v>78</v>
      </c>
    </row>
    <row r="2487" ht="14.25" spans="1:8">
      <c r="A2487" s="3" t="str">
        <f>"11701208310"</f>
        <v>11701208310</v>
      </c>
      <c r="B2487" s="3">
        <v>2</v>
      </c>
      <c r="C2487" s="3">
        <v>83</v>
      </c>
      <c r="D2487" s="3">
        <v>10</v>
      </c>
      <c r="E2487" s="3" t="s">
        <v>10</v>
      </c>
      <c r="F2487" s="4">
        <v>82</v>
      </c>
      <c r="G2487" s="4"/>
      <c r="H2487" s="4">
        <f t="shared" si="245"/>
        <v>82</v>
      </c>
    </row>
    <row r="2488" ht="14.25" spans="1:8">
      <c r="A2488" s="3" t="str">
        <f>"11701208311"</f>
        <v>11701208311</v>
      </c>
      <c r="B2488" s="3">
        <v>2</v>
      </c>
      <c r="C2488" s="3">
        <v>83</v>
      </c>
      <c r="D2488" s="3">
        <v>11</v>
      </c>
      <c r="E2488" s="3" t="s">
        <v>10</v>
      </c>
      <c r="F2488" s="4">
        <v>77.5</v>
      </c>
      <c r="G2488" s="4"/>
      <c r="H2488" s="4">
        <f t="shared" si="245"/>
        <v>77.5</v>
      </c>
    </row>
    <row r="2489" ht="14.25" spans="1:8">
      <c r="A2489" s="3" t="str">
        <f>"11701208312"</f>
        <v>11701208312</v>
      </c>
      <c r="B2489" s="3">
        <v>2</v>
      </c>
      <c r="C2489" s="3">
        <v>83</v>
      </c>
      <c r="D2489" s="3">
        <v>12</v>
      </c>
      <c r="E2489" s="3" t="s">
        <v>10</v>
      </c>
      <c r="F2489" s="3">
        <v>0</v>
      </c>
      <c r="G2489" s="4"/>
      <c r="H2489" s="3">
        <v>0</v>
      </c>
    </row>
    <row r="2490" ht="14.25" spans="1:8">
      <c r="A2490" s="3" t="str">
        <f>"11701208313"</f>
        <v>11701208313</v>
      </c>
      <c r="B2490" s="3">
        <v>2</v>
      </c>
      <c r="C2490" s="3">
        <v>83</v>
      </c>
      <c r="D2490" s="3">
        <v>13</v>
      </c>
      <c r="E2490" s="3" t="s">
        <v>10</v>
      </c>
      <c r="F2490" s="4">
        <v>89.5</v>
      </c>
      <c r="G2490" s="4"/>
      <c r="H2490" s="4">
        <f t="shared" ref="H2490:H2494" si="246">F2490+G2490</f>
        <v>89.5</v>
      </c>
    </row>
    <row r="2491" ht="14.25" spans="1:8">
      <c r="A2491" s="3" t="str">
        <f>"11701208314"</f>
        <v>11701208314</v>
      </c>
      <c r="B2491" s="3">
        <v>2</v>
      </c>
      <c r="C2491" s="3">
        <v>83</v>
      </c>
      <c r="D2491" s="3">
        <v>14</v>
      </c>
      <c r="E2491" s="3" t="s">
        <v>10</v>
      </c>
      <c r="F2491" s="3">
        <v>0</v>
      </c>
      <c r="G2491" s="4"/>
      <c r="H2491" s="3">
        <v>0</v>
      </c>
    </row>
    <row r="2492" ht="14.25" spans="1:8">
      <c r="A2492" s="3" t="str">
        <f>"11701208315"</f>
        <v>11701208315</v>
      </c>
      <c r="B2492" s="3">
        <v>2</v>
      </c>
      <c r="C2492" s="3">
        <v>83</v>
      </c>
      <c r="D2492" s="3">
        <v>15</v>
      </c>
      <c r="E2492" s="3" t="s">
        <v>10</v>
      </c>
      <c r="F2492" s="4">
        <v>59</v>
      </c>
      <c r="G2492" s="4"/>
      <c r="H2492" s="4">
        <f t="shared" si="246"/>
        <v>59</v>
      </c>
    </row>
    <row r="2493" ht="14.25" spans="1:8">
      <c r="A2493" s="3" t="str">
        <f>"11701208316"</f>
        <v>11701208316</v>
      </c>
      <c r="B2493" s="3">
        <v>2</v>
      </c>
      <c r="C2493" s="3">
        <v>83</v>
      </c>
      <c r="D2493" s="3">
        <v>16</v>
      </c>
      <c r="E2493" s="3" t="s">
        <v>10</v>
      </c>
      <c r="F2493" s="4">
        <v>82</v>
      </c>
      <c r="G2493" s="4"/>
      <c r="H2493" s="4">
        <f t="shared" si="246"/>
        <v>82</v>
      </c>
    </row>
    <row r="2494" ht="14.25" spans="1:8">
      <c r="A2494" s="3" t="str">
        <f>"11701208317"</f>
        <v>11701208317</v>
      </c>
      <c r="B2494" s="3">
        <v>2</v>
      </c>
      <c r="C2494" s="3">
        <v>83</v>
      </c>
      <c r="D2494" s="3">
        <v>17</v>
      </c>
      <c r="E2494" s="3" t="s">
        <v>10</v>
      </c>
      <c r="F2494" s="4">
        <v>77.5</v>
      </c>
      <c r="G2494" s="4"/>
      <c r="H2494" s="4">
        <f t="shared" si="246"/>
        <v>77.5</v>
      </c>
    </row>
    <row r="2495" ht="14.25" spans="1:8">
      <c r="A2495" s="3" t="str">
        <f>"11701208318"</f>
        <v>11701208318</v>
      </c>
      <c r="B2495" s="3">
        <v>2</v>
      </c>
      <c r="C2495" s="3">
        <v>83</v>
      </c>
      <c r="D2495" s="3">
        <v>18</v>
      </c>
      <c r="E2495" s="3" t="s">
        <v>10</v>
      </c>
      <c r="F2495" s="3">
        <v>0</v>
      </c>
      <c r="G2495" s="4"/>
      <c r="H2495" s="3">
        <v>0</v>
      </c>
    </row>
    <row r="2496" ht="14.25" spans="1:8">
      <c r="A2496" s="3" t="str">
        <f>"11701208319"</f>
        <v>11701208319</v>
      </c>
      <c r="B2496" s="3">
        <v>2</v>
      </c>
      <c r="C2496" s="3">
        <v>83</v>
      </c>
      <c r="D2496" s="3">
        <v>19</v>
      </c>
      <c r="E2496" s="3" t="s">
        <v>10</v>
      </c>
      <c r="F2496" s="4">
        <v>81</v>
      </c>
      <c r="G2496" s="4"/>
      <c r="H2496" s="4">
        <f t="shared" ref="H2496:H2503" si="247">F2496+G2496</f>
        <v>81</v>
      </c>
    </row>
    <row r="2497" ht="14.25" spans="1:8">
      <c r="A2497" s="3" t="str">
        <f>"11701208320"</f>
        <v>11701208320</v>
      </c>
      <c r="B2497" s="3">
        <v>2</v>
      </c>
      <c r="C2497" s="3">
        <v>83</v>
      </c>
      <c r="D2497" s="3">
        <v>20</v>
      </c>
      <c r="E2497" s="3" t="s">
        <v>10</v>
      </c>
      <c r="F2497" s="4">
        <v>81.5</v>
      </c>
      <c r="G2497" s="4"/>
      <c r="H2497" s="4">
        <f t="shared" si="247"/>
        <v>81.5</v>
      </c>
    </row>
    <row r="2498" ht="14.25" spans="1:8">
      <c r="A2498" s="3" t="str">
        <f>"11701208321"</f>
        <v>11701208321</v>
      </c>
      <c r="B2498" s="3">
        <v>2</v>
      </c>
      <c r="C2498" s="3">
        <v>83</v>
      </c>
      <c r="D2498" s="3">
        <v>21</v>
      </c>
      <c r="E2498" s="3" t="s">
        <v>10</v>
      </c>
      <c r="F2498" s="4">
        <v>65</v>
      </c>
      <c r="G2498" s="4"/>
      <c r="H2498" s="4">
        <f t="shared" si="247"/>
        <v>65</v>
      </c>
    </row>
    <row r="2499" ht="14.25" spans="1:8">
      <c r="A2499" s="3" t="str">
        <f>"11701208322"</f>
        <v>11701208322</v>
      </c>
      <c r="B2499" s="3">
        <v>2</v>
      </c>
      <c r="C2499" s="3">
        <v>83</v>
      </c>
      <c r="D2499" s="3">
        <v>22</v>
      </c>
      <c r="E2499" s="3" t="s">
        <v>10</v>
      </c>
      <c r="F2499" s="4">
        <v>62</v>
      </c>
      <c r="G2499" s="4"/>
      <c r="H2499" s="4">
        <f t="shared" si="247"/>
        <v>62</v>
      </c>
    </row>
    <row r="2500" ht="14.25" spans="1:8">
      <c r="A2500" s="3" t="str">
        <f>"11701208323"</f>
        <v>11701208323</v>
      </c>
      <c r="B2500" s="3">
        <v>2</v>
      </c>
      <c r="C2500" s="3">
        <v>83</v>
      </c>
      <c r="D2500" s="3">
        <v>23</v>
      </c>
      <c r="E2500" s="3" t="s">
        <v>10</v>
      </c>
      <c r="F2500" s="4">
        <v>55.5</v>
      </c>
      <c r="G2500" s="4"/>
      <c r="H2500" s="4">
        <f t="shared" si="247"/>
        <v>55.5</v>
      </c>
    </row>
    <row r="2501" ht="14.25" spans="1:8">
      <c r="A2501" s="3" t="str">
        <f>"11701208324"</f>
        <v>11701208324</v>
      </c>
      <c r="B2501" s="3">
        <v>2</v>
      </c>
      <c r="C2501" s="3">
        <v>83</v>
      </c>
      <c r="D2501" s="3">
        <v>24</v>
      </c>
      <c r="E2501" s="3" t="s">
        <v>10</v>
      </c>
      <c r="F2501" s="4">
        <v>79</v>
      </c>
      <c r="G2501" s="4"/>
      <c r="H2501" s="4">
        <f t="shared" si="247"/>
        <v>79</v>
      </c>
    </row>
    <row r="2502" ht="14.25" spans="1:8">
      <c r="A2502" s="3" t="str">
        <f>"11701208325"</f>
        <v>11701208325</v>
      </c>
      <c r="B2502" s="3">
        <v>2</v>
      </c>
      <c r="C2502" s="3">
        <v>83</v>
      </c>
      <c r="D2502" s="3">
        <v>25</v>
      </c>
      <c r="E2502" s="3" t="s">
        <v>10</v>
      </c>
      <c r="F2502" s="4">
        <v>82.5</v>
      </c>
      <c r="G2502" s="4"/>
      <c r="H2502" s="4">
        <f t="shared" si="247"/>
        <v>82.5</v>
      </c>
    </row>
    <row r="2503" ht="14.25" spans="1:8">
      <c r="A2503" s="3" t="str">
        <f>"11701208326"</f>
        <v>11701208326</v>
      </c>
      <c r="B2503" s="3">
        <v>2</v>
      </c>
      <c r="C2503" s="3">
        <v>83</v>
      </c>
      <c r="D2503" s="3">
        <v>26</v>
      </c>
      <c r="E2503" s="3" t="s">
        <v>10</v>
      </c>
      <c r="F2503" s="4">
        <v>78.5</v>
      </c>
      <c r="G2503" s="4"/>
      <c r="H2503" s="4">
        <f t="shared" si="247"/>
        <v>78.5</v>
      </c>
    </row>
    <row r="2504" ht="14.25" spans="1:8">
      <c r="A2504" s="3" t="str">
        <f>"11701208327"</f>
        <v>11701208327</v>
      </c>
      <c r="B2504" s="3">
        <v>2</v>
      </c>
      <c r="C2504" s="3">
        <v>83</v>
      </c>
      <c r="D2504" s="3">
        <v>27</v>
      </c>
      <c r="E2504" s="3" t="s">
        <v>10</v>
      </c>
      <c r="F2504" s="3">
        <v>0</v>
      </c>
      <c r="G2504" s="4"/>
      <c r="H2504" s="3">
        <v>0</v>
      </c>
    </row>
    <row r="2505" ht="14.25" spans="1:8">
      <c r="A2505" s="3" t="str">
        <f>"11701208328"</f>
        <v>11701208328</v>
      </c>
      <c r="B2505" s="3">
        <v>2</v>
      </c>
      <c r="C2505" s="3">
        <v>83</v>
      </c>
      <c r="D2505" s="3">
        <v>28</v>
      </c>
      <c r="E2505" s="3" t="s">
        <v>10</v>
      </c>
      <c r="F2505" s="4">
        <v>74.5</v>
      </c>
      <c r="G2505" s="4"/>
      <c r="H2505" s="4">
        <f t="shared" ref="H2505:H2535" si="248">F2505+G2505</f>
        <v>74.5</v>
      </c>
    </row>
    <row r="2506" ht="14.25" spans="1:8">
      <c r="A2506" s="3" t="str">
        <f>"11701208329"</f>
        <v>11701208329</v>
      </c>
      <c r="B2506" s="3">
        <v>2</v>
      </c>
      <c r="C2506" s="3">
        <v>83</v>
      </c>
      <c r="D2506" s="3">
        <v>29</v>
      </c>
      <c r="E2506" s="3" t="s">
        <v>10</v>
      </c>
      <c r="F2506" s="3">
        <v>0</v>
      </c>
      <c r="G2506" s="4"/>
      <c r="H2506" s="3">
        <v>0</v>
      </c>
    </row>
    <row r="2507" ht="14.25" spans="1:8">
      <c r="A2507" s="3" t="str">
        <f>"11701208330"</f>
        <v>11701208330</v>
      </c>
      <c r="B2507" s="3">
        <v>2</v>
      </c>
      <c r="C2507" s="3">
        <v>83</v>
      </c>
      <c r="D2507" s="3">
        <v>30</v>
      </c>
      <c r="E2507" s="3" t="s">
        <v>10</v>
      </c>
      <c r="F2507" s="4">
        <v>82</v>
      </c>
      <c r="G2507" s="4"/>
      <c r="H2507" s="4">
        <f t="shared" si="248"/>
        <v>82</v>
      </c>
    </row>
    <row r="2508" ht="14.25" spans="1:8">
      <c r="A2508" s="3" t="str">
        <f>"11701208401"</f>
        <v>11701208401</v>
      </c>
      <c r="B2508" s="3">
        <v>2</v>
      </c>
      <c r="C2508" s="3">
        <v>84</v>
      </c>
      <c r="D2508" s="3">
        <v>1</v>
      </c>
      <c r="E2508" s="3" t="s">
        <v>10</v>
      </c>
      <c r="F2508" s="3">
        <v>0</v>
      </c>
      <c r="G2508" s="4"/>
      <c r="H2508" s="3">
        <v>0</v>
      </c>
    </row>
    <row r="2509" ht="14.25" spans="1:8">
      <c r="A2509" s="3" t="str">
        <f>"11701208402"</f>
        <v>11701208402</v>
      </c>
      <c r="B2509" s="3">
        <v>2</v>
      </c>
      <c r="C2509" s="3">
        <v>84</v>
      </c>
      <c r="D2509" s="3">
        <v>2</v>
      </c>
      <c r="E2509" s="3" t="s">
        <v>10</v>
      </c>
      <c r="F2509" s="4">
        <v>72</v>
      </c>
      <c r="G2509" s="4"/>
      <c r="H2509" s="4">
        <f t="shared" si="248"/>
        <v>72</v>
      </c>
    </row>
    <row r="2510" ht="14.25" spans="1:8">
      <c r="A2510" s="3" t="str">
        <f>"11701208403"</f>
        <v>11701208403</v>
      </c>
      <c r="B2510" s="3">
        <v>2</v>
      </c>
      <c r="C2510" s="3">
        <v>84</v>
      </c>
      <c r="D2510" s="3">
        <v>3</v>
      </c>
      <c r="E2510" s="3" t="s">
        <v>10</v>
      </c>
      <c r="F2510" s="4">
        <v>86.5</v>
      </c>
      <c r="G2510" s="4"/>
      <c r="H2510" s="4">
        <f t="shared" si="248"/>
        <v>86.5</v>
      </c>
    </row>
    <row r="2511" ht="14.25" spans="1:8">
      <c r="A2511" s="3" t="str">
        <f>"11701208404"</f>
        <v>11701208404</v>
      </c>
      <c r="B2511" s="3">
        <v>2</v>
      </c>
      <c r="C2511" s="3">
        <v>84</v>
      </c>
      <c r="D2511" s="3">
        <v>4</v>
      </c>
      <c r="E2511" s="3" t="s">
        <v>10</v>
      </c>
      <c r="F2511" s="4">
        <v>62.5</v>
      </c>
      <c r="G2511" s="4"/>
      <c r="H2511" s="4">
        <f t="shared" si="248"/>
        <v>62.5</v>
      </c>
    </row>
    <row r="2512" ht="14.25" spans="1:8">
      <c r="A2512" s="3" t="str">
        <f>"11701208405"</f>
        <v>11701208405</v>
      </c>
      <c r="B2512" s="3">
        <v>2</v>
      </c>
      <c r="C2512" s="3">
        <v>84</v>
      </c>
      <c r="D2512" s="3">
        <v>5</v>
      </c>
      <c r="E2512" s="3" t="s">
        <v>10</v>
      </c>
      <c r="F2512" s="4">
        <v>83.5</v>
      </c>
      <c r="G2512" s="4"/>
      <c r="H2512" s="4">
        <f t="shared" si="248"/>
        <v>83.5</v>
      </c>
    </row>
    <row r="2513" ht="14.25" spans="1:8">
      <c r="A2513" s="3" t="str">
        <f>"11701208406"</f>
        <v>11701208406</v>
      </c>
      <c r="B2513" s="3">
        <v>2</v>
      </c>
      <c r="C2513" s="3">
        <v>84</v>
      </c>
      <c r="D2513" s="3">
        <v>6</v>
      </c>
      <c r="E2513" s="3" t="s">
        <v>10</v>
      </c>
      <c r="F2513" s="4">
        <v>78</v>
      </c>
      <c r="G2513" s="4"/>
      <c r="H2513" s="4">
        <f t="shared" si="248"/>
        <v>78</v>
      </c>
    </row>
    <row r="2514" ht="14.25" spans="1:8">
      <c r="A2514" s="3" t="str">
        <f>"11701208407"</f>
        <v>11701208407</v>
      </c>
      <c r="B2514" s="3">
        <v>2</v>
      </c>
      <c r="C2514" s="3">
        <v>84</v>
      </c>
      <c r="D2514" s="3">
        <v>7</v>
      </c>
      <c r="E2514" s="3" t="s">
        <v>10</v>
      </c>
      <c r="F2514" s="4">
        <v>83</v>
      </c>
      <c r="G2514" s="4"/>
      <c r="H2514" s="4">
        <f t="shared" si="248"/>
        <v>83</v>
      </c>
    </row>
    <row r="2515" ht="14.25" spans="1:8">
      <c r="A2515" s="3" t="str">
        <f>"11701208408"</f>
        <v>11701208408</v>
      </c>
      <c r="B2515" s="3">
        <v>2</v>
      </c>
      <c r="C2515" s="3">
        <v>84</v>
      </c>
      <c r="D2515" s="3">
        <v>8</v>
      </c>
      <c r="E2515" s="3" t="s">
        <v>10</v>
      </c>
      <c r="F2515" s="4">
        <v>80</v>
      </c>
      <c r="G2515" s="4"/>
      <c r="H2515" s="4">
        <f t="shared" si="248"/>
        <v>80</v>
      </c>
    </row>
    <row r="2516" ht="14.25" spans="1:8">
      <c r="A2516" s="3" t="str">
        <f>"11701208409"</f>
        <v>11701208409</v>
      </c>
      <c r="B2516" s="3">
        <v>2</v>
      </c>
      <c r="C2516" s="3">
        <v>84</v>
      </c>
      <c r="D2516" s="3">
        <v>9</v>
      </c>
      <c r="E2516" s="3" t="s">
        <v>10</v>
      </c>
      <c r="F2516" s="4">
        <v>74.5</v>
      </c>
      <c r="G2516" s="4"/>
      <c r="H2516" s="4">
        <f t="shared" si="248"/>
        <v>74.5</v>
      </c>
    </row>
    <row r="2517" ht="14.25" spans="1:8">
      <c r="A2517" s="3" t="str">
        <f>"11701208410"</f>
        <v>11701208410</v>
      </c>
      <c r="B2517" s="3">
        <v>2</v>
      </c>
      <c r="C2517" s="3">
        <v>84</v>
      </c>
      <c r="D2517" s="3">
        <v>10</v>
      </c>
      <c r="E2517" s="3" t="s">
        <v>10</v>
      </c>
      <c r="F2517" s="4">
        <v>81</v>
      </c>
      <c r="G2517" s="4"/>
      <c r="H2517" s="4">
        <f t="shared" si="248"/>
        <v>81</v>
      </c>
    </row>
    <row r="2518" ht="14.25" spans="1:8">
      <c r="A2518" s="3" t="str">
        <f>"11701208411"</f>
        <v>11701208411</v>
      </c>
      <c r="B2518" s="3">
        <v>2</v>
      </c>
      <c r="C2518" s="3">
        <v>84</v>
      </c>
      <c r="D2518" s="3">
        <v>11</v>
      </c>
      <c r="E2518" s="3" t="s">
        <v>10</v>
      </c>
      <c r="F2518" s="4">
        <v>80</v>
      </c>
      <c r="G2518" s="4"/>
      <c r="H2518" s="4">
        <f t="shared" si="248"/>
        <v>80</v>
      </c>
    </row>
    <row r="2519" ht="14.25" spans="1:8">
      <c r="A2519" s="3" t="str">
        <f>"11701208412"</f>
        <v>11701208412</v>
      </c>
      <c r="B2519" s="3">
        <v>2</v>
      </c>
      <c r="C2519" s="3">
        <v>84</v>
      </c>
      <c r="D2519" s="3">
        <v>12</v>
      </c>
      <c r="E2519" s="3" t="s">
        <v>10</v>
      </c>
      <c r="F2519" s="4">
        <v>86.5</v>
      </c>
      <c r="G2519" s="4"/>
      <c r="H2519" s="4">
        <f t="shared" si="248"/>
        <v>86.5</v>
      </c>
    </row>
    <row r="2520" ht="14.25" spans="1:8">
      <c r="A2520" s="3" t="str">
        <f>"11701208413"</f>
        <v>11701208413</v>
      </c>
      <c r="B2520" s="3">
        <v>2</v>
      </c>
      <c r="C2520" s="3">
        <v>84</v>
      </c>
      <c r="D2520" s="3">
        <v>13</v>
      </c>
      <c r="E2520" s="3" t="s">
        <v>10</v>
      </c>
      <c r="F2520" s="4">
        <v>76</v>
      </c>
      <c r="G2520" s="4"/>
      <c r="H2520" s="4">
        <f t="shared" si="248"/>
        <v>76</v>
      </c>
    </row>
    <row r="2521" ht="14.25" spans="1:8">
      <c r="A2521" s="3" t="str">
        <f>"11701208414"</f>
        <v>11701208414</v>
      </c>
      <c r="B2521" s="3">
        <v>2</v>
      </c>
      <c r="C2521" s="3">
        <v>84</v>
      </c>
      <c r="D2521" s="3">
        <v>14</v>
      </c>
      <c r="E2521" s="3" t="s">
        <v>10</v>
      </c>
      <c r="F2521" s="4">
        <v>80</v>
      </c>
      <c r="G2521" s="4"/>
      <c r="H2521" s="4">
        <f t="shared" si="248"/>
        <v>80</v>
      </c>
    </row>
    <row r="2522" ht="14.25" spans="1:8">
      <c r="A2522" s="3" t="str">
        <f>"11701208415"</f>
        <v>11701208415</v>
      </c>
      <c r="B2522" s="3">
        <v>2</v>
      </c>
      <c r="C2522" s="3">
        <v>84</v>
      </c>
      <c r="D2522" s="3">
        <v>15</v>
      </c>
      <c r="E2522" s="3" t="s">
        <v>10</v>
      </c>
      <c r="F2522" s="4">
        <v>74</v>
      </c>
      <c r="G2522" s="4"/>
      <c r="H2522" s="4">
        <f t="shared" si="248"/>
        <v>74</v>
      </c>
    </row>
    <row r="2523" ht="14.25" spans="1:8">
      <c r="A2523" s="3" t="str">
        <f>"11701208416"</f>
        <v>11701208416</v>
      </c>
      <c r="B2523" s="3">
        <v>2</v>
      </c>
      <c r="C2523" s="3">
        <v>84</v>
      </c>
      <c r="D2523" s="3">
        <v>16</v>
      </c>
      <c r="E2523" s="3" t="s">
        <v>10</v>
      </c>
      <c r="F2523" s="4">
        <v>69</v>
      </c>
      <c r="G2523" s="4"/>
      <c r="H2523" s="4">
        <f t="shared" si="248"/>
        <v>69</v>
      </c>
    </row>
    <row r="2524" ht="14.25" spans="1:8">
      <c r="A2524" s="3" t="str">
        <f>"11701208417"</f>
        <v>11701208417</v>
      </c>
      <c r="B2524" s="3">
        <v>2</v>
      </c>
      <c r="C2524" s="3">
        <v>84</v>
      </c>
      <c r="D2524" s="3">
        <v>17</v>
      </c>
      <c r="E2524" s="3" t="s">
        <v>10</v>
      </c>
      <c r="F2524" s="4">
        <v>69.5</v>
      </c>
      <c r="G2524" s="4"/>
      <c r="H2524" s="4">
        <f t="shared" si="248"/>
        <v>69.5</v>
      </c>
    </row>
    <row r="2525" ht="14.25" spans="1:8">
      <c r="A2525" s="3" t="str">
        <f>"11701208418"</f>
        <v>11701208418</v>
      </c>
      <c r="B2525" s="3">
        <v>2</v>
      </c>
      <c r="C2525" s="3">
        <v>84</v>
      </c>
      <c r="D2525" s="3">
        <v>18</v>
      </c>
      <c r="E2525" s="3" t="s">
        <v>10</v>
      </c>
      <c r="F2525" s="4">
        <v>76.5</v>
      </c>
      <c r="G2525" s="4"/>
      <c r="H2525" s="4">
        <f t="shared" si="248"/>
        <v>76.5</v>
      </c>
    </row>
    <row r="2526" ht="14.25" spans="1:8">
      <c r="A2526" s="3" t="str">
        <f>"11701208419"</f>
        <v>11701208419</v>
      </c>
      <c r="B2526" s="3">
        <v>2</v>
      </c>
      <c r="C2526" s="3">
        <v>84</v>
      </c>
      <c r="D2526" s="3">
        <v>19</v>
      </c>
      <c r="E2526" s="3" t="s">
        <v>10</v>
      </c>
      <c r="F2526" s="4">
        <v>63.5</v>
      </c>
      <c r="G2526" s="4"/>
      <c r="H2526" s="4">
        <f t="shared" si="248"/>
        <v>63.5</v>
      </c>
    </row>
    <row r="2527" ht="14.25" spans="1:8">
      <c r="A2527" s="3" t="str">
        <f>"11701208420"</f>
        <v>11701208420</v>
      </c>
      <c r="B2527" s="3">
        <v>2</v>
      </c>
      <c r="C2527" s="3">
        <v>84</v>
      </c>
      <c r="D2527" s="3">
        <v>20</v>
      </c>
      <c r="E2527" s="3" t="s">
        <v>10</v>
      </c>
      <c r="F2527" s="4">
        <v>68</v>
      </c>
      <c r="G2527" s="4"/>
      <c r="H2527" s="4">
        <f t="shared" si="248"/>
        <v>68</v>
      </c>
    </row>
    <row r="2528" ht="14.25" spans="1:8">
      <c r="A2528" s="3" t="str">
        <f>"11701208421"</f>
        <v>11701208421</v>
      </c>
      <c r="B2528" s="3">
        <v>2</v>
      </c>
      <c r="C2528" s="3">
        <v>84</v>
      </c>
      <c r="D2528" s="3">
        <v>21</v>
      </c>
      <c r="E2528" s="3" t="s">
        <v>10</v>
      </c>
      <c r="F2528" s="4">
        <v>89.5</v>
      </c>
      <c r="G2528" s="4"/>
      <c r="H2528" s="4">
        <f t="shared" si="248"/>
        <v>89.5</v>
      </c>
    </row>
    <row r="2529" ht="14.25" spans="1:8">
      <c r="A2529" s="3" t="str">
        <f>"11701208422"</f>
        <v>11701208422</v>
      </c>
      <c r="B2529" s="3">
        <v>2</v>
      </c>
      <c r="C2529" s="3">
        <v>84</v>
      </c>
      <c r="D2529" s="3">
        <v>22</v>
      </c>
      <c r="E2529" s="3" t="s">
        <v>10</v>
      </c>
      <c r="F2529" s="4">
        <v>84</v>
      </c>
      <c r="G2529" s="4"/>
      <c r="H2529" s="4">
        <f t="shared" si="248"/>
        <v>84</v>
      </c>
    </row>
    <row r="2530" ht="14.25" spans="1:8">
      <c r="A2530" s="3" t="str">
        <f>"11701208423"</f>
        <v>11701208423</v>
      </c>
      <c r="B2530" s="3">
        <v>2</v>
      </c>
      <c r="C2530" s="3">
        <v>84</v>
      </c>
      <c r="D2530" s="3">
        <v>23</v>
      </c>
      <c r="E2530" s="3" t="s">
        <v>10</v>
      </c>
      <c r="F2530" s="4">
        <v>66</v>
      </c>
      <c r="G2530" s="4"/>
      <c r="H2530" s="4">
        <f t="shared" si="248"/>
        <v>66</v>
      </c>
    </row>
    <row r="2531" ht="14.25" spans="1:8">
      <c r="A2531" s="3" t="str">
        <f>"11701208424"</f>
        <v>11701208424</v>
      </c>
      <c r="B2531" s="3">
        <v>2</v>
      </c>
      <c r="C2531" s="3">
        <v>84</v>
      </c>
      <c r="D2531" s="3">
        <v>24</v>
      </c>
      <c r="E2531" s="3" t="s">
        <v>10</v>
      </c>
      <c r="F2531" s="4">
        <v>79</v>
      </c>
      <c r="G2531" s="4"/>
      <c r="H2531" s="4">
        <f t="shared" si="248"/>
        <v>79</v>
      </c>
    </row>
    <row r="2532" ht="14.25" spans="1:8">
      <c r="A2532" s="3" t="str">
        <f>"11701208425"</f>
        <v>11701208425</v>
      </c>
      <c r="B2532" s="3">
        <v>2</v>
      </c>
      <c r="C2532" s="3">
        <v>84</v>
      </c>
      <c r="D2532" s="3">
        <v>25</v>
      </c>
      <c r="E2532" s="3" t="s">
        <v>10</v>
      </c>
      <c r="F2532" s="4">
        <v>86.5</v>
      </c>
      <c r="G2532" s="4"/>
      <c r="H2532" s="4">
        <f t="shared" si="248"/>
        <v>86.5</v>
      </c>
    </row>
    <row r="2533" ht="14.25" spans="1:8">
      <c r="A2533" s="3" t="str">
        <f>"11701208426"</f>
        <v>11701208426</v>
      </c>
      <c r="B2533" s="3">
        <v>2</v>
      </c>
      <c r="C2533" s="3">
        <v>84</v>
      </c>
      <c r="D2533" s="3">
        <v>26</v>
      </c>
      <c r="E2533" s="3" t="s">
        <v>10</v>
      </c>
      <c r="F2533" s="4">
        <v>77</v>
      </c>
      <c r="G2533" s="4"/>
      <c r="H2533" s="4">
        <f t="shared" si="248"/>
        <v>77</v>
      </c>
    </row>
    <row r="2534" ht="14.25" spans="1:8">
      <c r="A2534" s="3" t="str">
        <f>"11701208427"</f>
        <v>11701208427</v>
      </c>
      <c r="B2534" s="3">
        <v>2</v>
      </c>
      <c r="C2534" s="3">
        <v>84</v>
      </c>
      <c r="D2534" s="3">
        <v>27</v>
      </c>
      <c r="E2534" s="3" t="s">
        <v>10</v>
      </c>
      <c r="F2534" s="4">
        <v>73.5</v>
      </c>
      <c r="G2534" s="4"/>
      <c r="H2534" s="4">
        <f t="shared" si="248"/>
        <v>73.5</v>
      </c>
    </row>
    <row r="2535" ht="14.25" spans="1:8">
      <c r="A2535" s="3" t="str">
        <f>"11701208428"</f>
        <v>11701208428</v>
      </c>
      <c r="B2535" s="3">
        <v>2</v>
      </c>
      <c r="C2535" s="3">
        <v>84</v>
      </c>
      <c r="D2535" s="3">
        <v>28</v>
      </c>
      <c r="E2535" s="3" t="s">
        <v>10</v>
      </c>
      <c r="F2535" s="4">
        <v>77</v>
      </c>
      <c r="G2535" s="4"/>
      <c r="H2535" s="4">
        <f t="shared" si="248"/>
        <v>77</v>
      </c>
    </row>
    <row r="2536" ht="14.25" spans="1:8">
      <c r="A2536" s="3" t="str">
        <f>"11701208429"</f>
        <v>11701208429</v>
      </c>
      <c r="B2536" s="3">
        <v>2</v>
      </c>
      <c r="C2536" s="3">
        <v>84</v>
      </c>
      <c r="D2536" s="3">
        <v>29</v>
      </c>
      <c r="E2536" s="3" t="s">
        <v>10</v>
      </c>
      <c r="F2536" s="3">
        <v>0</v>
      </c>
      <c r="G2536" s="4"/>
      <c r="H2536" s="3">
        <v>0</v>
      </c>
    </row>
    <row r="2537" ht="14.25" spans="1:8">
      <c r="A2537" s="3" t="str">
        <f>"11701208430"</f>
        <v>11701208430</v>
      </c>
      <c r="B2537" s="3">
        <v>2</v>
      </c>
      <c r="C2537" s="3">
        <v>84</v>
      </c>
      <c r="D2537" s="3">
        <v>30</v>
      </c>
      <c r="E2537" s="3" t="s">
        <v>10</v>
      </c>
      <c r="F2537" s="4">
        <v>65</v>
      </c>
      <c r="G2537" s="4"/>
      <c r="H2537" s="4">
        <f t="shared" ref="H2537:H2539" si="249">F2537+G2537</f>
        <v>65</v>
      </c>
    </row>
    <row r="2538" ht="14.25" spans="1:8">
      <c r="A2538" s="3" t="str">
        <f>"11701208501"</f>
        <v>11701208501</v>
      </c>
      <c r="B2538" s="3">
        <v>2</v>
      </c>
      <c r="C2538" s="3">
        <v>85</v>
      </c>
      <c r="D2538" s="3">
        <v>1</v>
      </c>
      <c r="E2538" s="3" t="s">
        <v>10</v>
      </c>
      <c r="F2538" s="4">
        <v>71</v>
      </c>
      <c r="G2538" s="4"/>
      <c r="H2538" s="4">
        <f t="shared" si="249"/>
        <v>71</v>
      </c>
    </row>
    <row r="2539" ht="14.25" spans="1:8">
      <c r="A2539" s="3" t="str">
        <f>"11701208502"</f>
        <v>11701208502</v>
      </c>
      <c r="B2539" s="3">
        <v>2</v>
      </c>
      <c r="C2539" s="3">
        <v>85</v>
      </c>
      <c r="D2539" s="3">
        <v>2</v>
      </c>
      <c r="E2539" s="3" t="s">
        <v>10</v>
      </c>
      <c r="F2539" s="4">
        <v>74</v>
      </c>
      <c r="G2539" s="4"/>
      <c r="H2539" s="4">
        <f t="shared" si="249"/>
        <v>74</v>
      </c>
    </row>
    <row r="2540" ht="14.25" spans="1:8">
      <c r="A2540" s="3" t="str">
        <f>"11701208503"</f>
        <v>11701208503</v>
      </c>
      <c r="B2540" s="3">
        <v>2</v>
      </c>
      <c r="C2540" s="3">
        <v>85</v>
      </c>
      <c r="D2540" s="3">
        <v>3</v>
      </c>
      <c r="E2540" s="3" t="s">
        <v>10</v>
      </c>
      <c r="F2540" s="3">
        <v>0</v>
      </c>
      <c r="G2540" s="4"/>
      <c r="H2540" s="3">
        <v>0</v>
      </c>
    </row>
    <row r="2541" ht="14.25" spans="1:8">
      <c r="A2541" s="3" t="str">
        <f>"11701208504"</f>
        <v>11701208504</v>
      </c>
      <c r="B2541" s="3">
        <v>2</v>
      </c>
      <c r="C2541" s="3">
        <v>85</v>
      </c>
      <c r="D2541" s="3">
        <v>4</v>
      </c>
      <c r="E2541" s="3" t="s">
        <v>10</v>
      </c>
      <c r="F2541" s="4">
        <v>83.5</v>
      </c>
      <c r="G2541" s="4"/>
      <c r="H2541" s="4">
        <f t="shared" ref="H2541:H2549" si="250">F2541+G2541</f>
        <v>83.5</v>
      </c>
    </row>
    <row r="2542" ht="14.25" spans="1:8">
      <c r="A2542" s="3" t="str">
        <f>"11701208505"</f>
        <v>11701208505</v>
      </c>
      <c r="B2542" s="3">
        <v>2</v>
      </c>
      <c r="C2542" s="3">
        <v>85</v>
      </c>
      <c r="D2542" s="3">
        <v>5</v>
      </c>
      <c r="E2542" s="3" t="s">
        <v>10</v>
      </c>
      <c r="F2542" s="4">
        <v>77.5</v>
      </c>
      <c r="G2542" s="4"/>
      <c r="H2542" s="4">
        <f t="shared" si="250"/>
        <v>77.5</v>
      </c>
    </row>
    <row r="2543" ht="14.25" spans="1:8">
      <c r="A2543" s="3" t="str">
        <f>"11701208506"</f>
        <v>11701208506</v>
      </c>
      <c r="B2543" s="3">
        <v>2</v>
      </c>
      <c r="C2543" s="3">
        <v>85</v>
      </c>
      <c r="D2543" s="3">
        <v>6</v>
      </c>
      <c r="E2543" s="3" t="s">
        <v>10</v>
      </c>
      <c r="F2543" s="4">
        <v>82.5</v>
      </c>
      <c r="G2543" s="4"/>
      <c r="H2543" s="4">
        <f t="shared" si="250"/>
        <v>82.5</v>
      </c>
    </row>
    <row r="2544" ht="14.25" spans="1:8">
      <c r="A2544" s="3" t="str">
        <f>"11701208507"</f>
        <v>11701208507</v>
      </c>
      <c r="B2544" s="3">
        <v>2</v>
      </c>
      <c r="C2544" s="3">
        <v>85</v>
      </c>
      <c r="D2544" s="3">
        <v>7</v>
      </c>
      <c r="E2544" s="3" t="s">
        <v>10</v>
      </c>
      <c r="F2544" s="4">
        <v>85.5</v>
      </c>
      <c r="G2544" s="4"/>
      <c r="H2544" s="4">
        <f t="shared" si="250"/>
        <v>85.5</v>
      </c>
    </row>
    <row r="2545" ht="14.25" spans="1:8">
      <c r="A2545" s="3" t="str">
        <f>"11701208508"</f>
        <v>11701208508</v>
      </c>
      <c r="B2545" s="3">
        <v>2</v>
      </c>
      <c r="C2545" s="3">
        <v>85</v>
      </c>
      <c r="D2545" s="3">
        <v>8</v>
      </c>
      <c r="E2545" s="3" t="s">
        <v>10</v>
      </c>
      <c r="F2545" s="4">
        <v>68.5</v>
      </c>
      <c r="G2545" s="4"/>
      <c r="H2545" s="4">
        <f t="shared" si="250"/>
        <v>68.5</v>
      </c>
    </row>
    <row r="2546" ht="14.25" spans="1:8">
      <c r="A2546" s="3" t="str">
        <f>"11701208509"</f>
        <v>11701208509</v>
      </c>
      <c r="B2546" s="3">
        <v>2</v>
      </c>
      <c r="C2546" s="3">
        <v>85</v>
      </c>
      <c r="D2546" s="3">
        <v>9</v>
      </c>
      <c r="E2546" s="3" t="s">
        <v>10</v>
      </c>
      <c r="F2546" s="4">
        <v>83</v>
      </c>
      <c r="G2546" s="4"/>
      <c r="H2546" s="4">
        <f t="shared" si="250"/>
        <v>83</v>
      </c>
    </row>
    <row r="2547" ht="14.25" spans="1:8">
      <c r="A2547" s="3" t="str">
        <f>"11701208510"</f>
        <v>11701208510</v>
      </c>
      <c r="B2547" s="3">
        <v>2</v>
      </c>
      <c r="C2547" s="3">
        <v>85</v>
      </c>
      <c r="D2547" s="3">
        <v>10</v>
      </c>
      <c r="E2547" s="3" t="s">
        <v>10</v>
      </c>
      <c r="F2547" s="4">
        <v>46</v>
      </c>
      <c r="G2547" s="4"/>
      <c r="H2547" s="4">
        <f t="shared" si="250"/>
        <v>46</v>
      </c>
    </row>
    <row r="2548" ht="14.25" spans="1:8">
      <c r="A2548" s="3" t="str">
        <f>"11701208511"</f>
        <v>11701208511</v>
      </c>
      <c r="B2548" s="3">
        <v>2</v>
      </c>
      <c r="C2548" s="3">
        <v>85</v>
      </c>
      <c r="D2548" s="3">
        <v>11</v>
      </c>
      <c r="E2548" s="3" t="s">
        <v>10</v>
      </c>
      <c r="F2548" s="4">
        <v>74</v>
      </c>
      <c r="G2548" s="4"/>
      <c r="H2548" s="4">
        <f t="shared" si="250"/>
        <v>74</v>
      </c>
    </row>
    <row r="2549" ht="14.25" spans="1:8">
      <c r="A2549" s="3" t="str">
        <f>"11701208512"</f>
        <v>11701208512</v>
      </c>
      <c r="B2549" s="3">
        <v>2</v>
      </c>
      <c r="C2549" s="3">
        <v>85</v>
      </c>
      <c r="D2549" s="3">
        <v>12</v>
      </c>
      <c r="E2549" s="3" t="s">
        <v>10</v>
      </c>
      <c r="F2549" s="4">
        <v>71.5</v>
      </c>
      <c r="G2549" s="4"/>
      <c r="H2549" s="4">
        <f t="shared" si="250"/>
        <v>71.5</v>
      </c>
    </row>
    <row r="2550" ht="14.25" spans="1:8">
      <c r="A2550" s="3" t="str">
        <f>"11701208513"</f>
        <v>11701208513</v>
      </c>
      <c r="B2550" s="3">
        <v>2</v>
      </c>
      <c r="C2550" s="3">
        <v>85</v>
      </c>
      <c r="D2550" s="3">
        <v>13</v>
      </c>
      <c r="E2550" s="3" t="s">
        <v>10</v>
      </c>
      <c r="F2550" s="3">
        <v>0</v>
      </c>
      <c r="G2550" s="4"/>
      <c r="H2550" s="3">
        <v>0</v>
      </c>
    </row>
    <row r="2551" ht="14.25" spans="1:8">
      <c r="A2551" s="3" t="str">
        <f>"11701208514"</f>
        <v>11701208514</v>
      </c>
      <c r="B2551" s="3">
        <v>2</v>
      </c>
      <c r="C2551" s="3">
        <v>85</v>
      </c>
      <c r="D2551" s="3">
        <v>14</v>
      </c>
      <c r="E2551" s="3" t="s">
        <v>10</v>
      </c>
      <c r="F2551" s="4">
        <v>85.5</v>
      </c>
      <c r="G2551" s="4"/>
      <c r="H2551" s="4">
        <f t="shared" ref="H2551:H2555" si="251">F2551+G2551</f>
        <v>85.5</v>
      </c>
    </row>
    <row r="2552" ht="14.25" spans="1:8">
      <c r="A2552" s="3" t="str">
        <f>"11701208515"</f>
        <v>11701208515</v>
      </c>
      <c r="B2552" s="3">
        <v>2</v>
      </c>
      <c r="C2552" s="3">
        <v>85</v>
      </c>
      <c r="D2552" s="3">
        <v>15</v>
      </c>
      <c r="E2552" s="3" t="s">
        <v>10</v>
      </c>
      <c r="F2552" s="4">
        <v>55</v>
      </c>
      <c r="G2552" s="4"/>
      <c r="H2552" s="4">
        <f t="shared" si="251"/>
        <v>55</v>
      </c>
    </row>
    <row r="2553" ht="14.25" spans="1:8">
      <c r="A2553" s="3" t="str">
        <f>"11701208516"</f>
        <v>11701208516</v>
      </c>
      <c r="B2553" s="3">
        <v>2</v>
      </c>
      <c r="C2553" s="3">
        <v>85</v>
      </c>
      <c r="D2553" s="3">
        <v>16</v>
      </c>
      <c r="E2553" s="3" t="s">
        <v>10</v>
      </c>
      <c r="F2553" s="3">
        <v>0</v>
      </c>
      <c r="G2553" s="4"/>
      <c r="H2553" s="3">
        <v>0</v>
      </c>
    </row>
    <row r="2554" ht="14.25" spans="1:8">
      <c r="A2554" s="3" t="str">
        <f>"11701208517"</f>
        <v>11701208517</v>
      </c>
      <c r="B2554" s="3">
        <v>2</v>
      </c>
      <c r="C2554" s="3">
        <v>85</v>
      </c>
      <c r="D2554" s="3">
        <v>17</v>
      </c>
      <c r="E2554" s="3" t="s">
        <v>10</v>
      </c>
      <c r="F2554" s="4">
        <v>83.5</v>
      </c>
      <c r="G2554" s="4"/>
      <c r="H2554" s="4">
        <f t="shared" si="251"/>
        <v>83.5</v>
      </c>
    </row>
    <row r="2555" ht="14.25" spans="1:8">
      <c r="A2555" s="3" t="str">
        <f>"11701208518"</f>
        <v>11701208518</v>
      </c>
      <c r="B2555" s="3">
        <v>2</v>
      </c>
      <c r="C2555" s="3">
        <v>85</v>
      </c>
      <c r="D2555" s="3">
        <v>18</v>
      </c>
      <c r="E2555" s="3" t="s">
        <v>10</v>
      </c>
      <c r="F2555" s="4">
        <v>84.5</v>
      </c>
      <c r="G2555" s="4"/>
      <c r="H2555" s="4">
        <f t="shared" si="251"/>
        <v>84.5</v>
      </c>
    </row>
    <row r="2556" ht="14.25" spans="1:8">
      <c r="A2556" s="3" t="str">
        <f>"11701208519"</f>
        <v>11701208519</v>
      </c>
      <c r="B2556" s="3">
        <v>2</v>
      </c>
      <c r="C2556" s="3">
        <v>85</v>
      </c>
      <c r="D2556" s="3">
        <v>19</v>
      </c>
      <c r="E2556" s="3" t="s">
        <v>10</v>
      </c>
      <c r="F2556" s="3">
        <v>0</v>
      </c>
      <c r="G2556" s="4"/>
      <c r="H2556" s="3">
        <v>0</v>
      </c>
    </row>
    <row r="2557" ht="14.25" spans="1:8">
      <c r="A2557" s="3" t="str">
        <f>"11701208520"</f>
        <v>11701208520</v>
      </c>
      <c r="B2557" s="3">
        <v>2</v>
      </c>
      <c r="C2557" s="3">
        <v>85</v>
      </c>
      <c r="D2557" s="3">
        <v>20</v>
      </c>
      <c r="E2557" s="3" t="s">
        <v>10</v>
      </c>
      <c r="F2557" s="4">
        <v>61</v>
      </c>
      <c r="G2557" s="4"/>
      <c r="H2557" s="4">
        <f t="shared" ref="H2557:H2568" si="252">F2557+G2557</f>
        <v>61</v>
      </c>
    </row>
    <row r="2558" ht="14.25" spans="1:8">
      <c r="A2558" s="3" t="str">
        <f>"11701208521"</f>
        <v>11701208521</v>
      </c>
      <c r="B2558" s="3">
        <v>2</v>
      </c>
      <c r="C2558" s="3">
        <v>85</v>
      </c>
      <c r="D2558" s="3">
        <v>21</v>
      </c>
      <c r="E2558" s="3" t="s">
        <v>10</v>
      </c>
      <c r="F2558" s="4">
        <v>79.5</v>
      </c>
      <c r="G2558" s="4"/>
      <c r="H2558" s="4">
        <f t="shared" si="252"/>
        <v>79.5</v>
      </c>
    </row>
    <row r="2559" ht="14.25" spans="1:8">
      <c r="A2559" s="3" t="str">
        <f>"11701208522"</f>
        <v>11701208522</v>
      </c>
      <c r="B2559" s="3">
        <v>2</v>
      </c>
      <c r="C2559" s="3">
        <v>85</v>
      </c>
      <c r="D2559" s="3">
        <v>22</v>
      </c>
      <c r="E2559" s="3" t="s">
        <v>10</v>
      </c>
      <c r="F2559" s="4">
        <v>78.5</v>
      </c>
      <c r="G2559" s="4"/>
      <c r="H2559" s="4">
        <f t="shared" si="252"/>
        <v>78.5</v>
      </c>
    </row>
    <row r="2560" ht="14.25" spans="1:8">
      <c r="A2560" s="3" t="str">
        <f>"11701208523"</f>
        <v>11701208523</v>
      </c>
      <c r="B2560" s="3">
        <v>2</v>
      </c>
      <c r="C2560" s="3">
        <v>85</v>
      </c>
      <c r="D2560" s="3">
        <v>23</v>
      </c>
      <c r="E2560" s="3" t="s">
        <v>10</v>
      </c>
      <c r="F2560" s="4">
        <v>59</v>
      </c>
      <c r="G2560" s="4"/>
      <c r="H2560" s="4">
        <f t="shared" si="252"/>
        <v>59</v>
      </c>
    </row>
    <row r="2561" ht="14.25" spans="1:8">
      <c r="A2561" s="3" t="str">
        <f>"11701208524"</f>
        <v>11701208524</v>
      </c>
      <c r="B2561" s="3">
        <v>2</v>
      </c>
      <c r="C2561" s="3">
        <v>85</v>
      </c>
      <c r="D2561" s="3">
        <v>24</v>
      </c>
      <c r="E2561" s="3" t="s">
        <v>10</v>
      </c>
      <c r="F2561" s="4">
        <v>73</v>
      </c>
      <c r="G2561" s="4"/>
      <c r="H2561" s="4">
        <f t="shared" si="252"/>
        <v>73</v>
      </c>
    </row>
    <row r="2562" ht="14.25" spans="1:8">
      <c r="A2562" s="3" t="str">
        <f>"11701208525"</f>
        <v>11701208525</v>
      </c>
      <c r="B2562" s="3">
        <v>2</v>
      </c>
      <c r="C2562" s="3">
        <v>85</v>
      </c>
      <c r="D2562" s="3">
        <v>25</v>
      </c>
      <c r="E2562" s="3" t="s">
        <v>10</v>
      </c>
      <c r="F2562" s="4">
        <v>76</v>
      </c>
      <c r="G2562" s="4"/>
      <c r="H2562" s="4">
        <f t="shared" si="252"/>
        <v>76</v>
      </c>
    </row>
    <row r="2563" ht="14.25" spans="1:8">
      <c r="A2563" s="3" t="str">
        <f>"11701208526"</f>
        <v>11701208526</v>
      </c>
      <c r="B2563" s="3">
        <v>2</v>
      </c>
      <c r="C2563" s="3">
        <v>85</v>
      </c>
      <c r="D2563" s="3">
        <v>26</v>
      </c>
      <c r="E2563" s="3" t="s">
        <v>10</v>
      </c>
      <c r="F2563" s="4">
        <v>57.5</v>
      </c>
      <c r="G2563" s="4"/>
      <c r="H2563" s="4">
        <f t="shared" si="252"/>
        <v>57.5</v>
      </c>
    </row>
    <row r="2564" ht="14.25" spans="1:8">
      <c r="A2564" s="3" t="str">
        <f>"11701208527"</f>
        <v>11701208527</v>
      </c>
      <c r="B2564" s="3">
        <v>2</v>
      </c>
      <c r="C2564" s="3">
        <v>85</v>
      </c>
      <c r="D2564" s="3">
        <v>27</v>
      </c>
      <c r="E2564" s="3" t="s">
        <v>10</v>
      </c>
      <c r="F2564" s="4">
        <v>69</v>
      </c>
      <c r="G2564" s="4"/>
      <c r="H2564" s="4">
        <f t="shared" si="252"/>
        <v>69</v>
      </c>
    </row>
    <row r="2565" ht="14.25" spans="1:8">
      <c r="A2565" s="3" t="str">
        <f>"11701208528"</f>
        <v>11701208528</v>
      </c>
      <c r="B2565" s="3">
        <v>2</v>
      </c>
      <c r="C2565" s="3">
        <v>85</v>
      </c>
      <c r="D2565" s="3">
        <v>28</v>
      </c>
      <c r="E2565" s="3" t="s">
        <v>10</v>
      </c>
      <c r="F2565" s="4">
        <v>86</v>
      </c>
      <c r="G2565" s="4"/>
      <c r="H2565" s="4">
        <f t="shared" si="252"/>
        <v>86</v>
      </c>
    </row>
    <row r="2566" ht="14.25" spans="1:8">
      <c r="A2566" s="3" t="str">
        <f>"11701208529"</f>
        <v>11701208529</v>
      </c>
      <c r="B2566" s="3">
        <v>2</v>
      </c>
      <c r="C2566" s="3">
        <v>85</v>
      </c>
      <c r="D2566" s="3">
        <v>29</v>
      </c>
      <c r="E2566" s="3" t="s">
        <v>10</v>
      </c>
      <c r="F2566" s="4">
        <v>82.5</v>
      </c>
      <c r="G2566" s="4"/>
      <c r="H2566" s="4">
        <f t="shared" si="252"/>
        <v>82.5</v>
      </c>
    </row>
    <row r="2567" ht="14.25" spans="1:8">
      <c r="A2567" s="3" t="str">
        <f>"11701208530"</f>
        <v>11701208530</v>
      </c>
      <c r="B2567" s="3">
        <v>2</v>
      </c>
      <c r="C2567" s="3">
        <v>85</v>
      </c>
      <c r="D2567" s="3">
        <v>30</v>
      </c>
      <c r="E2567" s="3" t="s">
        <v>10</v>
      </c>
      <c r="F2567" s="4">
        <v>59</v>
      </c>
      <c r="G2567" s="4"/>
      <c r="H2567" s="4">
        <f t="shared" si="252"/>
        <v>59</v>
      </c>
    </row>
    <row r="2568" ht="14.25" spans="1:8">
      <c r="A2568" s="3" t="str">
        <f>"11701208601"</f>
        <v>11701208601</v>
      </c>
      <c r="B2568" s="3">
        <v>2</v>
      </c>
      <c r="C2568" s="3">
        <v>86</v>
      </c>
      <c r="D2568" s="3">
        <v>1</v>
      </c>
      <c r="E2568" s="3" t="s">
        <v>10</v>
      </c>
      <c r="F2568" s="4">
        <v>59.5</v>
      </c>
      <c r="G2568" s="4"/>
      <c r="H2568" s="4">
        <f t="shared" si="252"/>
        <v>59.5</v>
      </c>
    </row>
    <row r="2569" ht="14.25" spans="1:8">
      <c r="A2569" s="3" t="str">
        <f>"11701208602"</f>
        <v>11701208602</v>
      </c>
      <c r="B2569" s="3">
        <v>2</v>
      </c>
      <c r="C2569" s="3">
        <v>86</v>
      </c>
      <c r="D2569" s="3">
        <v>2</v>
      </c>
      <c r="E2569" s="3" t="s">
        <v>10</v>
      </c>
      <c r="F2569" s="3">
        <v>0</v>
      </c>
      <c r="G2569" s="4"/>
      <c r="H2569" s="3">
        <v>0</v>
      </c>
    </row>
    <row r="2570" ht="14.25" spans="1:8">
      <c r="A2570" s="3" t="str">
        <f>"11701208603"</f>
        <v>11701208603</v>
      </c>
      <c r="B2570" s="3">
        <v>2</v>
      </c>
      <c r="C2570" s="3">
        <v>86</v>
      </c>
      <c r="D2570" s="3">
        <v>3</v>
      </c>
      <c r="E2570" s="3" t="s">
        <v>10</v>
      </c>
      <c r="F2570" s="4">
        <v>68</v>
      </c>
      <c r="G2570" s="4"/>
      <c r="H2570" s="4">
        <f t="shared" ref="H2570:H2575" si="253">F2570+G2570</f>
        <v>68</v>
      </c>
    </row>
    <row r="2571" ht="14.25" spans="1:8">
      <c r="A2571" s="3" t="str">
        <f>"11701208604"</f>
        <v>11701208604</v>
      </c>
      <c r="B2571" s="3">
        <v>2</v>
      </c>
      <c r="C2571" s="3">
        <v>86</v>
      </c>
      <c r="D2571" s="3">
        <v>4</v>
      </c>
      <c r="E2571" s="3" t="s">
        <v>10</v>
      </c>
      <c r="F2571" s="4">
        <v>78</v>
      </c>
      <c r="G2571" s="4"/>
      <c r="H2571" s="4">
        <f t="shared" si="253"/>
        <v>78</v>
      </c>
    </row>
    <row r="2572" ht="14.25" spans="1:8">
      <c r="A2572" s="3" t="str">
        <f>"11701208605"</f>
        <v>11701208605</v>
      </c>
      <c r="B2572" s="3">
        <v>2</v>
      </c>
      <c r="C2572" s="3">
        <v>86</v>
      </c>
      <c r="D2572" s="3">
        <v>5</v>
      </c>
      <c r="E2572" s="3" t="s">
        <v>10</v>
      </c>
      <c r="F2572" s="4">
        <v>52.5</v>
      </c>
      <c r="G2572" s="4"/>
      <c r="H2572" s="4">
        <f t="shared" si="253"/>
        <v>52.5</v>
      </c>
    </row>
    <row r="2573" ht="14.25" spans="1:8">
      <c r="A2573" s="3" t="str">
        <f>"11701208606"</f>
        <v>11701208606</v>
      </c>
      <c r="B2573" s="3">
        <v>2</v>
      </c>
      <c r="C2573" s="3">
        <v>86</v>
      </c>
      <c r="D2573" s="3">
        <v>6</v>
      </c>
      <c r="E2573" s="3" t="s">
        <v>10</v>
      </c>
      <c r="F2573" s="4">
        <v>87</v>
      </c>
      <c r="G2573" s="4"/>
      <c r="H2573" s="4">
        <f t="shared" si="253"/>
        <v>87</v>
      </c>
    </row>
    <row r="2574" ht="14.25" spans="1:8">
      <c r="A2574" s="3" t="str">
        <f>"11701208607"</f>
        <v>11701208607</v>
      </c>
      <c r="B2574" s="3">
        <v>2</v>
      </c>
      <c r="C2574" s="3">
        <v>86</v>
      </c>
      <c r="D2574" s="3">
        <v>7</v>
      </c>
      <c r="E2574" s="3" t="s">
        <v>10</v>
      </c>
      <c r="F2574" s="4">
        <v>86.5</v>
      </c>
      <c r="G2574" s="4"/>
      <c r="H2574" s="4">
        <f t="shared" si="253"/>
        <v>86.5</v>
      </c>
    </row>
    <row r="2575" ht="14.25" spans="1:8">
      <c r="A2575" s="3" t="str">
        <f>"11701208608"</f>
        <v>11701208608</v>
      </c>
      <c r="B2575" s="3">
        <v>2</v>
      </c>
      <c r="C2575" s="3">
        <v>86</v>
      </c>
      <c r="D2575" s="3">
        <v>8</v>
      </c>
      <c r="E2575" s="3" t="s">
        <v>10</v>
      </c>
      <c r="F2575" s="4">
        <v>63</v>
      </c>
      <c r="G2575" s="4"/>
      <c r="H2575" s="4">
        <f t="shared" si="253"/>
        <v>63</v>
      </c>
    </row>
    <row r="2576" ht="14.25" spans="1:8">
      <c r="A2576" s="3" t="str">
        <f>"11701208609"</f>
        <v>11701208609</v>
      </c>
      <c r="B2576" s="3">
        <v>2</v>
      </c>
      <c r="C2576" s="3">
        <v>86</v>
      </c>
      <c r="D2576" s="3">
        <v>9</v>
      </c>
      <c r="E2576" s="3" t="s">
        <v>10</v>
      </c>
      <c r="F2576" s="3">
        <v>0</v>
      </c>
      <c r="G2576" s="4"/>
      <c r="H2576" s="3">
        <v>0</v>
      </c>
    </row>
    <row r="2577" ht="14.25" spans="1:8">
      <c r="A2577" s="3" t="str">
        <f>"11701208610"</f>
        <v>11701208610</v>
      </c>
      <c r="B2577" s="3">
        <v>2</v>
      </c>
      <c r="C2577" s="3">
        <v>86</v>
      </c>
      <c r="D2577" s="3">
        <v>10</v>
      </c>
      <c r="E2577" s="3" t="s">
        <v>10</v>
      </c>
      <c r="F2577" s="3">
        <v>0</v>
      </c>
      <c r="G2577" s="4"/>
      <c r="H2577" s="3">
        <v>0</v>
      </c>
    </row>
    <row r="2578" ht="14.25" spans="1:8">
      <c r="A2578" s="3" t="str">
        <f>"11701208611"</f>
        <v>11701208611</v>
      </c>
      <c r="B2578" s="3">
        <v>2</v>
      </c>
      <c r="C2578" s="3">
        <v>86</v>
      </c>
      <c r="D2578" s="3">
        <v>11</v>
      </c>
      <c r="E2578" s="3" t="s">
        <v>10</v>
      </c>
      <c r="F2578" s="4">
        <v>80.5</v>
      </c>
      <c r="G2578" s="4"/>
      <c r="H2578" s="4">
        <f t="shared" ref="H2578:H2580" si="254">F2578+G2578</f>
        <v>80.5</v>
      </c>
    </row>
    <row r="2579" ht="14.25" spans="1:8">
      <c r="A2579" s="3" t="str">
        <f>"11701208612"</f>
        <v>11701208612</v>
      </c>
      <c r="B2579" s="3">
        <v>2</v>
      </c>
      <c r="C2579" s="3">
        <v>86</v>
      </c>
      <c r="D2579" s="3">
        <v>12</v>
      </c>
      <c r="E2579" s="3" t="s">
        <v>10</v>
      </c>
      <c r="F2579" s="4">
        <v>69.5</v>
      </c>
      <c r="G2579" s="4"/>
      <c r="H2579" s="4">
        <f t="shared" si="254"/>
        <v>69.5</v>
      </c>
    </row>
    <row r="2580" ht="14.25" spans="1:8">
      <c r="A2580" s="3" t="str">
        <f>"11701208613"</f>
        <v>11701208613</v>
      </c>
      <c r="B2580" s="3">
        <v>2</v>
      </c>
      <c r="C2580" s="3">
        <v>86</v>
      </c>
      <c r="D2580" s="3">
        <v>13</v>
      </c>
      <c r="E2580" s="3" t="s">
        <v>10</v>
      </c>
      <c r="F2580" s="4">
        <v>68.5</v>
      </c>
      <c r="G2580" s="4"/>
      <c r="H2580" s="4">
        <f t="shared" si="254"/>
        <v>68.5</v>
      </c>
    </row>
    <row r="2581" ht="14.25" spans="1:8">
      <c r="A2581" s="3" t="str">
        <f>"11701208614"</f>
        <v>11701208614</v>
      </c>
      <c r="B2581" s="3">
        <v>2</v>
      </c>
      <c r="C2581" s="3">
        <v>86</v>
      </c>
      <c r="D2581" s="3">
        <v>14</v>
      </c>
      <c r="E2581" s="3" t="s">
        <v>10</v>
      </c>
      <c r="F2581" s="3">
        <v>0</v>
      </c>
      <c r="G2581" s="4"/>
      <c r="H2581" s="3">
        <v>0</v>
      </c>
    </row>
    <row r="2582" ht="14.25" spans="1:8">
      <c r="A2582" s="3" t="str">
        <f>"11701208615"</f>
        <v>11701208615</v>
      </c>
      <c r="B2582" s="3">
        <v>2</v>
      </c>
      <c r="C2582" s="3">
        <v>86</v>
      </c>
      <c r="D2582" s="3">
        <v>15</v>
      </c>
      <c r="E2582" s="3" t="s">
        <v>10</v>
      </c>
      <c r="F2582" s="4">
        <v>67.5</v>
      </c>
      <c r="G2582" s="4"/>
      <c r="H2582" s="4">
        <f t="shared" ref="H2582:H2590" si="255">F2582+G2582</f>
        <v>67.5</v>
      </c>
    </row>
    <row r="2583" ht="14.25" spans="1:8">
      <c r="A2583" s="3" t="str">
        <f>"11701208616"</f>
        <v>11701208616</v>
      </c>
      <c r="B2583" s="3">
        <v>2</v>
      </c>
      <c r="C2583" s="3">
        <v>86</v>
      </c>
      <c r="D2583" s="3">
        <v>16</v>
      </c>
      <c r="E2583" s="3" t="s">
        <v>10</v>
      </c>
      <c r="F2583" s="4">
        <v>80.5</v>
      </c>
      <c r="G2583" s="4"/>
      <c r="H2583" s="4">
        <f t="shared" si="255"/>
        <v>80.5</v>
      </c>
    </row>
    <row r="2584" ht="14.25" spans="1:8">
      <c r="A2584" s="3" t="str">
        <f>"11701208617"</f>
        <v>11701208617</v>
      </c>
      <c r="B2584" s="3">
        <v>2</v>
      </c>
      <c r="C2584" s="3">
        <v>86</v>
      </c>
      <c r="D2584" s="3">
        <v>17</v>
      </c>
      <c r="E2584" s="3" t="s">
        <v>10</v>
      </c>
      <c r="F2584" s="3">
        <v>0</v>
      </c>
      <c r="G2584" s="4"/>
      <c r="H2584" s="3">
        <v>0</v>
      </c>
    </row>
    <row r="2585" ht="14.25" spans="1:8">
      <c r="A2585" s="3" t="str">
        <f>"11701208618"</f>
        <v>11701208618</v>
      </c>
      <c r="B2585" s="3">
        <v>2</v>
      </c>
      <c r="C2585" s="3">
        <v>86</v>
      </c>
      <c r="D2585" s="3">
        <v>18</v>
      </c>
      <c r="E2585" s="3" t="s">
        <v>10</v>
      </c>
      <c r="F2585" s="4">
        <v>82.5</v>
      </c>
      <c r="G2585" s="4"/>
      <c r="H2585" s="4">
        <f t="shared" si="255"/>
        <v>82.5</v>
      </c>
    </row>
    <row r="2586" ht="14.25" spans="1:8">
      <c r="A2586" s="3" t="str">
        <f>"11701208619"</f>
        <v>11701208619</v>
      </c>
      <c r="B2586" s="3">
        <v>2</v>
      </c>
      <c r="C2586" s="3">
        <v>86</v>
      </c>
      <c r="D2586" s="3">
        <v>19</v>
      </c>
      <c r="E2586" s="3" t="s">
        <v>10</v>
      </c>
      <c r="F2586" s="4">
        <v>59</v>
      </c>
      <c r="G2586" s="4"/>
      <c r="H2586" s="4">
        <f t="shared" si="255"/>
        <v>59</v>
      </c>
    </row>
    <row r="2587" ht="14.25" spans="1:8">
      <c r="A2587" s="3" t="str">
        <f>"11701208620"</f>
        <v>11701208620</v>
      </c>
      <c r="B2587" s="3">
        <v>2</v>
      </c>
      <c r="C2587" s="3">
        <v>86</v>
      </c>
      <c r="D2587" s="3">
        <v>20</v>
      </c>
      <c r="E2587" s="3" t="s">
        <v>10</v>
      </c>
      <c r="F2587" s="4">
        <v>75</v>
      </c>
      <c r="G2587" s="4"/>
      <c r="H2587" s="4">
        <f t="shared" si="255"/>
        <v>75</v>
      </c>
    </row>
    <row r="2588" ht="14.25" spans="1:8">
      <c r="A2588" s="3" t="str">
        <f>"11701208621"</f>
        <v>11701208621</v>
      </c>
      <c r="B2588" s="3">
        <v>2</v>
      </c>
      <c r="C2588" s="3">
        <v>86</v>
      </c>
      <c r="D2588" s="3">
        <v>21</v>
      </c>
      <c r="E2588" s="3" t="s">
        <v>10</v>
      </c>
      <c r="F2588" s="4">
        <v>84.5</v>
      </c>
      <c r="G2588" s="4"/>
      <c r="H2588" s="4">
        <f t="shared" si="255"/>
        <v>84.5</v>
      </c>
    </row>
    <row r="2589" ht="14.25" spans="1:8">
      <c r="A2589" s="3" t="str">
        <f>"11701208622"</f>
        <v>11701208622</v>
      </c>
      <c r="B2589" s="3">
        <v>2</v>
      </c>
      <c r="C2589" s="3">
        <v>86</v>
      </c>
      <c r="D2589" s="3">
        <v>22</v>
      </c>
      <c r="E2589" s="3" t="s">
        <v>10</v>
      </c>
      <c r="F2589" s="4">
        <v>76</v>
      </c>
      <c r="G2589" s="4"/>
      <c r="H2589" s="4">
        <f t="shared" si="255"/>
        <v>76</v>
      </c>
    </row>
    <row r="2590" ht="14.25" spans="1:8">
      <c r="A2590" s="3" t="str">
        <f>"11701208623"</f>
        <v>11701208623</v>
      </c>
      <c r="B2590" s="3">
        <v>2</v>
      </c>
      <c r="C2590" s="3">
        <v>86</v>
      </c>
      <c r="D2590" s="3">
        <v>23</v>
      </c>
      <c r="E2590" s="3" t="s">
        <v>10</v>
      </c>
      <c r="F2590" s="4">
        <v>76.5</v>
      </c>
      <c r="G2590" s="4"/>
      <c r="H2590" s="4">
        <f t="shared" si="255"/>
        <v>76.5</v>
      </c>
    </row>
    <row r="2591" ht="14.25" spans="1:8">
      <c r="A2591" s="3" t="str">
        <f>"11701208624"</f>
        <v>11701208624</v>
      </c>
      <c r="B2591" s="3">
        <v>2</v>
      </c>
      <c r="C2591" s="3">
        <v>86</v>
      </c>
      <c r="D2591" s="3">
        <v>24</v>
      </c>
      <c r="E2591" s="3" t="s">
        <v>10</v>
      </c>
      <c r="F2591" s="3">
        <v>0</v>
      </c>
      <c r="G2591" s="4"/>
      <c r="H2591" s="3">
        <v>0</v>
      </c>
    </row>
    <row r="2592" ht="14.25" spans="1:8">
      <c r="A2592" s="3" t="str">
        <f>"11701208625"</f>
        <v>11701208625</v>
      </c>
      <c r="B2592" s="3">
        <v>2</v>
      </c>
      <c r="C2592" s="3">
        <v>86</v>
      </c>
      <c r="D2592" s="3">
        <v>25</v>
      </c>
      <c r="E2592" s="3" t="s">
        <v>10</v>
      </c>
      <c r="F2592" s="4">
        <v>69.5</v>
      </c>
      <c r="G2592" s="4"/>
      <c r="H2592" s="4">
        <f t="shared" ref="H2592:H2601" si="256">F2592+G2592</f>
        <v>69.5</v>
      </c>
    </row>
    <row r="2593" ht="14.25" spans="1:8">
      <c r="A2593" s="3" t="str">
        <f>"11701208626"</f>
        <v>11701208626</v>
      </c>
      <c r="B2593" s="3">
        <v>2</v>
      </c>
      <c r="C2593" s="3">
        <v>86</v>
      </c>
      <c r="D2593" s="3">
        <v>26</v>
      </c>
      <c r="E2593" s="3" t="s">
        <v>10</v>
      </c>
      <c r="F2593" s="4">
        <v>79.5</v>
      </c>
      <c r="G2593" s="4"/>
      <c r="H2593" s="4">
        <f t="shared" si="256"/>
        <v>79.5</v>
      </c>
    </row>
    <row r="2594" ht="14.25" spans="1:8">
      <c r="A2594" s="3" t="str">
        <f>"11701208627"</f>
        <v>11701208627</v>
      </c>
      <c r="B2594" s="3">
        <v>2</v>
      </c>
      <c r="C2594" s="3">
        <v>86</v>
      </c>
      <c r="D2594" s="3">
        <v>27</v>
      </c>
      <c r="E2594" s="3" t="s">
        <v>10</v>
      </c>
      <c r="F2594" s="3">
        <v>0</v>
      </c>
      <c r="G2594" s="4"/>
      <c r="H2594" s="3">
        <v>0</v>
      </c>
    </row>
    <row r="2595" ht="14.25" spans="1:8">
      <c r="A2595" s="3" t="str">
        <f>"11701208628"</f>
        <v>11701208628</v>
      </c>
      <c r="B2595" s="3">
        <v>2</v>
      </c>
      <c r="C2595" s="3">
        <v>86</v>
      </c>
      <c r="D2595" s="3">
        <v>28</v>
      </c>
      <c r="E2595" s="3" t="s">
        <v>10</v>
      </c>
      <c r="F2595" s="4">
        <v>77</v>
      </c>
      <c r="G2595" s="4"/>
      <c r="H2595" s="4">
        <f t="shared" si="256"/>
        <v>77</v>
      </c>
    </row>
    <row r="2596" ht="14.25" spans="1:8">
      <c r="A2596" s="3" t="str">
        <f>"11701208629"</f>
        <v>11701208629</v>
      </c>
      <c r="B2596" s="3">
        <v>2</v>
      </c>
      <c r="C2596" s="3">
        <v>86</v>
      </c>
      <c r="D2596" s="3">
        <v>29</v>
      </c>
      <c r="E2596" s="3" t="s">
        <v>10</v>
      </c>
      <c r="F2596" s="4">
        <v>62.5</v>
      </c>
      <c r="G2596" s="4"/>
      <c r="H2596" s="4">
        <f t="shared" si="256"/>
        <v>62.5</v>
      </c>
    </row>
    <row r="2597" ht="14.25" spans="1:8">
      <c r="A2597" s="3" t="str">
        <f>"11701208630"</f>
        <v>11701208630</v>
      </c>
      <c r="B2597" s="3">
        <v>2</v>
      </c>
      <c r="C2597" s="3">
        <v>86</v>
      </c>
      <c r="D2597" s="3">
        <v>30</v>
      </c>
      <c r="E2597" s="3" t="s">
        <v>10</v>
      </c>
      <c r="F2597" s="4">
        <v>85.5</v>
      </c>
      <c r="G2597" s="4"/>
      <c r="H2597" s="4">
        <f t="shared" si="256"/>
        <v>85.5</v>
      </c>
    </row>
    <row r="2598" ht="14.25" spans="1:8">
      <c r="A2598" s="3" t="str">
        <f>"11701208701"</f>
        <v>11701208701</v>
      </c>
      <c r="B2598" s="3">
        <v>2</v>
      </c>
      <c r="C2598" s="3">
        <v>87</v>
      </c>
      <c r="D2598" s="3">
        <v>1</v>
      </c>
      <c r="E2598" s="3" t="s">
        <v>10</v>
      </c>
      <c r="F2598" s="4">
        <v>85.5</v>
      </c>
      <c r="G2598" s="4"/>
      <c r="H2598" s="4">
        <f t="shared" si="256"/>
        <v>85.5</v>
      </c>
    </row>
    <row r="2599" ht="14.25" spans="1:8">
      <c r="A2599" s="3" t="str">
        <f>"11701208702"</f>
        <v>11701208702</v>
      </c>
      <c r="B2599" s="3">
        <v>2</v>
      </c>
      <c r="C2599" s="3">
        <v>87</v>
      </c>
      <c r="D2599" s="3">
        <v>2</v>
      </c>
      <c r="E2599" s="3" t="s">
        <v>10</v>
      </c>
      <c r="F2599" s="4">
        <v>81</v>
      </c>
      <c r="G2599" s="4"/>
      <c r="H2599" s="4">
        <f t="shared" si="256"/>
        <v>81</v>
      </c>
    </row>
    <row r="2600" ht="14.25" spans="1:8">
      <c r="A2600" s="3" t="str">
        <f>"11701208703"</f>
        <v>11701208703</v>
      </c>
      <c r="B2600" s="3">
        <v>2</v>
      </c>
      <c r="C2600" s="3">
        <v>87</v>
      </c>
      <c r="D2600" s="3">
        <v>3</v>
      </c>
      <c r="E2600" s="3" t="s">
        <v>10</v>
      </c>
      <c r="F2600" s="4">
        <v>80.5</v>
      </c>
      <c r="G2600" s="4"/>
      <c r="H2600" s="4">
        <f t="shared" si="256"/>
        <v>80.5</v>
      </c>
    </row>
    <row r="2601" ht="14.25" spans="1:8">
      <c r="A2601" s="3" t="str">
        <f>"11701208704"</f>
        <v>11701208704</v>
      </c>
      <c r="B2601" s="3">
        <v>2</v>
      </c>
      <c r="C2601" s="3">
        <v>87</v>
      </c>
      <c r="D2601" s="3">
        <v>4</v>
      </c>
      <c r="E2601" s="3" t="s">
        <v>10</v>
      </c>
      <c r="F2601" s="4">
        <v>63</v>
      </c>
      <c r="G2601" s="4"/>
      <c r="H2601" s="4">
        <f t="shared" si="256"/>
        <v>63</v>
      </c>
    </row>
    <row r="2602" ht="14.25" spans="1:8">
      <c r="A2602" s="3" t="str">
        <f>"11701208705"</f>
        <v>11701208705</v>
      </c>
      <c r="B2602" s="3">
        <v>2</v>
      </c>
      <c r="C2602" s="3">
        <v>87</v>
      </c>
      <c r="D2602" s="3">
        <v>5</v>
      </c>
      <c r="E2602" s="3" t="s">
        <v>10</v>
      </c>
      <c r="F2602" s="3">
        <v>0</v>
      </c>
      <c r="G2602" s="4"/>
      <c r="H2602" s="3">
        <v>0</v>
      </c>
    </row>
    <row r="2603" ht="14.25" spans="1:8">
      <c r="A2603" s="3" t="str">
        <f>"11701208706"</f>
        <v>11701208706</v>
      </c>
      <c r="B2603" s="3">
        <v>2</v>
      </c>
      <c r="C2603" s="3">
        <v>87</v>
      </c>
      <c r="D2603" s="3">
        <v>6</v>
      </c>
      <c r="E2603" s="3" t="s">
        <v>10</v>
      </c>
      <c r="F2603" s="4">
        <v>62.5</v>
      </c>
      <c r="G2603" s="4"/>
      <c r="H2603" s="4">
        <f t="shared" ref="H2603:H2605" si="257">F2603+G2603</f>
        <v>62.5</v>
      </c>
    </row>
    <row r="2604" ht="14.25" spans="1:8">
      <c r="A2604" s="3" t="str">
        <f>"11701208707"</f>
        <v>11701208707</v>
      </c>
      <c r="B2604" s="3">
        <v>2</v>
      </c>
      <c r="C2604" s="3">
        <v>87</v>
      </c>
      <c r="D2604" s="3">
        <v>7</v>
      </c>
      <c r="E2604" s="3" t="s">
        <v>10</v>
      </c>
      <c r="F2604" s="4">
        <v>63</v>
      </c>
      <c r="G2604" s="4"/>
      <c r="H2604" s="4">
        <f t="shared" si="257"/>
        <v>63</v>
      </c>
    </row>
    <row r="2605" ht="14.25" spans="1:8">
      <c r="A2605" s="3" t="str">
        <f>"11701208708"</f>
        <v>11701208708</v>
      </c>
      <c r="B2605" s="3">
        <v>2</v>
      </c>
      <c r="C2605" s="3">
        <v>87</v>
      </c>
      <c r="D2605" s="3">
        <v>8</v>
      </c>
      <c r="E2605" s="3" t="s">
        <v>10</v>
      </c>
      <c r="F2605" s="4">
        <v>86.5</v>
      </c>
      <c r="G2605" s="4"/>
      <c r="H2605" s="4">
        <f t="shared" si="257"/>
        <v>86.5</v>
      </c>
    </row>
    <row r="2606" ht="14.25" spans="1:8">
      <c r="A2606" s="3" t="str">
        <f>"11701208709"</f>
        <v>11701208709</v>
      </c>
      <c r="B2606" s="3">
        <v>2</v>
      </c>
      <c r="C2606" s="3">
        <v>87</v>
      </c>
      <c r="D2606" s="3">
        <v>9</v>
      </c>
      <c r="E2606" s="3" t="s">
        <v>10</v>
      </c>
      <c r="F2606" s="3">
        <v>0</v>
      </c>
      <c r="G2606" s="4"/>
      <c r="H2606" s="3">
        <v>0</v>
      </c>
    </row>
    <row r="2607" ht="14.25" spans="1:8">
      <c r="A2607" s="3" t="str">
        <f>"11701208710"</f>
        <v>11701208710</v>
      </c>
      <c r="B2607" s="3">
        <v>2</v>
      </c>
      <c r="C2607" s="3">
        <v>87</v>
      </c>
      <c r="D2607" s="3">
        <v>10</v>
      </c>
      <c r="E2607" s="3" t="s">
        <v>10</v>
      </c>
      <c r="F2607" s="4">
        <v>79.5</v>
      </c>
      <c r="G2607" s="4"/>
      <c r="H2607" s="4">
        <f t="shared" ref="H2607:H2614" si="258">F2607+G2607</f>
        <v>79.5</v>
      </c>
    </row>
    <row r="2608" ht="14.25" spans="1:8">
      <c r="A2608" s="3" t="str">
        <f>"11701208711"</f>
        <v>11701208711</v>
      </c>
      <c r="B2608" s="3">
        <v>2</v>
      </c>
      <c r="C2608" s="3">
        <v>87</v>
      </c>
      <c r="D2608" s="3">
        <v>11</v>
      </c>
      <c r="E2608" s="3" t="s">
        <v>10</v>
      </c>
      <c r="F2608" s="4">
        <v>66</v>
      </c>
      <c r="G2608" s="4"/>
      <c r="H2608" s="4">
        <f t="shared" si="258"/>
        <v>66</v>
      </c>
    </row>
    <row r="2609" ht="14.25" spans="1:8">
      <c r="A2609" s="3" t="str">
        <f>"11701208712"</f>
        <v>11701208712</v>
      </c>
      <c r="B2609" s="3">
        <v>2</v>
      </c>
      <c r="C2609" s="3">
        <v>87</v>
      </c>
      <c r="D2609" s="3">
        <v>12</v>
      </c>
      <c r="E2609" s="3" t="s">
        <v>10</v>
      </c>
      <c r="F2609" s="4">
        <v>85.5</v>
      </c>
      <c r="G2609" s="4"/>
      <c r="H2609" s="4">
        <f t="shared" si="258"/>
        <v>85.5</v>
      </c>
    </row>
    <row r="2610" ht="14.25" spans="1:8">
      <c r="A2610" s="3" t="str">
        <f>"11701208713"</f>
        <v>11701208713</v>
      </c>
      <c r="B2610" s="3">
        <v>2</v>
      </c>
      <c r="C2610" s="3">
        <v>87</v>
      </c>
      <c r="D2610" s="3">
        <v>13</v>
      </c>
      <c r="E2610" s="3" t="s">
        <v>10</v>
      </c>
      <c r="F2610" s="4">
        <v>87.5</v>
      </c>
      <c r="G2610" s="4"/>
      <c r="H2610" s="4">
        <f t="shared" si="258"/>
        <v>87.5</v>
      </c>
    </row>
    <row r="2611" ht="14.25" spans="1:8">
      <c r="A2611" s="3" t="str">
        <f>"11701208714"</f>
        <v>11701208714</v>
      </c>
      <c r="B2611" s="3">
        <v>2</v>
      </c>
      <c r="C2611" s="3">
        <v>87</v>
      </c>
      <c r="D2611" s="3">
        <v>14</v>
      </c>
      <c r="E2611" s="3" t="s">
        <v>10</v>
      </c>
      <c r="F2611" s="4">
        <v>64</v>
      </c>
      <c r="G2611" s="4"/>
      <c r="H2611" s="4">
        <f t="shared" si="258"/>
        <v>64</v>
      </c>
    </row>
    <row r="2612" ht="14.25" spans="1:8">
      <c r="A2612" s="3" t="str">
        <f>"11701208715"</f>
        <v>11701208715</v>
      </c>
      <c r="B2612" s="3">
        <v>2</v>
      </c>
      <c r="C2612" s="3">
        <v>87</v>
      </c>
      <c r="D2612" s="3">
        <v>15</v>
      </c>
      <c r="E2612" s="3" t="s">
        <v>10</v>
      </c>
      <c r="F2612" s="4">
        <v>81.5</v>
      </c>
      <c r="G2612" s="4"/>
      <c r="H2612" s="4">
        <f t="shared" si="258"/>
        <v>81.5</v>
      </c>
    </row>
    <row r="2613" ht="14.25" spans="1:8">
      <c r="A2613" s="3" t="str">
        <f>"11701208716"</f>
        <v>11701208716</v>
      </c>
      <c r="B2613" s="3">
        <v>2</v>
      </c>
      <c r="C2613" s="3">
        <v>87</v>
      </c>
      <c r="D2613" s="3">
        <v>16</v>
      </c>
      <c r="E2613" s="3" t="s">
        <v>10</v>
      </c>
      <c r="F2613" s="4">
        <v>79.5</v>
      </c>
      <c r="G2613" s="4"/>
      <c r="H2613" s="4">
        <f t="shared" si="258"/>
        <v>79.5</v>
      </c>
    </row>
    <row r="2614" ht="14.25" spans="1:8">
      <c r="A2614" s="3" t="str">
        <f>"11701208717"</f>
        <v>11701208717</v>
      </c>
      <c r="B2614" s="3">
        <v>2</v>
      </c>
      <c r="C2614" s="3">
        <v>87</v>
      </c>
      <c r="D2614" s="3">
        <v>17</v>
      </c>
      <c r="E2614" s="3" t="s">
        <v>10</v>
      </c>
      <c r="F2614" s="4">
        <v>65</v>
      </c>
      <c r="G2614" s="4"/>
      <c r="H2614" s="4">
        <f t="shared" si="258"/>
        <v>65</v>
      </c>
    </row>
    <row r="2615" ht="14.25" spans="1:8">
      <c r="A2615" s="3" t="str">
        <f>"11701208718"</f>
        <v>11701208718</v>
      </c>
      <c r="B2615" s="3">
        <v>2</v>
      </c>
      <c r="C2615" s="3">
        <v>87</v>
      </c>
      <c r="D2615" s="3">
        <v>18</v>
      </c>
      <c r="E2615" s="3" t="s">
        <v>10</v>
      </c>
      <c r="F2615" s="3">
        <v>0</v>
      </c>
      <c r="G2615" s="4"/>
      <c r="H2615" s="3">
        <v>0</v>
      </c>
    </row>
    <row r="2616" ht="14.25" spans="1:8">
      <c r="A2616" s="3" t="str">
        <f>"11701208719"</f>
        <v>11701208719</v>
      </c>
      <c r="B2616" s="3">
        <v>2</v>
      </c>
      <c r="C2616" s="3">
        <v>87</v>
      </c>
      <c r="D2616" s="3">
        <v>19</v>
      </c>
      <c r="E2616" s="3" t="s">
        <v>10</v>
      </c>
      <c r="F2616" s="4">
        <v>69.5</v>
      </c>
      <c r="G2616" s="4"/>
      <c r="H2616" s="4">
        <f t="shared" ref="H2616:H2626" si="259">F2616+G2616</f>
        <v>69.5</v>
      </c>
    </row>
    <row r="2617" ht="14.25" spans="1:8">
      <c r="A2617" s="3" t="str">
        <f>"11701208720"</f>
        <v>11701208720</v>
      </c>
      <c r="B2617" s="3">
        <v>2</v>
      </c>
      <c r="C2617" s="3">
        <v>87</v>
      </c>
      <c r="D2617" s="3">
        <v>20</v>
      </c>
      <c r="E2617" s="3" t="s">
        <v>10</v>
      </c>
      <c r="F2617" s="4">
        <v>58</v>
      </c>
      <c r="G2617" s="4"/>
      <c r="H2617" s="4">
        <f t="shared" si="259"/>
        <v>58</v>
      </c>
    </row>
    <row r="2618" ht="14.25" spans="1:8">
      <c r="A2618" s="3" t="str">
        <f>"11701208721"</f>
        <v>11701208721</v>
      </c>
      <c r="B2618" s="3">
        <v>2</v>
      </c>
      <c r="C2618" s="3">
        <v>87</v>
      </c>
      <c r="D2618" s="3">
        <v>21</v>
      </c>
      <c r="E2618" s="3" t="s">
        <v>10</v>
      </c>
      <c r="F2618" s="4">
        <v>86</v>
      </c>
      <c r="G2618" s="4"/>
      <c r="H2618" s="4">
        <f t="shared" si="259"/>
        <v>86</v>
      </c>
    </row>
    <row r="2619" ht="14.25" spans="1:8">
      <c r="A2619" s="3" t="str">
        <f>"11701208722"</f>
        <v>11701208722</v>
      </c>
      <c r="B2619" s="3">
        <v>2</v>
      </c>
      <c r="C2619" s="3">
        <v>87</v>
      </c>
      <c r="D2619" s="3">
        <v>22</v>
      </c>
      <c r="E2619" s="3" t="s">
        <v>10</v>
      </c>
      <c r="F2619" s="4">
        <v>88</v>
      </c>
      <c r="G2619" s="4"/>
      <c r="H2619" s="4">
        <f t="shared" si="259"/>
        <v>88</v>
      </c>
    </row>
    <row r="2620" ht="14.25" spans="1:8">
      <c r="A2620" s="3" t="str">
        <f>"11701208723"</f>
        <v>11701208723</v>
      </c>
      <c r="B2620" s="3">
        <v>2</v>
      </c>
      <c r="C2620" s="3">
        <v>87</v>
      </c>
      <c r="D2620" s="3">
        <v>23</v>
      </c>
      <c r="E2620" s="3" t="s">
        <v>10</v>
      </c>
      <c r="F2620" s="4">
        <v>69.5</v>
      </c>
      <c r="G2620" s="4"/>
      <c r="H2620" s="4">
        <f t="shared" si="259"/>
        <v>69.5</v>
      </c>
    </row>
    <row r="2621" ht="14.25" spans="1:8">
      <c r="A2621" s="3" t="str">
        <f>"11701208724"</f>
        <v>11701208724</v>
      </c>
      <c r="B2621" s="3">
        <v>2</v>
      </c>
      <c r="C2621" s="3">
        <v>87</v>
      </c>
      <c r="D2621" s="3">
        <v>24</v>
      </c>
      <c r="E2621" s="3" t="s">
        <v>10</v>
      </c>
      <c r="F2621" s="4">
        <v>57</v>
      </c>
      <c r="G2621" s="4"/>
      <c r="H2621" s="4">
        <f t="shared" si="259"/>
        <v>57</v>
      </c>
    </row>
    <row r="2622" ht="14.25" spans="1:8">
      <c r="A2622" s="3" t="str">
        <f>"11701208725"</f>
        <v>11701208725</v>
      </c>
      <c r="B2622" s="3">
        <v>2</v>
      </c>
      <c r="C2622" s="3">
        <v>87</v>
      </c>
      <c r="D2622" s="3">
        <v>25</v>
      </c>
      <c r="E2622" s="3" t="s">
        <v>10</v>
      </c>
      <c r="F2622" s="4">
        <v>79.5</v>
      </c>
      <c r="G2622" s="4"/>
      <c r="H2622" s="4">
        <f t="shared" si="259"/>
        <v>79.5</v>
      </c>
    </row>
    <row r="2623" ht="14.25" spans="1:8">
      <c r="A2623" s="3" t="str">
        <f>"11701208726"</f>
        <v>11701208726</v>
      </c>
      <c r="B2623" s="3">
        <v>2</v>
      </c>
      <c r="C2623" s="3">
        <v>87</v>
      </c>
      <c r="D2623" s="3">
        <v>26</v>
      </c>
      <c r="E2623" s="3" t="s">
        <v>10</v>
      </c>
      <c r="F2623" s="4">
        <v>48.5</v>
      </c>
      <c r="G2623" s="4"/>
      <c r="H2623" s="4">
        <f t="shared" si="259"/>
        <v>48.5</v>
      </c>
    </row>
    <row r="2624" ht="14.25" spans="1:8">
      <c r="A2624" s="3" t="str">
        <f>"11701208727"</f>
        <v>11701208727</v>
      </c>
      <c r="B2624" s="3">
        <v>2</v>
      </c>
      <c r="C2624" s="3">
        <v>87</v>
      </c>
      <c r="D2624" s="3">
        <v>27</v>
      </c>
      <c r="E2624" s="3" t="s">
        <v>10</v>
      </c>
      <c r="F2624" s="4">
        <v>82</v>
      </c>
      <c r="G2624" s="4"/>
      <c r="H2624" s="4">
        <f t="shared" si="259"/>
        <v>82</v>
      </c>
    </row>
    <row r="2625" ht="14.25" spans="1:8">
      <c r="A2625" s="3" t="str">
        <f>"11701208728"</f>
        <v>11701208728</v>
      </c>
      <c r="B2625" s="3">
        <v>2</v>
      </c>
      <c r="C2625" s="3">
        <v>87</v>
      </c>
      <c r="D2625" s="3">
        <v>28</v>
      </c>
      <c r="E2625" s="3" t="s">
        <v>10</v>
      </c>
      <c r="F2625" s="4">
        <v>81</v>
      </c>
      <c r="G2625" s="4"/>
      <c r="H2625" s="4">
        <f t="shared" si="259"/>
        <v>81</v>
      </c>
    </row>
    <row r="2626" ht="14.25" spans="1:8">
      <c r="A2626" s="3" t="str">
        <f>"11701208729"</f>
        <v>11701208729</v>
      </c>
      <c r="B2626" s="3">
        <v>2</v>
      </c>
      <c r="C2626" s="3">
        <v>87</v>
      </c>
      <c r="D2626" s="3">
        <v>29</v>
      </c>
      <c r="E2626" s="3" t="s">
        <v>10</v>
      </c>
      <c r="F2626" s="4">
        <v>69</v>
      </c>
      <c r="G2626" s="4"/>
      <c r="H2626" s="4">
        <f t="shared" si="259"/>
        <v>69</v>
      </c>
    </row>
    <row r="2627" ht="14.25" spans="1:8">
      <c r="A2627" s="3" t="str">
        <f>"11701208730"</f>
        <v>11701208730</v>
      </c>
      <c r="B2627" s="3">
        <v>2</v>
      </c>
      <c r="C2627" s="3">
        <v>87</v>
      </c>
      <c r="D2627" s="3">
        <v>30</v>
      </c>
      <c r="E2627" s="3" t="s">
        <v>10</v>
      </c>
      <c r="F2627" s="3">
        <v>0</v>
      </c>
      <c r="G2627" s="4"/>
      <c r="H2627" s="3">
        <v>0</v>
      </c>
    </row>
    <row r="2628" ht="14.25" spans="1:8">
      <c r="A2628" s="3" t="str">
        <f>"11701208801"</f>
        <v>11701208801</v>
      </c>
      <c r="B2628" s="3">
        <v>2</v>
      </c>
      <c r="C2628" s="3">
        <v>88</v>
      </c>
      <c r="D2628" s="3">
        <v>1</v>
      </c>
      <c r="E2628" s="3" t="s">
        <v>10</v>
      </c>
      <c r="F2628" s="4">
        <v>88.5</v>
      </c>
      <c r="G2628" s="4"/>
      <c r="H2628" s="4">
        <f t="shared" ref="H2628:H2640" si="260">F2628+G2628</f>
        <v>88.5</v>
      </c>
    </row>
    <row r="2629" ht="14.25" spans="1:8">
      <c r="A2629" s="3" t="str">
        <f>"11701208802"</f>
        <v>11701208802</v>
      </c>
      <c r="B2629" s="3">
        <v>2</v>
      </c>
      <c r="C2629" s="3">
        <v>88</v>
      </c>
      <c r="D2629" s="3">
        <v>2</v>
      </c>
      <c r="E2629" s="3" t="s">
        <v>10</v>
      </c>
      <c r="F2629" s="4">
        <v>73</v>
      </c>
      <c r="G2629" s="4"/>
      <c r="H2629" s="4">
        <f t="shared" si="260"/>
        <v>73</v>
      </c>
    </row>
    <row r="2630" ht="14.25" spans="1:8">
      <c r="A2630" s="3" t="str">
        <f>"11701208803"</f>
        <v>11701208803</v>
      </c>
      <c r="B2630" s="3">
        <v>2</v>
      </c>
      <c r="C2630" s="3">
        <v>88</v>
      </c>
      <c r="D2630" s="3">
        <v>3</v>
      </c>
      <c r="E2630" s="3" t="s">
        <v>10</v>
      </c>
      <c r="F2630" s="4">
        <v>77</v>
      </c>
      <c r="G2630" s="4"/>
      <c r="H2630" s="4">
        <f t="shared" si="260"/>
        <v>77</v>
      </c>
    </row>
    <row r="2631" ht="14.25" spans="1:8">
      <c r="A2631" s="3" t="str">
        <f>"11701208804"</f>
        <v>11701208804</v>
      </c>
      <c r="B2631" s="3">
        <v>2</v>
      </c>
      <c r="C2631" s="3">
        <v>88</v>
      </c>
      <c r="D2631" s="3">
        <v>4</v>
      </c>
      <c r="E2631" s="3" t="s">
        <v>10</v>
      </c>
      <c r="F2631" s="4">
        <v>70</v>
      </c>
      <c r="G2631" s="4"/>
      <c r="H2631" s="4">
        <f t="shared" si="260"/>
        <v>70</v>
      </c>
    </row>
    <row r="2632" ht="14.25" spans="1:8">
      <c r="A2632" s="3" t="str">
        <f>"11701208805"</f>
        <v>11701208805</v>
      </c>
      <c r="B2632" s="3">
        <v>2</v>
      </c>
      <c r="C2632" s="3">
        <v>88</v>
      </c>
      <c r="D2632" s="3">
        <v>5</v>
      </c>
      <c r="E2632" s="3" t="s">
        <v>10</v>
      </c>
      <c r="F2632" s="4">
        <v>84</v>
      </c>
      <c r="G2632" s="4"/>
      <c r="H2632" s="4">
        <f t="shared" si="260"/>
        <v>84</v>
      </c>
    </row>
    <row r="2633" ht="14.25" spans="1:8">
      <c r="A2633" s="3" t="str">
        <f>"11701208806"</f>
        <v>11701208806</v>
      </c>
      <c r="B2633" s="3">
        <v>2</v>
      </c>
      <c r="C2633" s="3">
        <v>88</v>
      </c>
      <c r="D2633" s="3">
        <v>6</v>
      </c>
      <c r="E2633" s="3" t="s">
        <v>10</v>
      </c>
      <c r="F2633" s="4">
        <v>86.5</v>
      </c>
      <c r="G2633" s="4"/>
      <c r="H2633" s="4">
        <f t="shared" si="260"/>
        <v>86.5</v>
      </c>
    </row>
    <row r="2634" ht="14.25" spans="1:8">
      <c r="A2634" s="3" t="str">
        <f>"11701208807"</f>
        <v>11701208807</v>
      </c>
      <c r="B2634" s="3">
        <v>2</v>
      </c>
      <c r="C2634" s="3">
        <v>88</v>
      </c>
      <c r="D2634" s="3">
        <v>7</v>
      </c>
      <c r="E2634" s="3" t="s">
        <v>10</v>
      </c>
      <c r="F2634" s="4">
        <v>80.5</v>
      </c>
      <c r="G2634" s="4"/>
      <c r="H2634" s="4">
        <f t="shared" si="260"/>
        <v>80.5</v>
      </c>
    </row>
    <row r="2635" ht="14.25" spans="1:8">
      <c r="A2635" s="3" t="str">
        <f>"11702208808"</f>
        <v>11702208808</v>
      </c>
      <c r="B2635" s="3">
        <v>2</v>
      </c>
      <c r="C2635" s="3">
        <v>88</v>
      </c>
      <c r="D2635" s="3">
        <v>8</v>
      </c>
      <c r="E2635" s="3" t="s">
        <v>10</v>
      </c>
      <c r="F2635" s="4">
        <v>58.5</v>
      </c>
      <c r="G2635" s="4"/>
      <c r="H2635" s="4">
        <f t="shared" si="260"/>
        <v>58.5</v>
      </c>
    </row>
    <row r="2636" ht="14.25" spans="1:8">
      <c r="A2636" s="3" t="str">
        <f>"11702208809"</f>
        <v>11702208809</v>
      </c>
      <c r="B2636" s="3">
        <v>2</v>
      </c>
      <c r="C2636" s="3">
        <v>88</v>
      </c>
      <c r="D2636" s="3">
        <v>9</v>
      </c>
      <c r="E2636" s="3" t="s">
        <v>10</v>
      </c>
      <c r="F2636" s="4">
        <v>72</v>
      </c>
      <c r="G2636" s="4"/>
      <c r="H2636" s="4">
        <f t="shared" si="260"/>
        <v>72</v>
      </c>
    </row>
    <row r="2637" ht="14.25" spans="1:8">
      <c r="A2637" s="3" t="str">
        <f>"11702208810"</f>
        <v>11702208810</v>
      </c>
      <c r="B2637" s="3">
        <v>2</v>
      </c>
      <c r="C2637" s="3">
        <v>88</v>
      </c>
      <c r="D2637" s="3">
        <v>10</v>
      </c>
      <c r="E2637" s="3" t="s">
        <v>10</v>
      </c>
      <c r="F2637" s="4">
        <v>80</v>
      </c>
      <c r="G2637" s="4"/>
      <c r="H2637" s="4">
        <f t="shared" si="260"/>
        <v>80</v>
      </c>
    </row>
    <row r="2638" ht="14.25" spans="1:8">
      <c r="A2638" s="3" t="str">
        <f>"11702208811"</f>
        <v>11702208811</v>
      </c>
      <c r="B2638" s="3">
        <v>2</v>
      </c>
      <c r="C2638" s="3">
        <v>88</v>
      </c>
      <c r="D2638" s="3">
        <v>11</v>
      </c>
      <c r="E2638" s="3" t="s">
        <v>10</v>
      </c>
      <c r="F2638" s="4">
        <v>80.5</v>
      </c>
      <c r="G2638" s="4"/>
      <c r="H2638" s="4">
        <f t="shared" si="260"/>
        <v>80.5</v>
      </c>
    </row>
    <row r="2639" ht="14.25" spans="1:8">
      <c r="A2639" s="3" t="str">
        <f>"11702208812"</f>
        <v>11702208812</v>
      </c>
      <c r="B2639" s="3">
        <v>2</v>
      </c>
      <c r="C2639" s="3">
        <v>88</v>
      </c>
      <c r="D2639" s="3">
        <v>12</v>
      </c>
      <c r="E2639" s="3" t="s">
        <v>10</v>
      </c>
      <c r="F2639" s="4">
        <v>60</v>
      </c>
      <c r="G2639" s="4"/>
      <c r="H2639" s="4">
        <f t="shared" si="260"/>
        <v>60</v>
      </c>
    </row>
    <row r="2640" ht="14.25" spans="1:8">
      <c r="A2640" s="3" t="str">
        <f>"11702208813"</f>
        <v>11702208813</v>
      </c>
      <c r="B2640" s="3">
        <v>2</v>
      </c>
      <c r="C2640" s="3">
        <v>88</v>
      </c>
      <c r="D2640" s="3">
        <v>13</v>
      </c>
      <c r="E2640" s="3" t="s">
        <v>10</v>
      </c>
      <c r="F2640" s="4">
        <v>74.5</v>
      </c>
      <c r="G2640" s="4"/>
      <c r="H2640" s="4">
        <f t="shared" si="260"/>
        <v>74.5</v>
      </c>
    </row>
    <row r="2641" ht="14.25" spans="1:8">
      <c r="A2641" s="3" t="str">
        <f>"11702208814"</f>
        <v>11702208814</v>
      </c>
      <c r="B2641" s="3">
        <v>2</v>
      </c>
      <c r="C2641" s="3">
        <v>88</v>
      </c>
      <c r="D2641" s="3">
        <v>14</v>
      </c>
      <c r="E2641" s="3" t="s">
        <v>10</v>
      </c>
      <c r="F2641" s="3">
        <v>0</v>
      </c>
      <c r="G2641" s="4"/>
      <c r="H2641" s="3">
        <v>0</v>
      </c>
    </row>
    <row r="2642" ht="14.25" spans="1:8">
      <c r="A2642" s="3" t="str">
        <f>"11702208815"</f>
        <v>11702208815</v>
      </c>
      <c r="B2642" s="3">
        <v>2</v>
      </c>
      <c r="C2642" s="3">
        <v>88</v>
      </c>
      <c r="D2642" s="3">
        <v>15</v>
      </c>
      <c r="E2642" s="3" t="s">
        <v>10</v>
      </c>
      <c r="F2642" s="4">
        <v>85.5</v>
      </c>
      <c r="G2642" s="4"/>
      <c r="H2642" s="4">
        <f t="shared" ref="H2642:H2644" si="261">F2642+G2642</f>
        <v>85.5</v>
      </c>
    </row>
    <row r="2643" ht="14.25" spans="1:8">
      <c r="A2643" s="3" t="str">
        <f>"11702208816"</f>
        <v>11702208816</v>
      </c>
      <c r="B2643" s="3">
        <v>2</v>
      </c>
      <c r="C2643" s="3">
        <v>88</v>
      </c>
      <c r="D2643" s="3">
        <v>16</v>
      </c>
      <c r="E2643" s="3" t="s">
        <v>10</v>
      </c>
      <c r="F2643" s="4">
        <v>58.5</v>
      </c>
      <c r="G2643" s="4"/>
      <c r="H2643" s="4">
        <f t="shared" si="261"/>
        <v>58.5</v>
      </c>
    </row>
    <row r="2644" ht="14.25" spans="1:8">
      <c r="A2644" s="3" t="str">
        <f>"11702208817"</f>
        <v>11702208817</v>
      </c>
      <c r="B2644" s="3">
        <v>2</v>
      </c>
      <c r="C2644" s="3">
        <v>88</v>
      </c>
      <c r="D2644" s="3">
        <v>17</v>
      </c>
      <c r="E2644" s="3" t="s">
        <v>10</v>
      </c>
      <c r="F2644" s="4">
        <v>78</v>
      </c>
      <c r="G2644" s="4"/>
      <c r="H2644" s="4">
        <f t="shared" si="261"/>
        <v>78</v>
      </c>
    </row>
    <row r="2645" ht="14.25" spans="1:8">
      <c r="A2645" s="3" t="str">
        <f>"11702208818"</f>
        <v>11702208818</v>
      </c>
      <c r="B2645" s="3">
        <v>2</v>
      </c>
      <c r="C2645" s="3">
        <v>88</v>
      </c>
      <c r="D2645" s="3">
        <v>18</v>
      </c>
      <c r="E2645" s="3" t="s">
        <v>10</v>
      </c>
      <c r="F2645" s="3">
        <v>0</v>
      </c>
      <c r="G2645" s="4"/>
      <c r="H2645" s="3">
        <v>0</v>
      </c>
    </row>
    <row r="2646" ht="14.25" spans="1:8">
      <c r="A2646" s="3" t="str">
        <f>"11702208819"</f>
        <v>11702208819</v>
      </c>
      <c r="B2646" s="3">
        <v>2</v>
      </c>
      <c r="C2646" s="3">
        <v>88</v>
      </c>
      <c r="D2646" s="3">
        <v>19</v>
      </c>
      <c r="E2646" s="3" t="s">
        <v>10</v>
      </c>
      <c r="F2646" s="3">
        <v>0</v>
      </c>
      <c r="G2646" s="4"/>
      <c r="H2646" s="3">
        <v>0</v>
      </c>
    </row>
    <row r="2647" ht="14.25" spans="1:8">
      <c r="A2647" s="3" t="str">
        <f>"11702208820"</f>
        <v>11702208820</v>
      </c>
      <c r="B2647" s="3">
        <v>2</v>
      </c>
      <c r="C2647" s="3">
        <v>88</v>
      </c>
      <c r="D2647" s="3">
        <v>20</v>
      </c>
      <c r="E2647" s="3" t="s">
        <v>10</v>
      </c>
      <c r="F2647" s="4">
        <v>64</v>
      </c>
      <c r="G2647" s="4"/>
      <c r="H2647" s="4">
        <f t="shared" ref="H2647:H2652" si="262">F2647+G2647</f>
        <v>64</v>
      </c>
    </row>
    <row r="2648" ht="14.25" spans="1:8">
      <c r="A2648" s="3" t="str">
        <f>"11702208821"</f>
        <v>11702208821</v>
      </c>
      <c r="B2648" s="3">
        <v>2</v>
      </c>
      <c r="C2648" s="3">
        <v>88</v>
      </c>
      <c r="D2648" s="3">
        <v>21</v>
      </c>
      <c r="E2648" s="3" t="s">
        <v>10</v>
      </c>
      <c r="F2648" s="4">
        <v>82.5</v>
      </c>
      <c r="G2648" s="4"/>
      <c r="H2648" s="4">
        <f t="shared" si="262"/>
        <v>82.5</v>
      </c>
    </row>
    <row r="2649" ht="14.25" spans="1:8">
      <c r="A2649" s="3" t="str">
        <f>"11702208822"</f>
        <v>11702208822</v>
      </c>
      <c r="B2649" s="3">
        <v>2</v>
      </c>
      <c r="C2649" s="3">
        <v>88</v>
      </c>
      <c r="D2649" s="3">
        <v>22</v>
      </c>
      <c r="E2649" s="3" t="s">
        <v>10</v>
      </c>
      <c r="F2649" s="3">
        <v>0</v>
      </c>
      <c r="G2649" s="4"/>
      <c r="H2649" s="3">
        <v>0</v>
      </c>
    </row>
    <row r="2650" ht="14.25" spans="1:8">
      <c r="A2650" s="3" t="str">
        <f>"11702208823"</f>
        <v>11702208823</v>
      </c>
      <c r="B2650" s="3">
        <v>2</v>
      </c>
      <c r="C2650" s="3">
        <v>88</v>
      </c>
      <c r="D2650" s="3">
        <v>23</v>
      </c>
      <c r="E2650" s="3" t="s">
        <v>10</v>
      </c>
      <c r="F2650" s="4">
        <v>80</v>
      </c>
      <c r="G2650" s="4"/>
      <c r="H2650" s="4">
        <f t="shared" si="262"/>
        <v>80</v>
      </c>
    </row>
    <row r="2651" ht="14.25" spans="1:8">
      <c r="A2651" s="3" t="str">
        <f>"11702208824"</f>
        <v>11702208824</v>
      </c>
      <c r="B2651" s="3">
        <v>2</v>
      </c>
      <c r="C2651" s="3">
        <v>88</v>
      </c>
      <c r="D2651" s="3">
        <v>24</v>
      </c>
      <c r="E2651" s="3" t="s">
        <v>10</v>
      </c>
      <c r="F2651" s="4">
        <v>83.5</v>
      </c>
      <c r="G2651" s="4"/>
      <c r="H2651" s="4">
        <f t="shared" si="262"/>
        <v>83.5</v>
      </c>
    </row>
    <row r="2652" ht="14.25" spans="1:8">
      <c r="A2652" s="3" t="str">
        <f>"11702208825"</f>
        <v>11702208825</v>
      </c>
      <c r="B2652" s="3">
        <v>2</v>
      </c>
      <c r="C2652" s="3">
        <v>88</v>
      </c>
      <c r="D2652" s="3">
        <v>25</v>
      </c>
      <c r="E2652" s="3" t="s">
        <v>10</v>
      </c>
      <c r="F2652" s="4">
        <v>71.5</v>
      </c>
      <c r="G2652" s="4"/>
      <c r="H2652" s="4">
        <f t="shared" si="262"/>
        <v>71.5</v>
      </c>
    </row>
    <row r="2653" ht="14.25" spans="1:8">
      <c r="A2653" s="3" t="str">
        <f>"11702208826"</f>
        <v>11702208826</v>
      </c>
      <c r="B2653" s="3">
        <v>2</v>
      </c>
      <c r="C2653" s="3">
        <v>88</v>
      </c>
      <c r="D2653" s="3">
        <v>26</v>
      </c>
      <c r="E2653" s="3" t="s">
        <v>10</v>
      </c>
      <c r="F2653" s="3">
        <v>0</v>
      </c>
      <c r="G2653" s="4"/>
      <c r="H2653" s="3">
        <v>0</v>
      </c>
    </row>
    <row r="2654" ht="14.25" spans="1:8">
      <c r="A2654" s="3" t="str">
        <f>"11702208827"</f>
        <v>11702208827</v>
      </c>
      <c r="B2654" s="3">
        <v>2</v>
      </c>
      <c r="C2654" s="3">
        <v>88</v>
      </c>
      <c r="D2654" s="3">
        <v>27</v>
      </c>
      <c r="E2654" s="3" t="s">
        <v>10</v>
      </c>
      <c r="F2654" s="4">
        <v>47.5</v>
      </c>
      <c r="G2654" s="4"/>
      <c r="H2654" s="4">
        <f t="shared" ref="H2654:H2664" si="263">F2654+G2654</f>
        <v>47.5</v>
      </c>
    </row>
    <row r="2655" ht="14.25" spans="1:8">
      <c r="A2655" s="3" t="str">
        <f>"11702208828"</f>
        <v>11702208828</v>
      </c>
      <c r="B2655" s="3">
        <v>2</v>
      </c>
      <c r="C2655" s="3">
        <v>88</v>
      </c>
      <c r="D2655" s="3">
        <v>28</v>
      </c>
      <c r="E2655" s="3" t="s">
        <v>10</v>
      </c>
      <c r="F2655" s="4">
        <v>87.5</v>
      </c>
      <c r="G2655" s="4"/>
      <c r="H2655" s="4">
        <f t="shared" si="263"/>
        <v>87.5</v>
      </c>
    </row>
    <row r="2656" ht="14.25" spans="1:8">
      <c r="A2656" s="3" t="str">
        <f>"11702208829"</f>
        <v>11702208829</v>
      </c>
      <c r="B2656" s="3">
        <v>2</v>
      </c>
      <c r="C2656" s="3">
        <v>88</v>
      </c>
      <c r="D2656" s="3">
        <v>29</v>
      </c>
      <c r="E2656" s="3" t="s">
        <v>10</v>
      </c>
      <c r="F2656" s="4">
        <v>79.5</v>
      </c>
      <c r="G2656" s="4"/>
      <c r="H2656" s="4">
        <f t="shared" si="263"/>
        <v>79.5</v>
      </c>
    </row>
    <row r="2657" ht="14.25" spans="1:8">
      <c r="A2657" s="3" t="str">
        <f>"11702208830"</f>
        <v>11702208830</v>
      </c>
      <c r="B2657" s="3">
        <v>2</v>
      </c>
      <c r="C2657" s="3">
        <v>88</v>
      </c>
      <c r="D2657" s="3">
        <v>30</v>
      </c>
      <c r="E2657" s="3" t="s">
        <v>10</v>
      </c>
      <c r="F2657" s="4">
        <v>81</v>
      </c>
      <c r="G2657" s="4"/>
      <c r="H2657" s="4">
        <f t="shared" si="263"/>
        <v>81</v>
      </c>
    </row>
    <row r="2658" ht="14.25" spans="1:8">
      <c r="A2658" s="3" t="str">
        <f>"11702208901"</f>
        <v>11702208901</v>
      </c>
      <c r="B2658" s="3">
        <v>2</v>
      </c>
      <c r="C2658" s="3">
        <v>89</v>
      </c>
      <c r="D2658" s="3">
        <v>1</v>
      </c>
      <c r="E2658" s="3" t="s">
        <v>10</v>
      </c>
      <c r="F2658" s="4">
        <v>57</v>
      </c>
      <c r="G2658" s="4"/>
      <c r="H2658" s="4">
        <f t="shared" si="263"/>
        <v>57</v>
      </c>
    </row>
    <row r="2659" ht="14.25" spans="1:8">
      <c r="A2659" s="3" t="str">
        <f>"11702208902"</f>
        <v>11702208902</v>
      </c>
      <c r="B2659" s="3">
        <v>2</v>
      </c>
      <c r="C2659" s="3">
        <v>89</v>
      </c>
      <c r="D2659" s="3">
        <v>2</v>
      </c>
      <c r="E2659" s="3" t="s">
        <v>10</v>
      </c>
      <c r="F2659" s="4">
        <v>71</v>
      </c>
      <c r="G2659" s="4"/>
      <c r="H2659" s="4">
        <f t="shared" si="263"/>
        <v>71</v>
      </c>
    </row>
    <row r="2660" ht="14.25" spans="1:8">
      <c r="A2660" s="3" t="str">
        <f>"11702208903"</f>
        <v>11702208903</v>
      </c>
      <c r="B2660" s="3">
        <v>2</v>
      </c>
      <c r="C2660" s="3">
        <v>89</v>
      </c>
      <c r="D2660" s="3">
        <v>3</v>
      </c>
      <c r="E2660" s="3" t="s">
        <v>10</v>
      </c>
      <c r="F2660" s="4">
        <v>74.5</v>
      </c>
      <c r="G2660" s="4"/>
      <c r="H2660" s="4">
        <f t="shared" si="263"/>
        <v>74.5</v>
      </c>
    </row>
    <row r="2661" ht="14.25" spans="1:8">
      <c r="A2661" s="3" t="str">
        <f>"11702208904"</f>
        <v>11702208904</v>
      </c>
      <c r="B2661" s="3">
        <v>2</v>
      </c>
      <c r="C2661" s="3">
        <v>89</v>
      </c>
      <c r="D2661" s="3">
        <v>4</v>
      </c>
      <c r="E2661" s="3" t="s">
        <v>10</v>
      </c>
      <c r="F2661" s="4">
        <v>78</v>
      </c>
      <c r="G2661" s="4"/>
      <c r="H2661" s="4">
        <f t="shared" si="263"/>
        <v>78</v>
      </c>
    </row>
    <row r="2662" ht="14.25" spans="1:8">
      <c r="A2662" s="3" t="str">
        <f>"11702208905"</f>
        <v>11702208905</v>
      </c>
      <c r="B2662" s="3">
        <v>2</v>
      </c>
      <c r="C2662" s="3">
        <v>89</v>
      </c>
      <c r="D2662" s="3">
        <v>5</v>
      </c>
      <c r="E2662" s="3" t="s">
        <v>10</v>
      </c>
      <c r="F2662" s="4">
        <v>61.5</v>
      </c>
      <c r="G2662" s="4"/>
      <c r="H2662" s="4">
        <f t="shared" si="263"/>
        <v>61.5</v>
      </c>
    </row>
    <row r="2663" ht="14.25" spans="1:8">
      <c r="A2663" s="3" t="str">
        <f>"11702208906"</f>
        <v>11702208906</v>
      </c>
      <c r="B2663" s="3">
        <v>2</v>
      </c>
      <c r="C2663" s="3">
        <v>89</v>
      </c>
      <c r="D2663" s="3">
        <v>6</v>
      </c>
      <c r="E2663" s="3" t="s">
        <v>10</v>
      </c>
      <c r="F2663" s="4">
        <v>85</v>
      </c>
      <c r="G2663" s="4"/>
      <c r="H2663" s="4">
        <f t="shared" si="263"/>
        <v>85</v>
      </c>
    </row>
    <row r="2664" ht="14.25" spans="1:8">
      <c r="A2664" s="3" t="str">
        <f>"11702208907"</f>
        <v>11702208907</v>
      </c>
      <c r="B2664" s="3">
        <v>2</v>
      </c>
      <c r="C2664" s="3">
        <v>89</v>
      </c>
      <c r="D2664" s="3">
        <v>7</v>
      </c>
      <c r="E2664" s="3" t="s">
        <v>10</v>
      </c>
      <c r="F2664" s="4">
        <v>50</v>
      </c>
      <c r="G2664" s="4"/>
      <c r="H2664" s="4">
        <f t="shared" si="263"/>
        <v>50</v>
      </c>
    </row>
    <row r="2665" ht="14.25" spans="1:8">
      <c r="A2665" s="3" t="str">
        <f>"11702208908"</f>
        <v>11702208908</v>
      </c>
      <c r="B2665" s="3">
        <v>2</v>
      </c>
      <c r="C2665" s="3">
        <v>89</v>
      </c>
      <c r="D2665" s="3">
        <v>8</v>
      </c>
      <c r="E2665" s="3" t="s">
        <v>10</v>
      </c>
      <c r="F2665" s="3">
        <v>0</v>
      </c>
      <c r="G2665" s="4"/>
      <c r="H2665" s="3">
        <v>0</v>
      </c>
    </row>
    <row r="2666" ht="14.25" spans="1:8">
      <c r="A2666" s="3" t="str">
        <f>"11702208909"</f>
        <v>11702208909</v>
      </c>
      <c r="B2666" s="3">
        <v>2</v>
      </c>
      <c r="C2666" s="3">
        <v>89</v>
      </c>
      <c r="D2666" s="3">
        <v>9</v>
      </c>
      <c r="E2666" s="3" t="s">
        <v>10</v>
      </c>
      <c r="F2666" s="3">
        <v>0</v>
      </c>
      <c r="G2666" s="4"/>
      <c r="H2666" s="3">
        <v>0</v>
      </c>
    </row>
    <row r="2667" ht="14.25" spans="1:8">
      <c r="A2667" s="3" t="str">
        <f>"11702208910"</f>
        <v>11702208910</v>
      </c>
      <c r="B2667" s="3">
        <v>2</v>
      </c>
      <c r="C2667" s="3">
        <v>89</v>
      </c>
      <c r="D2667" s="3">
        <v>10</v>
      </c>
      <c r="E2667" s="3" t="s">
        <v>10</v>
      </c>
      <c r="F2667" s="4">
        <v>69</v>
      </c>
      <c r="G2667" s="4"/>
      <c r="H2667" s="4">
        <f t="shared" ref="H2667:H2670" si="264">F2667+G2667</f>
        <v>69</v>
      </c>
    </row>
    <row r="2668" ht="14.25" spans="1:8">
      <c r="A2668" s="3" t="str">
        <f>"11702208911"</f>
        <v>11702208911</v>
      </c>
      <c r="B2668" s="3">
        <v>2</v>
      </c>
      <c r="C2668" s="3">
        <v>89</v>
      </c>
      <c r="D2668" s="3">
        <v>11</v>
      </c>
      <c r="E2668" s="3" t="s">
        <v>10</v>
      </c>
      <c r="F2668" s="4">
        <v>65</v>
      </c>
      <c r="G2668" s="4"/>
      <c r="H2668" s="4">
        <f t="shared" si="264"/>
        <v>65</v>
      </c>
    </row>
    <row r="2669" ht="14.25" spans="1:8">
      <c r="A2669" s="3" t="str">
        <f>"11702208912"</f>
        <v>11702208912</v>
      </c>
      <c r="B2669" s="3">
        <v>2</v>
      </c>
      <c r="C2669" s="3">
        <v>89</v>
      </c>
      <c r="D2669" s="3">
        <v>12</v>
      </c>
      <c r="E2669" s="3" t="s">
        <v>10</v>
      </c>
      <c r="F2669" s="3">
        <v>0</v>
      </c>
      <c r="G2669" s="4"/>
      <c r="H2669" s="3">
        <v>0</v>
      </c>
    </row>
    <row r="2670" ht="14.25" spans="1:8">
      <c r="A2670" s="3" t="str">
        <f>"11702208913"</f>
        <v>11702208913</v>
      </c>
      <c r="B2670" s="3">
        <v>2</v>
      </c>
      <c r="C2670" s="3">
        <v>89</v>
      </c>
      <c r="D2670" s="3">
        <v>13</v>
      </c>
      <c r="E2670" s="3" t="s">
        <v>10</v>
      </c>
      <c r="F2670" s="4">
        <v>68.5</v>
      </c>
      <c r="G2670" s="4"/>
      <c r="H2670" s="4">
        <f t="shared" si="264"/>
        <v>68.5</v>
      </c>
    </row>
    <row r="2671" ht="14.25" spans="1:8">
      <c r="A2671" s="3" t="str">
        <f>"11702208914"</f>
        <v>11702208914</v>
      </c>
      <c r="B2671" s="3">
        <v>2</v>
      </c>
      <c r="C2671" s="3">
        <v>89</v>
      </c>
      <c r="D2671" s="3">
        <v>14</v>
      </c>
      <c r="E2671" s="3" t="s">
        <v>10</v>
      </c>
      <c r="F2671" s="3">
        <v>0</v>
      </c>
      <c r="G2671" s="4"/>
      <c r="H2671" s="3">
        <v>0</v>
      </c>
    </row>
    <row r="2672" ht="14.25" spans="1:8">
      <c r="A2672" s="3" t="str">
        <f>"11702208915"</f>
        <v>11702208915</v>
      </c>
      <c r="B2672" s="3">
        <v>2</v>
      </c>
      <c r="C2672" s="3">
        <v>89</v>
      </c>
      <c r="D2672" s="3">
        <v>15</v>
      </c>
      <c r="E2672" s="3" t="s">
        <v>10</v>
      </c>
      <c r="F2672" s="3">
        <v>0</v>
      </c>
      <c r="G2672" s="4"/>
      <c r="H2672" s="3">
        <v>0</v>
      </c>
    </row>
    <row r="2673" ht="14.25" spans="1:8">
      <c r="A2673" s="3" t="str">
        <f>"11702208916"</f>
        <v>11702208916</v>
      </c>
      <c r="B2673" s="3">
        <v>2</v>
      </c>
      <c r="C2673" s="3">
        <v>89</v>
      </c>
      <c r="D2673" s="3">
        <v>16</v>
      </c>
      <c r="E2673" s="3" t="s">
        <v>10</v>
      </c>
      <c r="F2673" s="4">
        <v>83.5</v>
      </c>
      <c r="G2673" s="4"/>
      <c r="H2673" s="4">
        <f t="shared" ref="H2673:H2676" si="265">F2673+G2673</f>
        <v>83.5</v>
      </c>
    </row>
    <row r="2674" ht="14.25" spans="1:8">
      <c r="A2674" s="3" t="str">
        <f>"11702208917"</f>
        <v>11702208917</v>
      </c>
      <c r="B2674" s="3">
        <v>2</v>
      </c>
      <c r="C2674" s="3">
        <v>89</v>
      </c>
      <c r="D2674" s="3">
        <v>17</v>
      </c>
      <c r="E2674" s="3" t="s">
        <v>10</v>
      </c>
      <c r="F2674" s="4">
        <v>58</v>
      </c>
      <c r="G2674" s="4"/>
      <c r="H2674" s="4">
        <f t="shared" si="265"/>
        <v>58</v>
      </c>
    </row>
    <row r="2675" ht="14.25" spans="1:8">
      <c r="A2675" s="3" t="str">
        <f>"11702208918"</f>
        <v>11702208918</v>
      </c>
      <c r="B2675" s="3">
        <v>2</v>
      </c>
      <c r="C2675" s="3">
        <v>89</v>
      </c>
      <c r="D2675" s="3">
        <v>18</v>
      </c>
      <c r="E2675" s="3" t="s">
        <v>10</v>
      </c>
      <c r="F2675" s="3">
        <v>0</v>
      </c>
      <c r="G2675" s="4"/>
      <c r="H2675" s="3">
        <v>0</v>
      </c>
    </row>
    <row r="2676" ht="14.25" spans="1:8">
      <c r="A2676" s="3" t="str">
        <f>"11702208919"</f>
        <v>11702208919</v>
      </c>
      <c r="B2676" s="3">
        <v>2</v>
      </c>
      <c r="C2676" s="3">
        <v>89</v>
      </c>
      <c r="D2676" s="3">
        <v>19</v>
      </c>
      <c r="E2676" s="3" t="s">
        <v>10</v>
      </c>
      <c r="F2676" s="4">
        <v>68.5</v>
      </c>
      <c r="G2676" s="4"/>
      <c r="H2676" s="4">
        <f t="shared" si="265"/>
        <v>68.5</v>
      </c>
    </row>
    <row r="2677" ht="14.25" spans="1:8">
      <c r="A2677" s="3" t="str">
        <f>"11702208920"</f>
        <v>11702208920</v>
      </c>
      <c r="B2677" s="3">
        <v>2</v>
      </c>
      <c r="C2677" s="3">
        <v>89</v>
      </c>
      <c r="D2677" s="3">
        <v>20</v>
      </c>
      <c r="E2677" s="3" t="s">
        <v>10</v>
      </c>
      <c r="F2677" s="3">
        <v>0</v>
      </c>
      <c r="G2677" s="4"/>
      <c r="H2677" s="3">
        <v>0</v>
      </c>
    </row>
    <row r="2678" ht="14.25" spans="1:8">
      <c r="A2678" s="3" t="str">
        <f>"11702208921"</f>
        <v>11702208921</v>
      </c>
      <c r="B2678" s="3">
        <v>2</v>
      </c>
      <c r="C2678" s="3">
        <v>89</v>
      </c>
      <c r="D2678" s="3">
        <v>21</v>
      </c>
      <c r="E2678" s="3" t="s">
        <v>10</v>
      </c>
      <c r="F2678" s="4">
        <v>80</v>
      </c>
      <c r="G2678" s="4"/>
      <c r="H2678" s="4">
        <f t="shared" ref="H2678:H2683" si="266">F2678+G2678</f>
        <v>80</v>
      </c>
    </row>
    <row r="2679" ht="14.25" spans="1:8">
      <c r="A2679" s="3" t="str">
        <f>"11702208922"</f>
        <v>11702208922</v>
      </c>
      <c r="B2679" s="3">
        <v>2</v>
      </c>
      <c r="C2679" s="3">
        <v>89</v>
      </c>
      <c r="D2679" s="3">
        <v>22</v>
      </c>
      <c r="E2679" s="3" t="s">
        <v>10</v>
      </c>
      <c r="F2679" s="4">
        <v>85.5</v>
      </c>
      <c r="G2679" s="4"/>
      <c r="H2679" s="4">
        <f t="shared" si="266"/>
        <v>85.5</v>
      </c>
    </row>
    <row r="2680" ht="14.25" spans="1:8">
      <c r="A2680" s="3" t="str">
        <f>"11702208923"</f>
        <v>11702208923</v>
      </c>
      <c r="B2680" s="3">
        <v>2</v>
      </c>
      <c r="C2680" s="3">
        <v>89</v>
      </c>
      <c r="D2680" s="3">
        <v>23</v>
      </c>
      <c r="E2680" s="3" t="s">
        <v>10</v>
      </c>
      <c r="F2680" s="4">
        <v>86</v>
      </c>
      <c r="G2680" s="4"/>
      <c r="H2680" s="4">
        <f t="shared" si="266"/>
        <v>86</v>
      </c>
    </row>
    <row r="2681" ht="14.25" spans="1:8">
      <c r="A2681" s="3" t="str">
        <f>"11702208924"</f>
        <v>11702208924</v>
      </c>
      <c r="B2681" s="3">
        <v>2</v>
      </c>
      <c r="C2681" s="3">
        <v>89</v>
      </c>
      <c r="D2681" s="3">
        <v>24</v>
      </c>
      <c r="E2681" s="3" t="s">
        <v>10</v>
      </c>
      <c r="F2681" s="4">
        <v>61</v>
      </c>
      <c r="G2681" s="4"/>
      <c r="H2681" s="4">
        <f t="shared" si="266"/>
        <v>61</v>
      </c>
    </row>
    <row r="2682" ht="14.25" spans="1:8">
      <c r="A2682" s="3" t="str">
        <f>"11702208925"</f>
        <v>11702208925</v>
      </c>
      <c r="B2682" s="3">
        <v>2</v>
      </c>
      <c r="C2682" s="3">
        <v>89</v>
      </c>
      <c r="D2682" s="3">
        <v>25</v>
      </c>
      <c r="E2682" s="3" t="s">
        <v>10</v>
      </c>
      <c r="F2682" s="4">
        <v>49</v>
      </c>
      <c r="G2682" s="4"/>
      <c r="H2682" s="4">
        <f t="shared" si="266"/>
        <v>49</v>
      </c>
    </row>
    <row r="2683" ht="14.25" spans="1:8">
      <c r="A2683" s="3" t="str">
        <f>"11702208926"</f>
        <v>11702208926</v>
      </c>
      <c r="B2683" s="3">
        <v>2</v>
      </c>
      <c r="C2683" s="3">
        <v>89</v>
      </c>
      <c r="D2683" s="3">
        <v>26</v>
      </c>
      <c r="E2683" s="3" t="s">
        <v>10</v>
      </c>
      <c r="F2683" s="4">
        <v>73.5</v>
      </c>
      <c r="G2683" s="4"/>
      <c r="H2683" s="4">
        <f t="shared" si="266"/>
        <v>73.5</v>
      </c>
    </row>
    <row r="2684" ht="14.25" spans="1:8">
      <c r="A2684" s="3" t="str">
        <f>"11702208927"</f>
        <v>11702208927</v>
      </c>
      <c r="B2684" s="3">
        <v>2</v>
      </c>
      <c r="C2684" s="3">
        <v>89</v>
      </c>
      <c r="D2684" s="3">
        <v>27</v>
      </c>
      <c r="E2684" s="3" t="s">
        <v>10</v>
      </c>
      <c r="F2684" s="3">
        <v>0</v>
      </c>
      <c r="G2684" s="4"/>
      <c r="H2684" s="3">
        <v>0</v>
      </c>
    </row>
    <row r="2685" ht="14.25" spans="1:8">
      <c r="A2685" s="3" t="str">
        <f>"11702208928"</f>
        <v>11702208928</v>
      </c>
      <c r="B2685" s="3">
        <v>2</v>
      </c>
      <c r="C2685" s="3">
        <v>89</v>
      </c>
      <c r="D2685" s="3">
        <v>28</v>
      </c>
      <c r="E2685" s="3" t="s">
        <v>10</v>
      </c>
      <c r="F2685" s="4">
        <v>69</v>
      </c>
      <c r="G2685" s="4"/>
      <c r="H2685" s="4">
        <f t="shared" ref="H2685:H2700" si="267">F2685+G2685</f>
        <v>69</v>
      </c>
    </row>
    <row r="2686" ht="14.25" spans="1:8">
      <c r="A2686" s="3" t="str">
        <f>"11702208929"</f>
        <v>11702208929</v>
      </c>
      <c r="B2686" s="3">
        <v>2</v>
      </c>
      <c r="C2686" s="3">
        <v>89</v>
      </c>
      <c r="D2686" s="3">
        <v>29</v>
      </c>
      <c r="E2686" s="3" t="s">
        <v>10</v>
      </c>
      <c r="F2686" s="4">
        <v>84.5</v>
      </c>
      <c r="G2686" s="4"/>
      <c r="H2686" s="4">
        <f t="shared" si="267"/>
        <v>84.5</v>
      </c>
    </row>
    <row r="2687" ht="14.25" spans="1:8">
      <c r="A2687" s="3" t="str">
        <f>"11702208930"</f>
        <v>11702208930</v>
      </c>
      <c r="B2687" s="3">
        <v>2</v>
      </c>
      <c r="C2687" s="3">
        <v>89</v>
      </c>
      <c r="D2687" s="3">
        <v>30</v>
      </c>
      <c r="E2687" s="3" t="s">
        <v>10</v>
      </c>
      <c r="F2687" s="4">
        <v>66.5</v>
      </c>
      <c r="G2687" s="4"/>
      <c r="H2687" s="4">
        <f t="shared" si="267"/>
        <v>66.5</v>
      </c>
    </row>
    <row r="2688" ht="14.25" spans="1:8">
      <c r="A2688" s="3" t="str">
        <f>"11702209001"</f>
        <v>11702209001</v>
      </c>
      <c r="B2688" s="3">
        <v>2</v>
      </c>
      <c r="C2688" s="3">
        <v>90</v>
      </c>
      <c r="D2688" s="3">
        <v>1</v>
      </c>
      <c r="E2688" s="3" t="s">
        <v>10</v>
      </c>
      <c r="F2688" s="4">
        <v>79</v>
      </c>
      <c r="G2688" s="4"/>
      <c r="H2688" s="4">
        <f t="shared" si="267"/>
        <v>79</v>
      </c>
    </row>
    <row r="2689" ht="14.25" spans="1:8">
      <c r="A2689" s="3" t="str">
        <f>"11702209002"</f>
        <v>11702209002</v>
      </c>
      <c r="B2689" s="3">
        <v>2</v>
      </c>
      <c r="C2689" s="3">
        <v>90</v>
      </c>
      <c r="D2689" s="3">
        <v>2</v>
      </c>
      <c r="E2689" s="3" t="s">
        <v>10</v>
      </c>
      <c r="F2689" s="4">
        <v>77</v>
      </c>
      <c r="G2689" s="4"/>
      <c r="H2689" s="4">
        <f t="shared" si="267"/>
        <v>77</v>
      </c>
    </row>
    <row r="2690" ht="14.25" spans="1:8">
      <c r="A2690" s="3" t="str">
        <f>"11702209003"</f>
        <v>11702209003</v>
      </c>
      <c r="B2690" s="3">
        <v>2</v>
      </c>
      <c r="C2690" s="3">
        <v>90</v>
      </c>
      <c r="D2690" s="3">
        <v>3</v>
      </c>
      <c r="E2690" s="3" t="s">
        <v>10</v>
      </c>
      <c r="F2690" s="4">
        <v>80.5</v>
      </c>
      <c r="G2690" s="4"/>
      <c r="H2690" s="4">
        <f t="shared" si="267"/>
        <v>80.5</v>
      </c>
    </row>
    <row r="2691" ht="14.25" spans="1:8">
      <c r="A2691" s="3" t="str">
        <f>"11702209004"</f>
        <v>11702209004</v>
      </c>
      <c r="B2691" s="3">
        <v>2</v>
      </c>
      <c r="C2691" s="3">
        <v>90</v>
      </c>
      <c r="D2691" s="3">
        <v>4</v>
      </c>
      <c r="E2691" s="3" t="s">
        <v>10</v>
      </c>
      <c r="F2691" s="4">
        <v>79.5</v>
      </c>
      <c r="G2691" s="4"/>
      <c r="H2691" s="4">
        <f t="shared" si="267"/>
        <v>79.5</v>
      </c>
    </row>
    <row r="2692" ht="14.25" spans="1:8">
      <c r="A2692" s="3" t="str">
        <f>"11702209005"</f>
        <v>11702209005</v>
      </c>
      <c r="B2692" s="3">
        <v>2</v>
      </c>
      <c r="C2692" s="3">
        <v>90</v>
      </c>
      <c r="D2692" s="3">
        <v>5</v>
      </c>
      <c r="E2692" s="3" t="s">
        <v>10</v>
      </c>
      <c r="F2692" s="4">
        <v>69.5</v>
      </c>
      <c r="G2692" s="4"/>
      <c r="H2692" s="4">
        <f t="shared" si="267"/>
        <v>69.5</v>
      </c>
    </row>
    <row r="2693" ht="14.25" spans="1:8">
      <c r="A2693" s="3" t="str">
        <f>"11702209006"</f>
        <v>11702209006</v>
      </c>
      <c r="B2693" s="3">
        <v>2</v>
      </c>
      <c r="C2693" s="3">
        <v>90</v>
      </c>
      <c r="D2693" s="3">
        <v>6</v>
      </c>
      <c r="E2693" s="3" t="s">
        <v>10</v>
      </c>
      <c r="F2693" s="4">
        <v>62.5</v>
      </c>
      <c r="G2693" s="4"/>
      <c r="H2693" s="4">
        <f t="shared" si="267"/>
        <v>62.5</v>
      </c>
    </row>
    <row r="2694" ht="14.25" spans="1:8">
      <c r="A2694" s="3" t="str">
        <f>"11702209007"</f>
        <v>11702209007</v>
      </c>
      <c r="B2694" s="3">
        <v>2</v>
      </c>
      <c r="C2694" s="3">
        <v>90</v>
      </c>
      <c r="D2694" s="3">
        <v>7</v>
      </c>
      <c r="E2694" s="3" t="s">
        <v>10</v>
      </c>
      <c r="F2694" s="4">
        <v>85</v>
      </c>
      <c r="G2694" s="4"/>
      <c r="H2694" s="4">
        <f t="shared" si="267"/>
        <v>85</v>
      </c>
    </row>
    <row r="2695" ht="14.25" spans="1:8">
      <c r="A2695" s="3" t="str">
        <f>"11702209008"</f>
        <v>11702209008</v>
      </c>
      <c r="B2695" s="3">
        <v>2</v>
      </c>
      <c r="C2695" s="3">
        <v>90</v>
      </c>
      <c r="D2695" s="3">
        <v>8</v>
      </c>
      <c r="E2695" s="3" t="s">
        <v>10</v>
      </c>
      <c r="F2695" s="4">
        <v>84.5</v>
      </c>
      <c r="G2695" s="4"/>
      <c r="H2695" s="4">
        <f t="shared" si="267"/>
        <v>84.5</v>
      </c>
    </row>
    <row r="2696" ht="14.25" spans="1:8">
      <c r="A2696" s="3" t="str">
        <f>"11702209009"</f>
        <v>11702209009</v>
      </c>
      <c r="B2696" s="3">
        <v>2</v>
      </c>
      <c r="C2696" s="3">
        <v>90</v>
      </c>
      <c r="D2696" s="3">
        <v>9</v>
      </c>
      <c r="E2696" s="3" t="s">
        <v>10</v>
      </c>
      <c r="F2696" s="4">
        <v>79.5</v>
      </c>
      <c r="G2696" s="4"/>
      <c r="H2696" s="4">
        <f t="shared" si="267"/>
        <v>79.5</v>
      </c>
    </row>
    <row r="2697" ht="14.25" spans="1:8">
      <c r="A2697" s="3" t="str">
        <f>"11702209010"</f>
        <v>11702209010</v>
      </c>
      <c r="B2697" s="3">
        <v>2</v>
      </c>
      <c r="C2697" s="3">
        <v>90</v>
      </c>
      <c r="D2697" s="3">
        <v>10</v>
      </c>
      <c r="E2697" s="3" t="s">
        <v>10</v>
      </c>
      <c r="F2697" s="4">
        <v>63.5</v>
      </c>
      <c r="G2697" s="4"/>
      <c r="H2697" s="4">
        <f t="shared" si="267"/>
        <v>63.5</v>
      </c>
    </row>
    <row r="2698" ht="14.25" spans="1:8">
      <c r="A2698" s="3" t="str">
        <f>"11702209011"</f>
        <v>11702209011</v>
      </c>
      <c r="B2698" s="3">
        <v>2</v>
      </c>
      <c r="C2698" s="3">
        <v>90</v>
      </c>
      <c r="D2698" s="3">
        <v>11</v>
      </c>
      <c r="E2698" s="3" t="s">
        <v>10</v>
      </c>
      <c r="F2698" s="4">
        <v>75.5</v>
      </c>
      <c r="G2698" s="4"/>
      <c r="H2698" s="4">
        <f t="shared" si="267"/>
        <v>75.5</v>
      </c>
    </row>
    <row r="2699" ht="14.25" spans="1:8">
      <c r="A2699" s="3" t="str">
        <f>"11702209012"</f>
        <v>11702209012</v>
      </c>
      <c r="B2699" s="3">
        <v>2</v>
      </c>
      <c r="C2699" s="3">
        <v>90</v>
      </c>
      <c r="D2699" s="3">
        <v>12</v>
      </c>
      <c r="E2699" s="3" t="s">
        <v>10</v>
      </c>
      <c r="F2699" s="4">
        <v>77.5</v>
      </c>
      <c r="G2699" s="4"/>
      <c r="H2699" s="4">
        <f t="shared" si="267"/>
        <v>77.5</v>
      </c>
    </row>
    <row r="2700" ht="14.25" spans="1:8">
      <c r="A2700" s="3" t="str">
        <f>"11702209013"</f>
        <v>11702209013</v>
      </c>
      <c r="B2700" s="3">
        <v>2</v>
      </c>
      <c r="C2700" s="3">
        <v>90</v>
      </c>
      <c r="D2700" s="3">
        <v>13</v>
      </c>
      <c r="E2700" s="3" t="s">
        <v>10</v>
      </c>
      <c r="F2700" s="4">
        <v>79.5</v>
      </c>
      <c r="G2700" s="4"/>
      <c r="H2700" s="4">
        <f t="shared" si="267"/>
        <v>79.5</v>
      </c>
    </row>
    <row r="2701" ht="14.25" spans="1:8">
      <c r="A2701" s="3" t="str">
        <f>"11702209014"</f>
        <v>11702209014</v>
      </c>
      <c r="B2701" s="3">
        <v>2</v>
      </c>
      <c r="C2701" s="3">
        <v>90</v>
      </c>
      <c r="D2701" s="3">
        <v>14</v>
      </c>
      <c r="E2701" s="3" t="s">
        <v>10</v>
      </c>
      <c r="F2701" s="3">
        <v>0</v>
      </c>
      <c r="G2701" s="4"/>
      <c r="H2701" s="3">
        <v>0</v>
      </c>
    </row>
    <row r="2702" ht="14.25" spans="1:8">
      <c r="A2702" s="3" t="str">
        <f>"11702209015"</f>
        <v>11702209015</v>
      </c>
      <c r="B2702" s="3">
        <v>2</v>
      </c>
      <c r="C2702" s="3">
        <v>90</v>
      </c>
      <c r="D2702" s="3">
        <v>15</v>
      </c>
      <c r="E2702" s="3" t="s">
        <v>10</v>
      </c>
      <c r="F2702" s="4">
        <v>85</v>
      </c>
      <c r="G2702" s="4"/>
      <c r="H2702" s="4">
        <f t="shared" ref="H2702:H2707" si="268">F2702+G2702</f>
        <v>85</v>
      </c>
    </row>
    <row r="2703" ht="14.25" spans="1:8">
      <c r="A2703" s="3" t="str">
        <f>"11702209016"</f>
        <v>11702209016</v>
      </c>
      <c r="B2703" s="3">
        <v>2</v>
      </c>
      <c r="C2703" s="3">
        <v>90</v>
      </c>
      <c r="D2703" s="3">
        <v>16</v>
      </c>
      <c r="E2703" s="3" t="s">
        <v>10</v>
      </c>
      <c r="F2703" s="4">
        <v>75</v>
      </c>
      <c r="G2703" s="4"/>
      <c r="H2703" s="4">
        <f t="shared" si="268"/>
        <v>75</v>
      </c>
    </row>
    <row r="2704" ht="14.25" spans="1:8">
      <c r="A2704" s="3" t="str">
        <f>"11702209017"</f>
        <v>11702209017</v>
      </c>
      <c r="B2704" s="3">
        <v>2</v>
      </c>
      <c r="C2704" s="3">
        <v>90</v>
      </c>
      <c r="D2704" s="3">
        <v>17</v>
      </c>
      <c r="E2704" s="3" t="s">
        <v>10</v>
      </c>
      <c r="F2704" s="3">
        <v>0</v>
      </c>
      <c r="G2704" s="4"/>
      <c r="H2704" s="3">
        <v>0</v>
      </c>
    </row>
    <row r="2705" ht="14.25" spans="1:8">
      <c r="A2705" s="3" t="str">
        <f>"11702209018"</f>
        <v>11702209018</v>
      </c>
      <c r="B2705" s="3">
        <v>2</v>
      </c>
      <c r="C2705" s="3">
        <v>90</v>
      </c>
      <c r="D2705" s="3">
        <v>18</v>
      </c>
      <c r="E2705" s="3" t="s">
        <v>10</v>
      </c>
      <c r="F2705" s="4">
        <v>74.5</v>
      </c>
      <c r="G2705" s="4"/>
      <c r="H2705" s="4">
        <f t="shared" si="268"/>
        <v>74.5</v>
      </c>
    </row>
    <row r="2706" ht="14.25" spans="1:8">
      <c r="A2706" s="3" t="str">
        <f>"11702209019"</f>
        <v>11702209019</v>
      </c>
      <c r="B2706" s="3">
        <v>2</v>
      </c>
      <c r="C2706" s="3">
        <v>90</v>
      </c>
      <c r="D2706" s="3">
        <v>19</v>
      </c>
      <c r="E2706" s="3" t="s">
        <v>10</v>
      </c>
      <c r="F2706" s="4">
        <v>65</v>
      </c>
      <c r="G2706" s="4"/>
      <c r="H2706" s="4">
        <f t="shared" si="268"/>
        <v>65</v>
      </c>
    </row>
    <row r="2707" ht="14.25" spans="1:8">
      <c r="A2707" s="3" t="str">
        <f>"11702209020"</f>
        <v>11702209020</v>
      </c>
      <c r="B2707" s="3">
        <v>2</v>
      </c>
      <c r="C2707" s="3">
        <v>90</v>
      </c>
      <c r="D2707" s="3">
        <v>20</v>
      </c>
      <c r="E2707" s="3" t="s">
        <v>10</v>
      </c>
      <c r="F2707" s="4">
        <v>62.5</v>
      </c>
      <c r="G2707" s="4"/>
      <c r="H2707" s="4">
        <f t="shared" si="268"/>
        <v>62.5</v>
      </c>
    </row>
    <row r="2708" ht="14.25" spans="1:8">
      <c r="A2708" s="3" t="str">
        <f>"11702209021"</f>
        <v>11702209021</v>
      </c>
      <c r="B2708" s="3">
        <v>2</v>
      </c>
      <c r="C2708" s="3">
        <v>90</v>
      </c>
      <c r="D2708" s="3">
        <v>21</v>
      </c>
      <c r="E2708" s="3" t="s">
        <v>10</v>
      </c>
      <c r="F2708" s="3">
        <v>0</v>
      </c>
      <c r="G2708" s="4"/>
      <c r="H2708" s="3">
        <v>0</v>
      </c>
    </row>
    <row r="2709" ht="14.25" spans="1:8">
      <c r="A2709" s="3" t="str">
        <f>"11702209022"</f>
        <v>11702209022</v>
      </c>
      <c r="B2709" s="3">
        <v>2</v>
      </c>
      <c r="C2709" s="3">
        <v>90</v>
      </c>
      <c r="D2709" s="3">
        <v>22</v>
      </c>
      <c r="E2709" s="3" t="s">
        <v>10</v>
      </c>
      <c r="F2709" s="3">
        <v>0</v>
      </c>
      <c r="G2709" s="4"/>
      <c r="H2709" s="3">
        <v>0</v>
      </c>
    </row>
    <row r="2710" ht="14.25" spans="1:8">
      <c r="A2710" s="3" t="str">
        <f>"11702209023"</f>
        <v>11702209023</v>
      </c>
      <c r="B2710" s="3">
        <v>2</v>
      </c>
      <c r="C2710" s="3">
        <v>90</v>
      </c>
      <c r="D2710" s="3">
        <v>23</v>
      </c>
      <c r="E2710" s="3" t="s">
        <v>10</v>
      </c>
      <c r="F2710" s="4">
        <v>78</v>
      </c>
      <c r="G2710" s="4"/>
      <c r="H2710" s="4">
        <f t="shared" ref="H2710:H2721" si="269">F2710+G2710</f>
        <v>78</v>
      </c>
    </row>
    <row r="2711" ht="14.25" spans="1:8">
      <c r="A2711" s="3" t="str">
        <f>"11702209024"</f>
        <v>11702209024</v>
      </c>
      <c r="B2711" s="3">
        <v>2</v>
      </c>
      <c r="C2711" s="3">
        <v>90</v>
      </c>
      <c r="D2711" s="3">
        <v>24</v>
      </c>
      <c r="E2711" s="3" t="s">
        <v>10</v>
      </c>
      <c r="F2711" s="4">
        <v>88.5</v>
      </c>
      <c r="G2711" s="4"/>
      <c r="H2711" s="4">
        <f t="shared" si="269"/>
        <v>88.5</v>
      </c>
    </row>
    <row r="2712" ht="14.25" spans="1:8">
      <c r="A2712" s="3" t="str">
        <f>"11702209025"</f>
        <v>11702209025</v>
      </c>
      <c r="B2712" s="3">
        <v>2</v>
      </c>
      <c r="C2712" s="3">
        <v>90</v>
      </c>
      <c r="D2712" s="3">
        <v>25</v>
      </c>
      <c r="E2712" s="3" t="s">
        <v>10</v>
      </c>
      <c r="F2712" s="3">
        <v>0</v>
      </c>
      <c r="G2712" s="4"/>
      <c r="H2712" s="3">
        <v>0</v>
      </c>
    </row>
    <row r="2713" ht="14.25" spans="1:8">
      <c r="A2713" s="3" t="str">
        <f>"11702209026"</f>
        <v>11702209026</v>
      </c>
      <c r="B2713" s="3">
        <v>2</v>
      </c>
      <c r="C2713" s="3">
        <v>90</v>
      </c>
      <c r="D2713" s="3">
        <v>26</v>
      </c>
      <c r="E2713" s="3" t="s">
        <v>10</v>
      </c>
      <c r="F2713" s="4">
        <v>59</v>
      </c>
      <c r="G2713" s="4"/>
      <c r="H2713" s="4">
        <f t="shared" si="269"/>
        <v>59</v>
      </c>
    </row>
    <row r="2714" ht="14.25" spans="1:8">
      <c r="A2714" s="3" t="str">
        <f>"11702209027"</f>
        <v>11702209027</v>
      </c>
      <c r="B2714" s="3">
        <v>2</v>
      </c>
      <c r="C2714" s="3">
        <v>90</v>
      </c>
      <c r="D2714" s="3">
        <v>27</v>
      </c>
      <c r="E2714" s="3" t="s">
        <v>10</v>
      </c>
      <c r="F2714" s="4">
        <v>87</v>
      </c>
      <c r="G2714" s="4"/>
      <c r="H2714" s="4">
        <f t="shared" si="269"/>
        <v>87</v>
      </c>
    </row>
    <row r="2715" ht="14.25" spans="1:8">
      <c r="A2715" s="3" t="str">
        <f>"11702209028"</f>
        <v>11702209028</v>
      </c>
      <c r="B2715" s="3">
        <v>2</v>
      </c>
      <c r="C2715" s="3">
        <v>90</v>
      </c>
      <c r="D2715" s="3">
        <v>28</v>
      </c>
      <c r="E2715" s="3" t="s">
        <v>10</v>
      </c>
      <c r="F2715" s="4">
        <v>87.5</v>
      </c>
      <c r="G2715" s="4"/>
      <c r="H2715" s="4">
        <f t="shared" si="269"/>
        <v>87.5</v>
      </c>
    </row>
    <row r="2716" ht="14.25" spans="1:8">
      <c r="A2716" s="3" t="str">
        <f>"11702209029"</f>
        <v>11702209029</v>
      </c>
      <c r="B2716" s="3">
        <v>2</v>
      </c>
      <c r="C2716" s="3">
        <v>90</v>
      </c>
      <c r="D2716" s="3">
        <v>29</v>
      </c>
      <c r="E2716" s="3" t="s">
        <v>10</v>
      </c>
      <c r="F2716" s="4">
        <v>78</v>
      </c>
      <c r="G2716" s="4"/>
      <c r="H2716" s="4">
        <f t="shared" si="269"/>
        <v>78</v>
      </c>
    </row>
    <row r="2717" ht="14.25" spans="1:8">
      <c r="A2717" s="3" t="str">
        <f>"11702209030"</f>
        <v>11702209030</v>
      </c>
      <c r="B2717" s="3">
        <v>2</v>
      </c>
      <c r="C2717" s="3">
        <v>90</v>
      </c>
      <c r="D2717" s="3">
        <v>30</v>
      </c>
      <c r="E2717" s="3" t="s">
        <v>10</v>
      </c>
      <c r="F2717" s="4">
        <v>65</v>
      </c>
      <c r="G2717" s="4"/>
      <c r="H2717" s="4">
        <f t="shared" si="269"/>
        <v>65</v>
      </c>
    </row>
    <row r="2718" ht="14.25" spans="1:8">
      <c r="A2718" s="3" t="str">
        <f>"11702209101"</f>
        <v>11702209101</v>
      </c>
      <c r="B2718" s="3">
        <v>2</v>
      </c>
      <c r="C2718" s="3">
        <v>91</v>
      </c>
      <c r="D2718" s="3">
        <v>1</v>
      </c>
      <c r="E2718" s="3" t="s">
        <v>10</v>
      </c>
      <c r="F2718" s="4">
        <v>77</v>
      </c>
      <c r="G2718" s="4"/>
      <c r="H2718" s="4">
        <f t="shared" si="269"/>
        <v>77</v>
      </c>
    </row>
    <row r="2719" ht="14.25" spans="1:8">
      <c r="A2719" s="3" t="str">
        <f>"11702209102"</f>
        <v>11702209102</v>
      </c>
      <c r="B2719" s="3">
        <v>2</v>
      </c>
      <c r="C2719" s="3">
        <v>91</v>
      </c>
      <c r="D2719" s="3">
        <v>2</v>
      </c>
      <c r="E2719" s="3" t="s">
        <v>10</v>
      </c>
      <c r="F2719" s="4">
        <v>72</v>
      </c>
      <c r="G2719" s="4"/>
      <c r="H2719" s="4">
        <f t="shared" si="269"/>
        <v>72</v>
      </c>
    </row>
    <row r="2720" ht="14.25" spans="1:8">
      <c r="A2720" s="3" t="str">
        <f>"11702209103"</f>
        <v>11702209103</v>
      </c>
      <c r="B2720" s="3">
        <v>2</v>
      </c>
      <c r="C2720" s="3">
        <v>91</v>
      </c>
      <c r="D2720" s="3">
        <v>3</v>
      </c>
      <c r="E2720" s="3" t="s">
        <v>10</v>
      </c>
      <c r="F2720" s="4">
        <v>79</v>
      </c>
      <c r="G2720" s="4"/>
      <c r="H2720" s="4">
        <f t="shared" si="269"/>
        <v>79</v>
      </c>
    </row>
    <row r="2721" ht="14.25" spans="1:8">
      <c r="A2721" s="3" t="str">
        <f>"11702209104"</f>
        <v>11702209104</v>
      </c>
      <c r="B2721" s="3">
        <v>2</v>
      </c>
      <c r="C2721" s="3">
        <v>91</v>
      </c>
      <c r="D2721" s="3">
        <v>4</v>
      </c>
      <c r="E2721" s="3" t="s">
        <v>10</v>
      </c>
      <c r="F2721" s="4">
        <v>68</v>
      </c>
      <c r="G2721" s="4"/>
      <c r="H2721" s="4">
        <f t="shared" si="269"/>
        <v>68</v>
      </c>
    </row>
    <row r="2722" ht="14.25" spans="1:8">
      <c r="A2722" s="3" t="str">
        <f>"11702209105"</f>
        <v>11702209105</v>
      </c>
      <c r="B2722" s="3">
        <v>2</v>
      </c>
      <c r="C2722" s="3">
        <v>91</v>
      </c>
      <c r="D2722" s="3">
        <v>5</v>
      </c>
      <c r="E2722" s="3" t="s">
        <v>10</v>
      </c>
      <c r="F2722" s="3">
        <v>0</v>
      </c>
      <c r="G2722" s="4"/>
      <c r="H2722" s="3">
        <v>0</v>
      </c>
    </row>
    <row r="2723" ht="14.25" spans="1:8">
      <c r="A2723" s="3" t="str">
        <f>"11702209106"</f>
        <v>11702209106</v>
      </c>
      <c r="B2723" s="3">
        <v>2</v>
      </c>
      <c r="C2723" s="3">
        <v>91</v>
      </c>
      <c r="D2723" s="3">
        <v>6</v>
      </c>
      <c r="E2723" s="3" t="s">
        <v>10</v>
      </c>
      <c r="F2723" s="3">
        <v>0</v>
      </c>
      <c r="G2723" s="4"/>
      <c r="H2723" s="3">
        <v>0</v>
      </c>
    </row>
    <row r="2724" ht="14.25" spans="1:8">
      <c r="A2724" s="3" t="str">
        <f>"11702209107"</f>
        <v>11702209107</v>
      </c>
      <c r="B2724" s="3">
        <v>2</v>
      </c>
      <c r="C2724" s="3">
        <v>91</v>
      </c>
      <c r="D2724" s="3">
        <v>7</v>
      </c>
      <c r="E2724" s="3" t="s">
        <v>10</v>
      </c>
      <c r="F2724" s="4">
        <v>78.5</v>
      </c>
      <c r="G2724" s="4"/>
      <c r="H2724" s="4">
        <f t="shared" ref="H2724:H2728" si="270">F2724+G2724</f>
        <v>78.5</v>
      </c>
    </row>
    <row r="2725" ht="14.25" spans="1:8">
      <c r="A2725" s="3" t="str">
        <f>"11702209108"</f>
        <v>11702209108</v>
      </c>
      <c r="B2725" s="3">
        <v>2</v>
      </c>
      <c r="C2725" s="3">
        <v>91</v>
      </c>
      <c r="D2725" s="3">
        <v>8</v>
      </c>
      <c r="E2725" s="3" t="s">
        <v>10</v>
      </c>
      <c r="F2725" s="4">
        <v>80.5</v>
      </c>
      <c r="G2725" s="4"/>
      <c r="H2725" s="4">
        <f t="shared" si="270"/>
        <v>80.5</v>
      </c>
    </row>
    <row r="2726" ht="14.25" spans="1:8">
      <c r="A2726" s="3" t="str">
        <f>"11702209109"</f>
        <v>11702209109</v>
      </c>
      <c r="B2726" s="3">
        <v>2</v>
      </c>
      <c r="C2726" s="3">
        <v>91</v>
      </c>
      <c r="D2726" s="3">
        <v>9</v>
      </c>
      <c r="E2726" s="3" t="s">
        <v>10</v>
      </c>
      <c r="F2726" s="4">
        <v>74.5</v>
      </c>
      <c r="G2726" s="4"/>
      <c r="H2726" s="4">
        <f t="shared" si="270"/>
        <v>74.5</v>
      </c>
    </row>
    <row r="2727" ht="14.25" spans="1:8">
      <c r="A2727" s="3" t="str">
        <f>"11702209110"</f>
        <v>11702209110</v>
      </c>
      <c r="B2727" s="3">
        <v>2</v>
      </c>
      <c r="C2727" s="3">
        <v>91</v>
      </c>
      <c r="D2727" s="3">
        <v>10</v>
      </c>
      <c r="E2727" s="3" t="s">
        <v>10</v>
      </c>
      <c r="F2727" s="4">
        <v>75</v>
      </c>
      <c r="G2727" s="4"/>
      <c r="H2727" s="4">
        <f t="shared" si="270"/>
        <v>75</v>
      </c>
    </row>
    <row r="2728" ht="14.25" spans="1:8">
      <c r="A2728" s="3" t="str">
        <f>"11702209111"</f>
        <v>11702209111</v>
      </c>
      <c r="B2728" s="3">
        <v>2</v>
      </c>
      <c r="C2728" s="3">
        <v>91</v>
      </c>
      <c r="D2728" s="3">
        <v>11</v>
      </c>
      <c r="E2728" s="3" t="s">
        <v>10</v>
      </c>
      <c r="F2728" s="4">
        <v>84.5</v>
      </c>
      <c r="G2728" s="4"/>
      <c r="H2728" s="4">
        <f t="shared" si="270"/>
        <v>84.5</v>
      </c>
    </row>
    <row r="2729" ht="14.25" spans="1:8">
      <c r="A2729" s="3" t="str">
        <f>"11702209112"</f>
        <v>11702209112</v>
      </c>
      <c r="B2729" s="3">
        <v>2</v>
      </c>
      <c r="C2729" s="3">
        <v>91</v>
      </c>
      <c r="D2729" s="3">
        <v>12</v>
      </c>
      <c r="E2729" s="3" t="s">
        <v>10</v>
      </c>
      <c r="F2729" s="3">
        <v>0</v>
      </c>
      <c r="G2729" s="4"/>
      <c r="H2729" s="3">
        <v>0</v>
      </c>
    </row>
    <row r="2730" ht="14.25" spans="1:8">
      <c r="A2730" s="3" t="str">
        <f>"11702209113"</f>
        <v>11702209113</v>
      </c>
      <c r="B2730" s="3">
        <v>2</v>
      </c>
      <c r="C2730" s="3">
        <v>91</v>
      </c>
      <c r="D2730" s="3">
        <v>13</v>
      </c>
      <c r="E2730" s="3" t="s">
        <v>10</v>
      </c>
      <c r="F2730" s="4">
        <v>73</v>
      </c>
      <c r="G2730" s="4"/>
      <c r="H2730" s="4">
        <f t="shared" ref="H2730:H2737" si="271">F2730+G2730</f>
        <v>73</v>
      </c>
    </row>
    <row r="2731" ht="14.25" spans="1:8">
      <c r="A2731" s="3" t="str">
        <f>"11702209114"</f>
        <v>11702209114</v>
      </c>
      <c r="B2731" s="3">
        <v>2</v>
      </c>
      <c r="C2731" s="3">
        <v>91</v>
      </c>
      <c r="D2731" s="3">
        <v>14</v>
      </c>
      <c r="E2731" s="3" t="s">
        <v>10</v>
      </c>
      <c r="F2731" s="4">
        <v>83.5</v>
      </c>
      <c r="G2731" s="4"/>
      <c r="H2731" s="4">
        <f t="shared" si="271"/>
        <v>83.5</v>
      </c>
    </row>
    <row r="2732" ht="14.25" spans="1:8">
      <c r="A2732" s="3" t="str">
        <f>"11702209115"</f>
        <v>11702209115</v>
      </c>
      <c r="B2732" s="3">
        <v>2</v>
      </c>
      <c r="C2732" s="3">
        <v>91</v>
      </c>
      <c r="D2732" s="3">
        <v>15</v>
      </c>
      <c r="E2732" s="3" t="s">
        <v>10</v>
      </c>
      <c r="F2732" s="4">
        <v>77.5</v>
      </c>
      <c r="G2732" s="4"/>
      <c r="H2732" s="4">
        <f t="shared" si="271"/>
        <v>77.5</v>
      </c>
    </row>
    <row r="2733" ht="14.25" spans="1:8">
      <c r="A2733" s="3" t="str">
        <f>"11702209116"</f>
        <v>11702209116</v>
      </c>
      <c r="B2733" s="3">
        <v>2</v>
      </c>
      <c r="C2733" s="3">
        <v>91</v>
      </c>
      <c r="D2733" s="3">
        <v>16</v>
      </c>
      <c r="E2733" s="3" t="s">
        <v>10</v>
      </c>
      <c r="F2733" s="4">
        <v>65.5</v>
      </c>
      <c r="G2733" s="4"/>
      <c r="H2733" s="4">
        <f t="shared" si="271"/>
        <v>65.5</v>
      </c>
    </row>
    <row r="2734" ht="14.25" spans="1:8">
      <c r="A2734" s="3" t="str">
        <f>"11702209117"</f>
        <v>11702209117</v>
      </c>
      <c r="B2734" s="3">
        <v>2</v>
      </c>
      <c r="C2734" s="3">
        <v>91</v>
      </c>
      <c r="D2734" s="3">
        <v>17</v>
      </c>
      <c r="E2734" s="3" t="s">
        <v>10</v>
      </c>
      <c r="F2734" s="4">
        <v>59.5</v>
      </c>
      <c r="G2734" s="4"/>
      <c r="H2734" s="4">
        <f t="shared" si="271"/>
        <v>59.5</v>
      </c>
    </row>
    <row r="2735" ht="14.25" spans="1:8">
      <c r="A2735" s="3" t="str">
        <f>"11702209118"</f>
        <v>11702209118</v>
      </c>
      <c r="B2735" s="3">
        <v>2</v>
      </c>
      <c r="C2735" s="3">
        <v>91</v>
      </c>
      <c r="D2735" s="3">
        <v>18</v>
      </c>
      <c r="E2735" s="3" t="s">
        <v>10</v>
      </c>
      <c r="F2735" s="4">
        <v>61.5</v>
      </c>
      <c r="G2735" s="4"/>
      <c r="H2735" s="4">
        <f t="shared" si="271"/>
        <v>61.5</v>
      </c>
    </row>
    <row r="2736" ht="14.25" spans="1:8">
      <c r="A2736" s="3" t="str">
        <f>"11702209119"</f>
        <v>11702209119</v>
      </c>
      <c r="B2736" s="3">
        <v>2</v>
      </c>
      <c r="C2736" s="3">
        <v>91</v>
      </c>
      <c r="D2736" s="3">
        <v>19</v>
      </c>
      <c r="E2736" s="3" t="s">
        <v>10</v>
      </c>
      <c r="F2736" s="4">
        <v>64.5</v>
      </c>
      <c r="G2736" s="4"/>
      <c r="H2736" s="4">
        <f t="shared" si="271"/>
        <v>64.5</v>
      </c>
    </row>
    <row r="2737" ht="14.25" spans="1:8">
      <c r="A2737" s="3" t="str">
        <f>"11702209120"</f>
        <v>11702209120</v>
      </c>
      <c r="B2737" s="3">
        <v>2</v>
      </c>
      <c r="C2737" s="3">
        <v>91</v>
      </c>
      <c r="D2737" s="3">
        <v>20</v>
      </c>
      <c r="E2737" s="3" t="s">
        <v>10</v>
      </c>
      <c r="F2737" s="4">
        <v>73</v>
      </c>
      <c r="G2737" s="4"/>
      <c r="H2737" s="4">
        <f t="shared" si="271"/>
        <v>73</v>
      </c>
    </row>
    <row r="2738" ht="14.25" spans="1:8">
      <c r="A2738" s="3" t="str">
        <f>"11703209121"</f>
        <v>11703209121</v>
      </c>
      <c r="B2738" s="3">
        <v>2</v>
      </c>
      <c r="C2738" s="3">
        <v>91</v>
      </c>
      <c r="D2738" s="3">
        <v>21</v>
      </c>
      <c r="E2738" s="3" t="s">
        <v>10</v>
      </c>
      <c r="F2738" s="3">
        <v>0</v>
      </c>
      <c r="G2738" s="4"/>
      <c r="H2738" s="3">
        <v>0</v>
      </c>
    </row>
    <row r="2739" ht="14.25" spans="1:8">
      <c r="A2739" s="3" t="str">
        <f>"11703209122"</f>
        <v>11703209122</v>
      </c>
      <c r="B2739" s="3">
        <v>2</v>
      </c>
      <c r="C2739" s="3">
        <v>91</v>
      </c>
      <c r="D2739" s="3">
        <v>22</v>
      </c>
      <c r="E2739" s="3" t="s">
        <v>10</v>
      </c>
      <c r="F2739" s="3">
        <v>0</v>
      </c>
      <c r="G2739" s="4"/>
      <c r="H2739" s="3">
        <v>0</v>
      </c>
    </row>
    <row r="2740" ht="14.25" spans="1:8">
      <c r="A2740" s="3" t="str">
        <f>"11703209123"</f>
        <v>11703209123</v>
      </c>
      <c r="B2740" s="3">
        <v>2</v>
      </c>
      <c r="C2740" s="3">
        <v>91</v>
      </c>
      <c r="D2740" s="3">
        <v>23</v>
      </c>
      <c r="E2740" s="3" t="s">
        <v>10</v>
      </c>
      <c r="F2740" s="4">
        <v>54.5</v>
      </c>
      <c r="G2740" s="4"/>
      <c r="H2740" s="4">
        <f t="shared" ref="H2740:H2743" si="272">F2740+G2740</f>
        <v>54.5</v>
      </c>
    </row>
    <row r="2741" ht="14.25" spans="1:8">
      <c r="A2741" s="3" t="str">
        <f>"11703209124"</f>
        <v>11703209124</v>
      </c>
      <c r="B2741" s="3">
        <v>2</v>
      </c>
      <c r="C2741" s="3">
        <v>91</v>
      </c>
      <c r="D2741" s="3">
        <v>24</v>
      </c>
      <c r="E2741" s="3" t="s">
        <v>10</v>
      </c>
      <c r="F2741" s="4">
        <v>50</v>
      </c>
      <c r="G2741" s="4"/>
      <c r="H2741" s="4">
        <f t="shared" si="272"/>
        <v>50</v>
      </c>
    </row>
    <row r="2742" ht="14.25" spans="1:8">
      <c r="A2742" s="3" t="str">
        <f>"11703209125"</f>
        <v>11703209125</v>
      </c>
      <c r="B2742" s="3">
        <v>2</v>
      </c>
      <c r="C2742" s="3">
        <v>91</v>
      </c>
      <c r="D2742" s="3">
        <v>25</v>
      </c>
      <c r="E2742" s="3" t="s">
        <v>10</v>
      </c>
      <c r="F2742" s="3">
        <v>0</v>
      </c>
      <c r="G2742" s="4"/>
      <c r="H2742" s="3">
        <v>0</v>
      </c>
    </row>
    <row r="2743" ht="14.25" spans="1:8">
      <c r="A2743" s="3" t="str">
        <f>"11703209126"</f>
        <v>11703209126</v>
      </c>
      <c r="B2743" s="3">
        <v>2</v>
      </c>
      <c r="C2743" s="3">
        <v>91</v>
      </c>
      <c r="D2743" s="3">
        <v>26</v>
      </c>
      <c r="E2743" s="3" t="s">
        <v>10</v>
      </c>
      <c r="F2743" s="4">
        <v>79.5</v>
      </c>
      <c r="G2743" s="4"/>
      <c r="H2743" s="4">
        <f t="shared" si="272"/>
        <v>79.5</v>
      </c>
    </row>
    <row r="2744" ht="14.25" spans="1:8">
      <c r="A2744" s="3" t="str">
        <f>"11703209127"</f>
        <v>11703209127</v>
      </c>
      <c r="B2744" s="3">
        <v>2</v>
      </c>
      <c r="C2744" s="3">
        <v>91</v>
      </c>
      <c r="D2744" s="3">
        <v>27</v>
      </c>
      <c r="E2744" s="3" t="s">
        <v>10</v>
      </c>
      <c r="F2744" s="3">
        <v>0</v>
      </c>
      <c r="G2744" s="4"/>
      <c r="H2744" s="3">
        <v>0</v>
      </c>
    </row>
    <row r="2745" ht="14.25" spans="1:8">
      <c r="A2745" s="3" t="str">
        <f>"11703209128"</f>
        <v>11703209128</v>
      </c>
      <c r="B2745" s="3">
        <v>2</v>
      </c>
      <c r="C2745" s="3">
        <v>91</v>
      </c>
      <c r="D2745" s="3">
        <v>28</v>
      </c>
      <c r="E2745" s="3" t="s">
        <v>10</v>
      </c>
      <c r="F2745" s="4">
        <v>51.5</v>
      </c>
      <c r="G2745" s="4"/>
      <c r="H2745" s="4">
        <f t="shared" ref="H2745:H2756" si="273">F2745+G2745</f>
        <v>51.5</v>
      </c>
    </row>
    <row r="2746" ht="14.25" spans="1:8">
      <c r="A2746" s="3" t="str">
        <f>"11704209129"</f>
        <v>11704209129</v>
      </c>
      <c r="B2746" s="3">
        <v>2</v>
      </c>
      <c r="C2746" s="3">
        <v>91</v>
      </c>
      <c r="D2746" s="3">
        <v>29</v>
      </c>
      <c r="E2746" s="3" t="s">
        <v>10</v>
      </c>
      <c r="F2746" s="3">
        <v>0</v>
      </c>
      <c r="G2746" s="4"/>
      <c r="H2746" s="3">
        <v>0</v>
      </c>
    </row>
    <row r="2747" ht="14.25" spans="1:8">
      <c r="A2747" s="3" t="str">
        <f>"11704209130"</f>
        <v>11704209130</v>
      </c>
      <c r="B2747" s="3">
        <v>2</v>
      </c>
      <c r="C2747" s="3">
        <v>91</v>
      </c>
      <c r="D2747" s="3">
        <v>30</v>
      </c>
      <c r="E2747" s="3" t="s">
        <v>10</v>
      </c>
      <c r="F2747" s="4">
        <v>81.5</v>
      </c>
      <c r="G2747" s="4"/>
      <c r="H2747" s="4">
        <f t="shared" si="273"/>
        <v>81.5</v>
      </c>
    </row>
    <row r="2748" ht="14.25" spans="1:8">
      <c r="A2748" s="3" t="str">
        <f>"11704209201"</f>
        <v>11704209201</v>
      </c>
      <c r="B2748" s="3">
        <v>2</v>
      </c>
      <c r="C2748" s="3">
        <v>92</v>
      </c>
      <c r="D2748" s="3">
        <v>1</v>
      </c>
      <c r="E2748" s="3" t="s">
        <v>10</v>
      </c>
      <c r="F2748" s="4">
        <v>83</v>
      </c>
      <c r="G2748" s="4"/>
      <c r="H2748" s="4">
        <f t="shared" si="273"/>
        <v>83</v>
      </c>
    </row>
    <row r="2749" ht="14.25" spans="1:8">
      <c r="A2749" s="3" t="str">
        <f>"11704209202"</f>
        <v>11704209202</v>
      </c>
      <c r="B2749" s="3">
        <v>2</v>
      </c>
      <c r="C2749" s="3">
        <v>92</v>
      </c>
      <c r="D2749" s="3">
        <v>2</v>
      </c>
      <c r="E2749" s="3" t="s">
        <v>10</v>
      </c>
      <c r="F2749" s="4">
        <v>53.5</v>
      </c>
      <c r="G2749" s="4"/>
      <c r="H2749" s="4">
        <f t="shared" si="273"/>
        <v>53.5</v>
      </c>
    </row>
    <row r="2750" ht="14.25" spans="1:8">
      <c r="A2750" s="3" t="str">
        <f>"11704209203"</f>
        <v>11704209203</v>
      </c>
      <c r="B2750" s="3">
        <v>2</v>
      </c>
      <c r="C2750" s="3">
        <v>92</v>
      </c>
      <c r="D2750" s="3">
        <v>3</v>
      </c>
      <c r="E2750" s="3" t="s">
        <v>10</v>
      </c>
      <c r="F2750" s="4">
        <v>74.5</v>
      </c>
      <c r="G2750" s="4"/>
      <c r="H2750" s="4">
        <f t="shared" si="273"/>
        <v>74.5</v>
      </c>
    </row>
    <row r="2751" ht="14.25" spans="1:8">
      <c r="A2751" s="3" t="str">
        <f>"11704209204"</f>
        <v>11704209204</v>
      </c>
      <c r="B2751" s="3">
        <v>2</v>
      </c>
      <c r="C2751" s="3">
        <v>92</v>
      </c>
      <c r="D2751" s="3">
        <v>4</v>
      </c>
      <c r="E2751" s="3" t="s">
        <v>10</v>
      </c>
      <c r="F2751" s="4">
        <v>61.5</v>
      </c>
      <c r="G2751" s="4"/>
      <c r="H2751" s="4">
        <f t="shared" si="273"/>
        <v>61.5</v>
      </c>
    </row>
    <row r="2752" ht="14.25" spans="1:8">
      <c r="A2752" s="3" t="str">
        <f>"11704209205"</f>
        <v>11704209205</v>
      </c>
      <c r="B2752" s="3">
        <v>2</v>
      </c>
      <c r="C2752" s="3">
        <v>92</v>
      </c>
      <c r="D2752" s="3">
        <v>5</v>
      </c>
      <c r="E2752" s="3" t="s">
        <v>10</v>
      </c>
      <c r="F2752" s="4">
        <v>41</v>
      </c>
      <c r="G2752" s="4"/>
      <c r="H2752" s="4">
        <f t="shared" si="273"/>
        <v>41</v>
      </c>
    </row>
    <row r="2753" ht="14.25" spans="1:8">
      <c r="A2753" s="3" t="str">
        <f>"11704209206"</f>
        <v>11704209206</v>
      </c>
      <c r="B2753" s="3">
        <v>2</v>
      </c>
      <c r="C2753" s="3">
        <v>92</v>
      </c>
      <c r="D2753" s="3">
        <v>6</v>
      </c>
      <c r="E2753" s="3" t="s">
        <v>10</v>
      </c>
      <c r="F2753" s="4">
        <v>68.5</v>
      </c>
      <c r="G2753" s="4"/>
      <c r="H2753" s="4">
        <f t="shared" si="273"/>
        <v>68.5</v>
      </c>
    </row>
    <row r="2754" ht="14.25" spans="1:8">
      <c r="A2754" s="3" t="str">
        <f>"11704209207"</f>
        <v>11704209207</v>
      </c>
      <c r="B2754" s="3">
        <v>2</v>
      </c>
      <c r="C2754" s="3">
        <v>92</v>
      </c>
      <c r="D2754" s="3">
        <v>7</v>
      </c>
      <c r="E2754" s="3" t="s">
        <v>10</v>
      </c>
      <c r="F2754" s="4">
        <v>75</v>
      </c>
      <c r="G2754" s="4"/>
      <c r="H2754" s="4">
        <f t="shared" si="273"/>
        <v>75</v>
      </c>
    </row>
    <row r="2755" ht="14.25" spans="1:8">
      <c r="A2755" s="3" t="str">
        <f>"11704209208"</f>
        <v>11704209208</v>
      </c>
      <c r="B2755" s="3">
        <v>2</v>
      </c>
      <c r="C2755" s="3">
        <v>92</v>
      </c>
      <c r="D2755" s="3">
        <v>8</v>
      </c>
      <c r="E2755" s="3" t="s">
        <v>10</v>
      </c>
      <c r="F2755" s="4">
        <v>51</v>
      </c>
      <c r="G2755" s="4"/>
      <c r="H2755" s="4">
        <f t="shared" si="273"/>
        <v>51</v>
      </c>
    </row>
    <row r="2756" ht="14.25" spans="1:8">
      <c r="A2756" s="3" t="str">
        <f>"11704209209"</f>
        <v>11704209209</v>
      </c>
      <c r="B2756" s="3">
        <v>2</v>
      </c>
      <c r="C2756" s="3">
        <v>92</v>
      </c>
      <c r="D2756" s="3">
        <v>9</v>
      </c>
      <c r="E2756" s="3" t="s">
        <v>10</v>
      </c>
      <c r="F2756" s="4">
        <v>76.5</v>
      </c>
      <c r="G2756" s="4"/>
      <c r="H2756" s="4">
        <f t="shared" si="273"/>
        <v>76.5</v>
      </c>
    </row>
    <row r="2757" ht="14.25" spans="1:8">
      <c r="A2757" s="3" t="str">
        <f>"11704209210"</f>
        <v>11704209210</v>
      </c>
      <c r="B2757" s="3">
        <v>2</v>
      </c>
      <c r="C2757" s="3">
        <v>92</v>
      </c>
      <c r="D2757" s="3">
        <v>10</v>
      </c>
      <c r="E2757" s="3" t="s">
        <v>10</v>
      </c>
      <c r="F2757" s="3">
        <v>0</v>
      </c>
      <c r="G2757" s="4"/>
      <c r="H2757" s="3">
        <v>0</v>
      </c>
    </row>
    <row r="2758" ht="14.25" spans="1:8">
      <c r="A2758" s="3" t="str">
        <f>"11704209211"</f>
        <v>11704209211</v>
      </c>
      <c r="B2758" s="3">
        <v>2</v>
      </c>
      <c r="C2758" s="3">
        <v>92</v>
      </c>
      <c r="D2758" s="3">
        <v>11</v>
      </c>
      <c r="E2758" s="3" t="s">
        <v>10</v>
      </c>
      <c r="F2758" s="4">
        <v>70.5</v>
      </c>
      <c r="G2758" s="4"/>
      <c r="H2758" s="4">
        <f t="shared" ref="H2758:H2765" si="274">F2758+G2758</f>
        <v>70.5</v>
      </c>
    </row>
    <row r="2759" ht="14.25" spans="1:8">
      <c r="A2759" s="3" t="str">
        <f>"11801209212"</f>
        <v>11801209212</v>
      </c>
      <c r="B2759" s="3">
        <v>2</v>
      </c>
      <c r="C2759" s="3">
        <v>92</v>
      </c>
      <c r="D2759" s="3">
        <v>12</v>
      </c>
      <c r="E2759" s="3" t="s">
        <v>10</v>
      </c>
      <c r="F2759" s="4">
        <v>81</v>
      </c>
      <c r="G2759" s="4"/>
      <c r="H2759" s="4">
        <f t="shared" si="274"/>
        <v>81</v>
      </c>
    </row>
    <row r="2760" ht="14.25" spans="1:8">
      <c r="A2760" s="3" t="str">
        <f>"11801209213"</f>
        <v>11801209213</v>
      </c>
      <c r="B2760" s="3">
        <v>2</v>
      </c>
      <c r="C2760" s="3">
        <v>92</v>
      </c>
      <c r="D2760" s="3">
        <v>13</v>
      </c>
      <c r="E2760" s="3" t="s">
        <v>10</v>
      </c>
      <c r="F2760" s="3">
        <v>0</v>
      </c>
      <c r="G2760" s="4"/>
      <c r="H2760" s="3">
        <v>0</v>
      </c>
    </row>
    <row r="2761" ht="14.25" spans="1:8">
      <c r="A2761" s="3" t="str">
        <f>"11801209214"</f>
        <v>11801209214</v>
      </c>
      <c r="B2761" s="3">
        <v>2</v>
      </c>
      <c r="C2761" s="3">
        <v>92</v>
      </c>
      <c r="D2761" s="3">
        <v>14</v>
      </c>
      <c r="E2761" s="3" t="s">
        <v>10</v>
      </c>
      <c r="F2761" s="4">
        <v>74.5</v>
      </c>
      <c r="G2761" s="4"/>
      <c r="H2761" s="4">
        <f t="shared" si="274"/>
        <v>74.5</v>
      </c>
    </row>
    <row r="2762" ht="14.25" spans="1:8">
      <c r="A2762" s="3" t="str">
        <f>"11801209215"</f>
        <v>11801209215</v>
      </c>
      <c r="B2762" s="3">
        <v>2</v>
      </c>
      <c r="C2762" s="3">
        <v>92</v>
      </c>
      <c r="D2762" s="3">
        <v>15</v>
      </c>
      <c r="E2762" s="3" t="s">
        <v>10</v>
      </c>
      <c r="F2762" s="4">
        <v>87</v>
      </c>
      <c r="G2762" s="4"/>
      <c r="H2762" s="4">
        <f t="shared" si="274"/>
        <v>87</v>
      </c>
    </row>
    <row r="2763" ht="14.25" spans="1:8">
      <c r="A2763" s="3" t="str">
        <f>"11801209216"</f>
        <v>11801209216</v>
      </c>
      <c r="B2763" s="3">
        <v>2</v>
      </c>
      <c r="C2763" s="3">
        <v>92</v>
      </c>
      <c r="D2763" s="3">
        <v>16</v>
      </c>
      <c r="E2763" s="3" t="s">
        <v>10</v>
      </c>
      <c r="F2763" s="4">
        <v>83.5</v>
      </c>
      <c r="G2763" s="4"/>
      <c r="H2763" s="4">
        <f t="shared" si="274"/>
        <v>83.5</v>
      </c>
    </row>
    <row r="2764" ht="14.25" spans="1:8">
      <c r="A2764" s="3" t="str">
        <f>"11801209217"</f>
        <v>11801209217</v>
      </c>
      <c r="B2764" s="3">
        <v>2</v>
      </c>
      <c r="C2764" s="3">
        <v>92</v>
      </c>
      <c r="D2764" s="3">
        <v>17</v>
      </c>
      <c r="E2764" s="3" t="s">
        <v>10</v>
      </c>
      <c r="F2764" s="4">
        <v>58</v>
      </c>
      <c r="G2764" s="4"/>
      <c r="H2764" s="4">
        <f t="shared" si="274"/>
        <v>58</v>
      </c>
    </row>
    <row r="2765" ht="14.25" spans="1:8">
      <c r="A2765" s="3" t="str">
        <f>"11801209218"</f>
        <v>11801209218</v>
      </c>
      <c r="B2765" s="3">
        <v>2</v>
      </c>
      <c r="C2765" s="3">
        <v>92</v>
      </c>
      <c r="D2765" s="3">
        <v>18</v>
      </c>
      <c r="E2765" s="3" t="s">
        <v>10</v>
      </c>
      <c r="F2765" s="4">
        <v>57</v>
      </c>
      <c r="G2765" s="4"/>
      <c r="H2765" s="4">
        <f t="shared" si="274"/>
        <v>57</v>
      </c>
    </row>
    <row r="2766" ht="14.25" spans="1:8">
      <c r="A2766" s="3" t="str">
        <f>"11801209219"</f>
        <v>11801209219</v>
      </c>
      <c r="B2766" s="3">
        <v>2</v>
      </c>
      <c r="C2766" s="3">
        <v>92</v>
      </c>
      <c r="D2766" s="3">
        <v>19</v>
      </c>
      <c r="E2766" s="3" t="s">
        <v>10</v>
      </c>
      <c r="F2766" s="3">
        <v>0</v>
      </c>
      <c r="G2766" s="4"/>
      <c r="H2766" s="3">
        <v>0</v>
      </c>
    </row>
    <row r="2767" ht="14.25" spans="1:8">
      <c r="A2767" s="3" t="str">
        <f>"11801209220"</f>
        <v>11801209220</v>
      </c>
      <c r="B2767" s="3">
        <v>2</v>
      </c>
      <c r="C2767" s="3">
        <v>92</v>
      </c>
      <c r="D2767" s="3">
        <v>20</v>
      </c>
      <c r="E2767" s="3" t="s">
        <v>10</v>
      </c>
      <c r="F2767" s="4">
        <v>80</v>
      </c>
      <c r="G2767" s="4"/>
      <c r="H2767" s="4">
        <f t="shared" ref="H2767:H2785" si="275">F2767+G2767</f>
        <v>80</v>
      </c>
    </row>
    <row r="2768" ht="14.25" spans="1:8">
      <c r="A2768" s="3" t="str">
        <f>"11801209221"</f>
        <v>11801209221</v>
      </c>
      <c r="B2768" s="3">
        <v>2</v>
      </c>
      <c r="C2768" s="3">
        <v>92</v>
      </c>
      <c r="D2768" s="3">
        <v>21</v>
      </c>
      <c r="E2768" s="3" t="s">
        <v>10</v>
      </c>
      <c r="F2768" s="4">
        <v>74.5</v>
      </c>
      <c r="G2768" s="4"/>
      <c r="H2768" s="4">
        <f t="shared" si="275"/>
        <v>74.5</v>
      </c>
    </row>
    <row r="2769" ht="14.25" spans="1:8">
      <c r="A2769" s="3" t="str">
        <f>"11801209222"</f>
        <v>11801209222</v>
      </c>
      <c r="B2769" s="3">
        <v>2</v>
      </c>
      <c r="C2769" s="3">
        <v>92</v>
      </c>
      <c r="D2769" s="3">
        <v>22</v>
      </c>
      <c r="E2769" s="3" t="s">
        <v>10</v>
      </c>
      <c r="F2769" s="4">
        <v>56.5</v>
      </c>
      <c r="G2769" s="4"/>
      <c r="H2769" s="4">
        <f t="shared" si="275"/>
        <v>56.5</v>
      </c>
    </row>
    <row r="2770" ht="14.25" spans="1:8">
      <c r="A2770" s="3" t="str">
        <f>"11801209223"</f>
        <v>11801209223</v>
      </c>
      <c r="B2770" s="3">
        <v>2</v>
      </c>
      <c r="C2770" s="3">
        <v>92</v>
      </c>
      <c r="D2770" s="3">
        <v>23</v>
      </c>
      <c r="E2770" s="3" t="s">
        <v>10</v>
      </c>
      <c r="F2770" s="4">
        <v>80</v>
      </c>
      <c r="G2770" s="4"/>
      <c r="H2770" s="4">
        <f t="shared" si="275"/>
        <v>80</v>
      </c>
    </row>
    <row r="2771" ht="14.25" spans="1:8">
      <c r="A2771" s="3" t="str">
        <f>"11801209224"</f>
        <v>11801209224</v>
      </c>
      <c r="B2771" s="3">
        <v>2</v>
      </c>
      <c r="C2771" s="3">
        <v>92</v>
      </c>
      <c r="D2771" s="3">
        <v>24</v>
      </c>
      <c r="E2771" s="3" t="s">
        <v>10</v>
      </c>
      <c r="F2771" s="4">
        <v>74.5</v>
      </c>
      <c r="G2771" s="4"/>
      <c r="H2771" s="4">
        <f t="shared" si="275"/>
        <v>74.5</v>
      </c>
    </row>
    <row r="2772" ht="14.25" spans="1:8">
      <c r="A2772" s="3" t="str">
        <f>"11801209225"</f>
        <v>11801209225</v>
      </c>
      <c r="B2772" s="3">
        <v>2</v>
      </c>
      <c r="C2772" s="3">
        <v>92</v>
      </c>
      <c r="D2772" s="3">
        <v>25</v>
      </c>
      <c r="E2772" s="3" t="s">
        <v>10</v>
      </c>
      <c r="F2772" s="4">
        <v>77.5</v>
      </c>
      <c r="G2772" s="4"/>
      <c r="H2772" s="4">
        <f t="shared" si="275"/>
        <v>77.5</v>
      </c>
    </row>
    <row r="2773" ht="14.25" spans="1:8">
      <c r="A2773" s="3" t="str">
        <f>"11801209226"</f>
        <v>11801209226</v>
      </c>
      <c r="B2773" s="3">
        <v>2</v>
      </c>
      <c r="C2773" s="3">
        <v>92</v>
      </c>
      <c r="D2773" s="3">
        <v>26</v>
      </c>
      <c r="E2773" s="3" t="s">
        <v>10</v>
      </c>
      <c r="F2773" s="4">
        <v>67</v>
      </c>
      <c r="G2773" s="4"/>
      <c r="H2773" s="4">
        <f t="shared" si="275"/>
        <v>67</v>
      </c>
    </row>
    <row r="2774" ht="14.25" spans="1:8">
      <c r="A2774" s="3" t="str">
        <f>"11802209227"</f>
        <v>11802209227</v>
      </c>
      <c r="B2774" s="3">
        <v>2</v>
      </c>
      <c r="C2774" s="3">
        <v>92</v>
      </c>
      <c r="D2774" s="3">
        <v>27</v>
      </c>
      <c r="E2774" s="3" t="s">
        <v>10</v>
      </c>
      <c r="F2774" s="4">
        <v>68</v>
      </c>
      <c r="G2774" s="4"/>
      <c r="H2774" s="4">
        <f t="shared" si="275"/>
        <v>68</v>
      </c>
    </row>
    <row r="2775" ht="14.25" spans="1:8">
      <c r="A2775" s="3" t="str">
        <f>"11802209228"</f>
        <v>11802209228</v>
      </c>
      <c r="B2775" s="3">
        <v>2</v>
      </c>
      <c r="C2775" s="3">
        <v>92</v>
      </c>
      <c r="D2775" s="3">
        <v>28</v>
      </c>
      <c r="E2775" s="3" t="s">
        <v>10</v>
      </c>
      <c r="F2775" s="4">
        <v>81</v>
      </c>
      <c r="G2775" s="4"/>
      <c r="H2775" s="4">
        <f t="shared" si="275"/>
        <v>81</v>
      </c>
    </row>
    <row r="2776" ht="14.25" spans="1:8">
      <c r="A2776" s="3" t="str">
        <f>"11802209229"</f>
        <v>11802209229</v>
      </c>
      <c r="B2776" s="3">
        <v>2</v>
      </c>
      <c r="C2776" s="3">
        <v>92</v>
      </c>
      <c r="D2776" s="3">
        <v>29</v>
      </c>
      <c r="E2776" s="3" t="s">
        <v>10</v>
      </c>
      <c r="F2776" s="4">
        <v>57</v>
      </c>
      <c r="G2776" s="4"/>
      <c r="H2776" s="4">
        <f t="shared" si="275"/>
        <v>57</v>
      </c>
    </row>
    <row r="2777" ht="14.25" spans="1:8">
      <c r="A2777" s="3" t="str">
        <f>"11802209230"</f>
        <v>11802209230</v>
      </c>
      <c r="B2777" s="3">
        <v>2</v>
      </c>
      <c r="C2777" s="3">
        <v>92</v>
      </c>
      <c r="D2777" s="3">
        <v>30</v>
      </c>
      <c r="E2777" s="3" t="s">
        <v>10</v>
      </c>
      <c r="F2777" s="4">
        <v>73</v>
      </c>
      <c r="G2777" s="4"/>
      <c r="H2777" s="4">
        <f t="shared" si="275"/>
        <v>73</v>
      </c>
    </row>
    <row r="2778" ht="14.25" spans="1:8">
      <c r="A2778" s="3" t="str">
        <f>"11802209301"</f>
        <v>11802209301</v>
      </c>
      <c r="B2778" s="3">
        <v>2</v>
      </c>
      <c r="C2778" s="3">
        <v>93</v>
      </c>
      <c r="D2778" s="3">
        <v>1</v>
      </c>
      <c r="E2778" s="3" t="s">
        <v>10</v>
      </c>
      <c r="F2778" s="4">
        <v>69</v>
      </c>
      <c r="G2778" s="4"/>
      <c r="H2778" s="4">
        <f t="shared" si="275"/>
        <v>69</v>
      </c>
    </row>
    <row r="2779" ht="14.25" spans="1:8">
      <c r="A2779" s="3" t="str">
        <f>"11802209302"</f>
        <v>11802209302</v>
      </c>
      <c r="B2779" s="3">
        <v>2</v>
      </c>
      <c r="C2779" s="3">
        <v>93</v>
      </c>
      <c r="D2779" s="3">
        <v>2</v>
      </c>
      <c r="E2779" s="3" t="s">
        <v>10</v>
      </c>
      <c r="F2779" s="4">
        <v>73</v>
      </c>
      <c r="G2779" s="4"/>
      <c r="H2779" s="4">
        <f t="shared" si="275"/>
        <v>73</v>
      </c>
    </row>
    <row r="2780" ht="14.25" spans="1:8">
      <c r="A2780" s="3" t="str">
        <f>"11802209303"</f>
        <v>11802209303</v>
      </c>
      <c r="B2780" s="3">
        <v>2</v>
      </c>
      <c r="C2780" s="3">
        <v>93</v>
      </c>
      <c r="D2780" s="3">
        <v>3</v>
      </c>
      <c r="E2780" s="3" t="s">
        <v>10</v>
      </c>
      <c r="F2780" s="4">
        <v>63.5</v>
      </c>
      <c r="G2780" s="4"/>
      <c r="H2780" s="4">
        <f t="shared" si="275"/>
        <v>63.5</v>
      </c>
    </row>
    <row r="2781" ht="14.25" spans="1:8">
      <c r="A2781" s="3" t="str">
        <f>"11802209304"</f>
        <v>11802209304</v>
      </c>
      <c r="B2781" s="3">
        <v>2</v>
      </c>
      <c r="C2781" s="3">
        <v>93</v>
      </c>
      <c r="D2781" s="3">
        <v>4</v>
      </c>
      <c r="E2781" s="3" t="s">
        <v>10</v>
      </c>
      <c r="F2781" s="4">
        <v>63.5</v>
      </c>
      <c r="G2781" s="4"/>
      <c r="H2781" s="4">
        <f t="shared" si="275"/>
        <v>63.5</v>
      </c>
    </row>
    <row r="2782" ht="14.25" spans="1:8">
      <c r="A2782" s="3" t="str">
        <f>"11802209305"</f>
        <v>11802209305</v>
      </c>
      <c r="B2782" s="3">
        <v>2</v>
      </c>
      <c r="C2782" s="3">
        <v>93</v>
      </c>
      <c r="D2782" s="3">
        <v>5</v>
      </c>
      <c r="E2782" s="3" t="s">
        <v>10</v>
      </c>
      <c r="F2782" s="4">
        <v>87.5</v>
      </c>
      <c r="G2782" s="4"/>
      <c r="H2782" s="4">
        <f t="shared" si="275"/>
        <v>87.5</v>
      </c>
    </row>
    <row r="2783" ht="14.25" spans="1:8">
      <c r="A2783" s="3" t="str">
        <f>"11802209306"</f>
        <v>11802209306</v>
      </c>
      <c r="B2783" s="3">
        <v>2</v>
      </c>
      <c r="C2783" s="3">
        <v>93</v>
      </c>
      <c r="D2783" s="3">
        <v>6</v>
      </c>
      <c r="E2783" s="3" t="s">
        <v>10</v>
      </c>
      <c r="F2783" s="4">
        <v>76.5</v>
      </c>
      <c r="G2783" s="4"/>
      <c r="H2783" s="4">
        <f t="shared" si="275"/>
        <v>76.5</v>
      </c>
    </row>
    <row r="2784" ht="14.25" spans="1:8">
      <c r="A2784" s="3" t="str">
        <f>"11802209307"</f>
        <v>11802209307</v>
      </c>
      <c r="B2784" s="3">
        <v>2</v>
      </c>
      <c r="C2784" s="3">
        <v>93</v>
      </c>
      <c r="D2784" s="3">
        <v>7</v>
      </c>
      <c r="E2784" s="3" t="s">
        <v>10</v>
      </c>
      <c r="F2784" s="4">
        <v>51.5</v>
      </c>
      <c r="G2784" s="4"/>
      <c r="H2784" s="4">
        <f t="shared" si="275"/>
        <v>51.5</v>
      </c>
    </row>
    <row r="2785" ht="14.25" spans="1:8">
      <c r="A2785" s="3" t="str">
        <f>"11802209308"</f>
        <v>11802209308</v>
      </c>
      <c r="B2785" s="3">
        <v>2</v>
      </c>
      <c r="C2785" s="3">
        <v>93</v>
      </c>
      <c r="D2785" s="3">
        <v>8</v>
      </c>
      <c r="E2785" s="3" t="s">
        <v>10</v>
      </c>
      <c r="F2785" s="4">
        <v>49</v>
      </c>
      <c r="G2785" s="4"/>
      <c r="H2785" s="4">
        <f t="shared" si="275"/>
        <v>49</v>
      </c>
    </row>
    <row r="2786" ht="14.25" spans="1:8">
      <c r="A2786" s="3" t="str">
        <f>"11802209309"</f>
        <v>11802209309</v>
      </c>
      <c r="B2786" s="3">
        <v>2</v>
      </c>
      <c r="C2786" s="3">
        <v>93</v>
      </c>
      <c r="D2786" s="3">
        <v>9</v>
      </c>
      <c r="E2786" s="3" t="s">
        <v>10</v>
      </c>
      <c r="F2786" s="3">
        <v>0</v>
      </c>
      <c r="G2786" s="4"/>
      <c r="H2786" s="3">
        <v>0</v>
      </c>
    </row>
    <row r="2787" ht="14.25" spans="1:8">
      <c r="A2787" s="3" t="str">
        <f>"11802209310"</f>
        <v>11802209310</v>
      </c>
      <c r="B2787" s="3">
        <v>2</v>
      </c>
      <c r="C2787" s="3">
        <v>93</v>
      </c>
      <c r="D2787" s="3">
        <v>10</v>
      </c>
      <c r="E2787" s="3" t="s">
        <v>10</v>
      </c>
      <c r="F2787" s="4">
        <v>83</v>
      </c>
      <c r="G2787" s="4"/>
      <c r="H2787" s="4">
        <f t="shared" ref="H2787:H2791" si="276">F2787+G2787</f>
        <v>83</v>
      </c>
    </row>
    <row r="2788" ht="14.25" spans="1:8">
      <c r="A2788" s="3" t="str">
        <f>"11802209311"</f>
        <v>11802209311</v>
      </c>
      <c r="B2788" s="3">
        <v>2</v>
      </c>
      <c r="C2788" s="3">
        <v>93</v>
      </c>
      <c r="D2788" s="3">
        <v>11</v>
      </c>
      <c r="E2788" s="3" t="s">
        <v>10</v>
      </c>
      <c r="F2788" s="4">
        <v>70</v>
      </c>
      <c r="G2788" s="4"/>
      <c r="H2788" s="4">
        <f t="shared" si="276"/>
        <v>70</v>
      </c>
    </row>
    <row r="2789" ht="14.25" spans="1:8">
      <c r="A2789" s="3" t="str">
        <f>"11802209312"</f>
        <v>11802209312</v>
      </c>
      <c r="B2789" s="3">
        <v>2</v>
      </c>
      <c r="C2789" s="3">
        <v>93</v>
      </c>
      <c r="D2789" s="3">
        <v>12</v>
      </c>
      <c r="E2789" s="3" t="s">
        <v>10</v>
      </c>
      <c r="F2789" s="4">
        <v>79.5</v>
      </c>
      <c r="G2789" s="4"/>
      <c r="H2789" s="4">
        <f t="shared" si="276"/>
        <v>79.5</v>
      </c>
    </row>
    <row r="2790" ht="14.25" spans="1:8">
      <c r="A2790" s="3" t="str">
        <f>"11802209313"</f>
        <v>11802209313</v>
      </c>
      <c r="B2790" s="3">
        <v>2</v>
      </c>
      <c r="C2790" s="3">
        <v>93</v>
      </c>
      <c r="D2790" s="3">
        <v>13</v>
      </c>
      <c r="E2790" s="3" t="s">
        <v>10</v>
      </c>
      <c r="F2790" s="4">
        <v>78</v>
      </c>
      <c r="G2790" s="4"/>
      <c r="H2790" s="4">
        <f t="shared" si="276"/>
        <v>78</v>
      </c>
    </row>
    <row r="2791" ht="14.25" spans="1:8">
      <c r="A2791" s="3" t="str">
        <f>"11802209314"</f>
        <v>11802209314</v>
      </c>
      <c r="B2791" s="3">
        <v>2</v>
      </c>
      <c r="C2791" s="3">
        <v>93</v>
      </c>
      <c r="D2791" s="3">
        <v>14</v>
      </c>
      <c r="E2791" s="3" t="s">
        <v>10</v>
      </c>
      <c r="F2791" s="4">
        <v>77.5</v>
      </c>
      <c r="G2791" s="4"/>
      <c r="H2791" s="4">
        <f t="shared" si="276"/>
        <v>77.5</v>
      </c>
    </row>
    <row r="2792" ht="14.25" spans="1:8">
      <c r="A2792" s="3" t="str">
        <f>"11802209315"</f>
        <v>11802209315</v>
      </c>
      <c r="B2792" s="3">
        <v>2</v>
      </c>
      <c r="C2792" s="3">
        <v>93</v>
      </c>
      <c r="D2792" s="3">
        <v>15</v>
      </c>
      <c r="E2792" s="3" t="s">
        <v>10</v>
      </c>
      <c r="F2792" s="3">
        <v>0</v>
      </c>
      <c r="G2792" s="4"/>
      <c r="H2792" s="3">
        <v>0</v>
      </c>
    </row>
    <row r="2793" ht="14.25" spans="1:8">
      <c r="A2793" s="3" t="str">
        <f>"11802209316"</f>
        <v>11802209316</v>
      </c>
      <c r="B2793" s="3">
        <v>2</v>
      </c>
      <c r="C2793" s="3">
        <v>93</v>
      </c>
      <c r="D2793" s="3">
        <v>16</v>
      </c>
      <c r="E2793" s="3" t="s">
        <v>10</v>
      </c>
      <c r="F2793" s="4">
        <v>88</v>
      </c>
      <c r="G2793" s="4"/>
      <c r="H2793" s="4">
        <f t="shared" ref="H2793:H2797" si="277">F2793+G2793</f>
        <v>88</v>
      </c>
    </row>
    <row r="2794" ht="14.25" spans="1:8">
      <c r="A2794" s="3" t="str">
        <f>"11802209317"</f>
        <v>11802209317</v>
      </c>
      <c r="B2794" s="3">
        <v>2</v>
      </c>
      <c r="C2794" s="3">
        <v>93</v>
      </c>
      <c r="D2794" s="3">
        <v>17</v>
      </c>
      <c r="E2794" s="3" t="s">
        <v>10</v>
      </c>
      <c r="F2794" s="4">
        <v>88</v>
      </c>
      <c r="G2794" s="4"/>
      <c r="H2794" s="4">
        <f t="shared" si="277"/>
        <v>88</v>
      </c>
    </row>
    <row r="2795" ht="14.25" spans="1:8">
      <c r="A2795" s="3" t="str">
        <f>"11802209318"</f>
        <v>11802209318</v>
      </c>
      <c r="B2795" s="3">
        <v>2</v>
      </c>
      <c r="C2795" s="3">
        <v>93</v>
      </c>
      <c r="D2795" s="3">
        <v>18</v>
      </c>
      <c r="E2795" s="3" t="s">
        <v>10</v>
      </c>
      <c r="F2795" s="4">
        <v>63</v>
      </c>
      <c r="G2795" s="4"/>
      <c r="H2795" s="4">
        <f t="shared" si="277"/>
        <v>63</v>
      </c>
    </row>
    <row r="2796" ht="14.25" spans="1:8">
      <c r="A2796" s="3" t="str">
        <f>"11802209319"</f>
        <v>11802209319</v>
      </c>
      <c r="B2796" s="3">
        <v>2</v>
      </c>
      <c r="C2796" s="3">
        <v>93</v>
      </c>
      <c r="D2796" s="3">
        <v>19</v>
      </c>
      <c r="E2796" s="3" t="s">
        <v>10</v>
      </c>
      <c r="F2796" s="4">
        <v>70</v>
      </c>
      <c r="G2796" s="4"/>
      <c r="H2796" s="4">
        <f t="shared" si="277"/>
        <v>70</v>
      </c>
    </row>
    <row r="2797" ht="14.25" spans="1:8">
      <c r="A2797" s="3" t="str">
        <f>"11802209320"</f>
        <v>11802209320</v>
      </c>
      <c r="B2797" s="3">
        <v>2</v>
      </c>
      <c r="C2797" s="3">
        <v>93</v>
      </c>
      <c r="D2797" s="3">
        <v>20</v>
      </c>
      <c r="E2797" s="3" t="s">
        <v>10</v>
      </c>
      <c r="F2797" s="4">
        <v>58.5</v>
      </c>
      <c r="G2797" s="4"/>
      <c r="H2797" s="4">
        <f t="shared" si="277"/>
        <v>58.5</v>
      </c>
    </row>
    <row r="2798" ht="14.25" spans="1:8">
      <c r="A2798" s="3" t="str">
        <f>"11802209321"</f>
        <v>11802209321</v>
      </c>
      <c r="B2798" s="3">
        <v>2</v>
      </c>
      <c r="C2798" s="3">
        <v>93</v>
      </c>
      <c r="D2798" s="3">
        <v>21</v>
      </c>
      <c r="E2798" s="3" t="s">
        <v>10</v>
      </c>
      <c r="F2798" s="3">
        <v>0</v>
      </c>
      <c r="G2798" s="4"/>
      <c r="H2798" s="3">
        <v>0</v>
      </c>
    </row>
    <row r="2799" ht="14.25" spans="1:8">
      <c r="A2799" s="3" t="str">
        <f>"11803209322"</f>
        <v>11803209322</v>
      </c>
      <c r="B2799" s="3">
        <v>2</v>
      </c>
      <c r="C2799" s="3">
        <v>93</v>
      </c>
      <c r="D2799" s="3">
        <v>22</v>
      </c>
      <c r="E2799" s="3" t="s">
        <v>10</v>
      </c>
      <c r="F2799" s="3">
        <v>0</v>
      </c>
      <c r="G2799" s="4"/>
      <c r="H2799" s="3">
        <v>0</v>
      </c>
    </row>
    <row r="2800" ht="14.25" spans="1:8">
      <c r="A2800" s="3" t="str">
        <f>"11803209323"</f>
        <v>11803209323</v>
      </c>
      <c r="B2800" s="3">
        <v>2</v>
      </c>
      <c r="C2800" s="3">
        <v>93</v>
      </c>
      <c r="D2800" s="3">
        <v>23</v>
      </c>
      <c r="E2800" s="3" t="s">
        <v>10</v>
      </c>
      <c r="F2800" s="4">
        <v>65.5</v>
      </c>
      <c r="G2800" s="4"/>
      <c r="H2800" s="4">
        <f t="shared" ref="H2800:H2814" si="278">F2800+G2800</f>
        <v>65.5</v>
      </c>
    </row>
    <row r="2801" ht="14.25" spans="1:8">
      <c r="A2801" s="3" t="str">
        <f>"11803209324"</f>
        <v>11803209324</v>
      </c>
      <c r="B2801" s="3">
        <v>2</v>
      </c>
      <c r="C2801" s="3">
        <v>93</v>
      </c>
      <c r="D2801" s="3">
        <v>24</v>
      </c>
      <c r="E2801" s="3" t="s">
        <v>10</v>
      </c>
      <c r="F2801" s="4">
        <v>66</v>
      </c>
      <c r="G2801" s="4"/>
      <c r="H2801" s="4">
        <f t="shared" si="278"/>
        <v>66</v>
      </c>
    </row>
    <row r="2802" ht="14.25" spans="1:8">
      <c r="A2802" s="3" t="str">
        <f>"11803209325"</f>
        <v>11803209325</v>
      </c>
      <c r="B2802" s="3">
        <v>2</v>
      </c>
      <c r="C2802" s="3">
        <v>93</v>
      </c>
      <c r="D2802" s="3">
        <v>25</v>
      </c>
      <c r="E2802" s="3" t="s">
        <v>10</v>
      </c>
      <c r="F2802" s="4">
        <v>72</v>
      </c>
      <c r="G2802" s="4"/>
      <c r="H2802" s="4">
        <f t="shared" si="278"/>
        <v>72</v>
      </c>
    </row>
    <row r="2803" ht="14.25" spans="1:8">
      <c r="A2803" s="3" t="str">
        <f>"11803209326"</f>
        <v>11803209326</v>
      </c>
      <c r="B2803" s="3">
        <v>2</v>
      </c>
      <c r="C2803" s="3">
        <v>93</v>
      </c>
      <c r="D2803" s="3">
        <v>26</v>
      </c>
      <c r="E2803" s="3" t="s">
        <v>10</v>
      </c>
      <c r="F2803" s="4">
        <v>67.5</v>
      </c>
      <c r="G2803" s="4"/>
      <c r="H2803" s="4">
        <f t="shared" si="278"/>
        <v>67.5</v>
      </c>
    </row>
    <row r="2804" ht="14.25" spans="1:8">
      <c r="A2804" s="3" t="str">
        <f>"11803209327"</f>
        <v>11803209327</v>
      </c>
      <c r="B2804" s="3">
        <v>2</v>
      </c>
      <c r="C2804" s="3">
        <v>93</v>
      </c>
      <c r="D2804" s="3">
        <v>27</v>
      </c>
      <c r="E2804" s="3" t="s">
        <v>10</v>
      </c>
      <c r="F2804" s="4">
        <v>84</v>
      </c>
      <c r="G2804" s="4"/>
      <c r="H2804" s="4">
        <f t="shared" si="278"/>
        <v>84</v>
      </c>
    </row>
    <row r="2805" ht="14.25" spans="1:8">
      <c r="A2805" s="3" t="str">
        <f>"11803209328"</f>
        <v>11803209328</v>
      </c>
      <c r="B2805" s="3">
        <v>2</v>
      </c>
      <c r="C2805" s="3">
        <v>93</v>
      </c>
      <c r="D2805" s="3">
        <v>28</v>
      </c>
      <c r="E2805" s="3" t="s">
        <v>10</v>
      </c>
      <c r="F2805" s="4">
        <v>85.5</v>
      </c>
      <c r="G2805" s="4"/>
      <c r="H2805" s="4">
        <f t="shared" si="278"/>
        <v>85.5</v>
      </c>
    </row>
    <row r="2806" ht="14.25" spans="1:8">
      <c r="A2806" s="3" t="str">
        <f>"11803209329"</f>
        <v>11803209329</v>
      </c>
      <c r="B2806" s="3">
        <v>2</v>
      </c>
      <c r="C2806" s="3">
        <v>93</v>
      </c>
      <c r="D2806" s="3">
        <v>29</v>
      </c>
      <c r="E2806" s="3" t="s">
        <v>10</v>
      </c>
      <c r="F2806" s="4">
        <v>63</v>
      </c>
      <c r="G2806" s="4"/>
      <c r="H2806" s="4">
        <f t="shared" si="278"/>
        <v>63</v>
      </c>
    </row>
    <row r="2807" ht="14.25" spans="1:8">
      <c r="A2807" s="3" t="str">
        <f>"11803209330"</f>
        <v>11803209330</v>
      </c>
      <c r="B2807" s="3">
        <v>2</v>
      </c>
      <c r="C2807" s="3">
        <v>93</v>
      </c>
      <c r="D2807" s="3">
        <v>30</v>
      </c>
      <c r="E2807" s="3" t="s">
        <v>10</v>
      </c>
      <c r="F2807" s="4">
        <v>60.5</v>
      </c>
      <c r="G2807" s="4"/>
      <c r="H2807" s="4">
        <f t="shared" si="278"/>
        <v>60.5</v>
      </c>
    </row>
    <row r="2808" ht="14.25" spans="1:8">
      <c r="A2808" s="3" t="str">
        <f>"11803209401"</f>
        <v>11803209401</v>
      </c>
      <c r="B2808" s="3">
        <v>2</v>
      </c>
      <c r="C2808" s="3">
        <v>94</v>
      </c>
      <c r="D2808" s="3">
        <v>1</v>
      </c>
      <c r="E2808" s="3" t="s">
        <v>10</v>
      </c>
      <c r="F2808" s="4">
        <v>80</v>
      </c>
      <c r="G2808" s="4"/>
      <c r="H2808" s="4">
        <f t="shared" si="278"/>
        <v>80</v>
      </c>
    </row>
    <row r="2809" ht="14.25" spans="1:8">
      <c r="A2809" s="3" t="str">
        <f>"11803209402"</f>
        <v>11803209402</v>
      </c>
      <c r="B2809" s="3">
        <v>2</v>
      </c>
      <c r="C2809" s="3">
        <v>94</v>
      </c>
      <c r="D2809" s="3">
        <v>2</v>
      </c>
      <c r="E2809" s="3" t="s">
        <v>10</v>
      </c>
      <c r="F2809" s="4">
        <v>82.5</v>
      </c>
      <c r="G2809" s="4"/>
      <c r="H2809" s="4">
        <f t="shared" si="278"/>
        <v>82.5</v>
      </c>
    </row>
    <row r="2810" ht="14.25" spans="1:8">
      <c r="A2810" s="3" t="str">
        <f>"11803209403"</f>
        <v>11803209403</v>
      </c>
      <c r="B2810" s="3">
        <v>2</v>
      </c>
      <c r="C2810" s="3">
        <v>94</v>
      </c>
      <c r="D2810" s="3">
        <v>3</v>
      </c>
      <c r="E2810" s="3" t="s">
        <v>10</v>
      </c>
      <c r="F2810" s="4">
        <v>85</v>
      </c>
      <c r="G2810" s="4"/>
      <c r="H2810" s="4">
        <f t="shared" si="278"/>
        <v>85</v>
      </c>
    </row>
    <row r="2811" ht="14.25" spans="1:8">
      <c r="A2811" s="3" t="str">
        <f>"11803209404"</f>
        <v>11803209404</v>
      </c>
      <c r="B2811" s="3">
        <v>2</v>
      </c>
      <c r="C2811" s="3">
        <v>94</v>
      </c>
      <c r="D2811" s="3">
        <v>4</v>
      </c>
      <c r="E2811" s="3" t="s">
        <v>10</v>
      </c>
      <c r="F2811" s="4">
        <v>72.5</v>
      </c>
      <c r="G2811" s="4"/>
      <c r="H2811" s="4">
        <f t="shared" si="278"/>
        <v>72.5</v>
      </c>
    </row>
    <row r="2812" ht="14.25" spans="1:8">
      <c r="A2812" s="3" t="str">
        <f>"11803209405"</f>
        <v>11803209405</v>
      </c>
      <c r="B2812" s="3">
        <v>2</v>
      </c>
      <c r="C2812" s="3">
        <v>94</v>
      </c>
      <c r="D2812" s="3">
        <v>5</v>
      </c>
      <c r="E2812" s="3" t="s">
        <v>10</v>
      </c>
      <c r="F2812" s="4">
        <v>83</v>
      </c>
      <c r="G2812" s="4"/>
      <c r="H2812" s="4">
        <f t="shared" si="278"/>
        <v>83</v>
      </c>
    </row>
    <row r="2813" ht="14.25" spans="1:8">
      <c r="A2813" s="3" t="str">
        <f>"11803209406"</f>
        <v>11803209406</v>
      </c>
      <c r="B2813" s="3">
        <v>2</v>
      </c>
      <c r="C2813" s="3">
        <v>94</v>
      </c>
      <c r="D2813" s="3">
        <v>6</v>
      </c>
      <c r="E2813" s="3" t="s">
        <v>10</v>
      </c>
      <c r="F2813" s="4">
        <v>64.5</v>
      </c>
      <c r="G2813" s="4"/>
      <c r="H2813" s="4">
        <f t="shared" si="278"/>
        <v>64.5</v>
      </c>
    </row>
    <row r="2814" ht="14.25" spans="1:8">
      <c r="A2814" s="3" t="str">
        <f>"11803209407"</f>
        <v>11803209407</v>
      </c>
      <c r="B2814" s="3">
        <v>2</v>
      </c>
      <c r="C2814" s="3">
        <v>94</v>
      </c>
      <c r="D2814" s="3">
        <v>7</v>
      </c>
      <c r="E2814" s="3" t="s">
        <v>10</v>
      </c>
      <c r="F2814" s="4">
        <v>84.5</v>
      </c>
      <c r="G2814" s="4"/>
      <c r="H2814" s="4">
        <f t="shared" si="278"/>
        <v>84.5</v>
      </c>
    </row>
    <row r="2815" ht="14.25" spans="1:8">
      <c r="A2815" s="3" t="str">
        <f>"11803209408"</f>
        <v>11803209408</v>
      </c>
      <c r="B2815" s="3">
        <v>2</v>
      </c>
      <c r="C2815" s="3">
        <v>94</v>
      </c>
      <c r="D2815" s="3">
        <v>8</v>
      </c>
      <c r="E2815" s="3" t="s">
        <v>10</v>
      </c>
      <c r="F2815" s="3">
        <v>0</v>
      </c>
      <c r="G2815" s="4"/>
      <c r="H2815" s="3">
        <v>0</v>
      </c>
    </row>
    <row r="2816" ht="14.25" spans="1:8">
      <c r="A2816" s="3" t="str">
        <f>"11803209409"</f>
        <v>11803209409</v>
      </c>
      <c r="B2816" s="3">
        <v>2</v>
      </c>
      <c r="C2816" s="3">
        <v>94</v>
      </c>
      <c r="D2816" s="3">
        <v>9</v>
      </c>
      <c r="E2816" s="3" t="s">
        <v>10</v>
      </c>
      <c r="F2816" s="4">
        <v>81.5</v>
      </c>
      <c r="G2816" s="4"/>
      <c r="H2816" s="4">
        <f t="shared" ref="H2816:H2818" si="279">F2816+G2816</f>
        <v>81.5</v>
      </c>
    </row>
    <row r="2817" ht="14.25" spans="1:8">
      <c r="A2817" s="3" t="str">
        <f>"11803209410"</f>
        <v>11803209410</v>
      </c>
      <c r="B2817" s="3">
        <v>2</v>
      </c>
      <c r="C2817" s="3">
        <v>94</v>
      </c>
      <c r="D2817" s="3">
        <v>10</v>
      </c>
      <c r="E2817" s="3" t="s">
        <v>10</v>
      </c>
      <c r="F2817" s="4">
        <v>57</v>
      </c>
      <c r="G2817" s="4"/>
      <c r="H2817" s="4">
        <f t="shared" si="279"/>
        <v>57</v>
      </c>
    </row>
    <row r="2818" ht="14.25" spans="1:8">
      <c r="A2818" s="3" t="str">
        <f>"11803209411"</f>
        <v>11803209411</v>
      </c>
      <c r="B2818" s="3">
        <v>2</v>
      </c>
      <c r="C2818" s="3">
        <v>94</v>
      </c>
      <c r="D2818" s="3">
        <v>11</v>
      </c>
      <c r="E2818" s="3" t="s">
        <v>10</v>
      </c>
      <c r="F2818" s="4">
        <v>66.5</v>
      </c>
      <c r="G2818" s="4"/>
      <c r="H2818" s="4">
        <f t="shared" si="279"/>
        <v>66.5</v>
      </c>
    </row>
    <row r="2819" ht="14.25" spans="1:8">
      <c r="A2819" s="3" t="str">
        <f>"11803209412"</f>
        <v>11803209412</v>
      </c>
      <c r="B2819" s="3">
        <v>2</v>
      </c>
      <c r="C2819" s="3">
        <v>94</v>
      </c>
      <c r="D2819" s="3">
        <v>12</v>
      </c>
      <c r="E2819" s="3" t="s">
        <v>10</v>
      </c>
      <c r="F2819" s="3">
        <v>0</v>
      </c>
      <c r="G2819" s="4"/>
      <c r="H2819" s="3">
        <v>0</v>
      </c>
    </row>
    <row r="2820" ht="14.25" spans="1:8">
      <c r="A2820" s="3" t="str">
        <f>"11803209413"</f>
        <v>11803209413</v>
      </c>
      <c r="B2820" s="3">
        <v>2</v>
      </c>
      <c r="C2820" s="3">
        <v>94</v>
      </c>
      <c r="D2820" s="3">
        <v>13</v>
      </c>
      <c r="E2820" s="3" t="s">
        <v>10</v>
      </c>
      <c r="F2820" s="4">
        <v>75.5</v>
      </c>
      <c r="G2820" s="4"/>
      <c r="H2820" s="4">
        <f t="shared" ref="H2820:H2825" si="280">F2820+G2820</f>
        <v>75.5</v>
      </c>
    </row>
    <row r="2821" ht="14.25" spans="1:8">
      <c r="A2821" s="3" t="str">
        <f>"11803209414"</f>
        <v>11803209414</v>
      </c>
      <c r="B2821" s="3">
        <v>2</v>
      </c>
      <c r="C2821" s="3">
        <v>94</v>
      </c>
      <c r="D2821" s="3">
        <v>14</v>
      </c>
      <c r="E2821" s="3" t="s">
        <v>10</v>
      </c>
      <c r="F2821" s="4">
        <v>65.5</v>
      </c>
      <c r="G2821" s="4"/>
      <c r="H2821" s="4">
        <f t="shared" si="280"/>
        <v>65.5</v>
      </c>
    </row>
    <row r="2822" ht="14.25" spans="1:8">
      <c r="A2822" s="3" t="str">
        <f>"11803209415"</f>
        <v>11803209415</v>
      </c>
      <c r="B2822" s="3">
        <v>2</v>
      </c>
      <c r="C2822" s="3">
        <v>94</v>
      </c>
      <c r="D2822" s="3">
        <v>15</v>
      </c>
      <c r="E2822" s="3" t="s">
        <v>10</v>
      </c>
      <c r="F2822" s="4">
        <v>59.5</v>
      </c>
      <c r="G2822" s="4"/>
      <c r="H2822" s="4">
        <f t="shared" si="280"/>
        <v>59.5</v>
      </c>
    </row>
    <row r="2823" ht="14.25" spans="1:8">
      <c r="A2823" s="3" t="str">
        <f>"11803209416"</f>
        <v>11803209416</v>
      </c>
      <c r="B2823" s="3">
        <v>2</v>
      </c>
      <c r="C2823" s="3">
        <v>94</v>
      </c>
      <c r="D2823" s="3">
        <v>16</v>
      </c>
      <c r="E2823" s="3" t="s">
        <v>10</v>
      </c>
      <c r="F2823" s="4">
        <v>72</v>
      </c>
      <c r="G2823" s="4"/>
      <c r="H2823" s="4">
        <f t="shared" si="280"/>
        <v>72</v>
      </c>
    </row>
    <row r="2824" ht="14.25" spans="1:8">
      <c r="A2824" s="3" t="str">
        <f>"11803209417"</f>
        <v>11803209417</v>
      </c>
      <c r="B2824" s="3">
        <v>2</v>
      </c>
      <c r="C2824" s="3">
        <v>94</v>
      </c>
      <c r="D2824" s="3">
        <v>17</v>
      </c>
      <c r="E2824" s="3" t="s">
        <v>10</v>
      </c>
      <c r="F2824" s="4">
        <v>83</v>
      </c>
      <c r="G2824" s="4"/>
      <c r="H2824" s="4">
        <f t="shared" si="280"/>
        <v>83</v>
      </c>
    </row>
    <row r="2825" ht="14.25" spans="1:8">
      <c r="A2825" s="3" t="str">
        <f>"11803209418"</f>
        <v>11803209418</v>
      </c>
      <c r="B2825" s="3">
        <v>2</v>
      </c>
      <c r="C2825" s="3">
        <v>94</v>
      </c>
      <c r="D2825" s="3">
        <v>18</v>
      </c>
      <c r="E2825" s="3" t="s">
        <v>10</v>
      </c>
      <c r="F2825" s="4">
        <v>76</v>
      </c>
      <c r="G2825" s="4"/>
      <c r="H2825" s="4">
        <f t="shared" si="280"/>
        <v>76</v>
      </c>
    </row>
    <row r="2826" ht="14.25" spans="1:8">
      <c r="A2826" s="3" t="str">
        <f>"11804209419"</f>
        <v>11804209419</v>
      </c>
      <c r="B2826" s="3">
        <v>2</v>
      </c>
      <c r="C2826" s="3">
        <v>94</v>
      </c>
      <c r="D2826" s="3">
        <v>19</v>
      </c>
      <c r="E2826" s="3" t="s">
        <v>10</v>
      </c>
      <c r="F2826" s="3">
        <v>0</v>
      </c>
      <c r="G2826" s="4"/>
      <c r="H2826" s="3">
        <v>0</v>
      </c>
    </row>
    <row r="2827" ht="14.25" spans="1:8">
      <c r="A2827" s="3" t="str">
        <f>"11804209420"</f>
        <v>11804209420</v>
      </c>
      <c r="B2827" s="3">
        <v>2</v>
      </c>
      <c r="C2827" s="3">
        <v>94</v>
      </c>
      <c r="D2827" s="3">
        <v>20</v>
      </c>
      <c r="E2827" s="3" t="s">
        <v>10</v>
      </c>
      <c r="F2827" s="4">
        <v>65.5</v>
      </c>
      <c r="G2827" s="4"/>
      <c r="H2827" s="4">
        <f t="shared" ref="H2827:H2830" si="281">F2827+G2827</f>
        <v>65.5</v>
      </c>
    </row>
    <row r="2828" ht="14.25" spans="1:8">
      <c r="A2828" s="3" t="str">
        <f>"11804209421"</f>
        <v>11804209421</v>
      </c>
      <c r="B2828" s="3">
        <v>2</v>
      </c>
      <c r="C2828" s="3">
        <v>94</v>
      </c>
      <c r="D2828" s="3">
        <v>21</v>
      </c>
      <c r="E2828" s="3" t="s">
        <v>10</v>
      </c>
      <c r="F2828" s="4">
        <v>4.5</v>
      </c>
      <c r="G2828" s="4"/>
      <c r="H2828" s="4">
        <f t="shared" si="281"/>
        <v>4.5</v>
      </c>
    </row>
    <row r="2829" ht="14.25" spans="1:8">
      <c r="A2829" s="3" t="str">
        <f>"11804209422"</f>
        <v>11804209422</v>
      </c>
      <c r="B2829" s="3">
        <v>2</v>
      </c>
      <c r="C2829" s="3">
        <v>94</v>
      </c>
      <c r="D2829" s="3">
        <v>22</v>
      </c>
      <c r="E2829" s="3" t="s">
        <v>10</v>
      </c>
      <c r="F2829" s="3">
        <v>0</v>
      </c>
      <c r="G2829" s="4"/>
      <c r="H2829" s="3">
        <v>0</v>
      </c>
    </row>
    <row r="2830" ht="14.25" spans="1:8">
      <c r="A2830" s="3" t="str">
        <f>"11804209423"</f>
        <v>11804209423</v>
      </c>
      <c r="B2830" s="3">
        <v>2</v>
      </c>
      <c r="C2830" s="3">
        <v>94</v>
      </c>
      <c r="D2830" s="3">
        <v>23</v>
      </c>
      <c r="E2830" s="3" t="s">
        <v>10</v>
      </c>
      <c r="F2830" s="4">
        <v>69.5</v>
      </c>
      <c r="G2830" s="4"/>
      <c r="H2830" s="4">
        <f t="shared" si="281"/>
        <v>69.5</v>
      </c>
    </row>
    <row r="2831" ht="14.25" spans="1:8">
      <c r="A2831" s="3" t="str">
        <f>"11804209424"</f>
        <v>11804209424</v>
      </c>
      <c r="B2831" s="3">
        <v>2</v>
      </c>
      <c r="C2831" s="3">
        <v>94</v>
      </c>
      <c r="D2831" s="3">
        <v>24</v>
      </c>
      <c r="E2831" s="3" t="s">
        <v>10</v>
      </c>
      <c r="F2831" s="3">
        <v>0</v>
      </c>
      <c r="G2831" s="4"/>
      <c r="H2831" s="3">
        <v>0</v>
      </c>
    </row>
    <row r="2832" ht="14.25" spans="1:8">
      <c r="A2832" s="3" t="str">
        <f>"11804209425"</f>
        <v>11804209425</v>
      </c>
      <c r="B2832" s="3">
        <v>2</v>
      </c>
      <c r="C2832" s="3">
        <v>94</v>
      </c>
      <c r="D2832" s="3">
        <v>25</v>
      </c>
      <c r="E2832" s="3" t="s">
        <v>10</v>
      </c>
      <c r="F2832" s="3">
        <v>0</v>
      </c>
      <c r="G2832" s="4"/>
      <c r="H2832" s="3">
        <v>0</v>
      </c>
    </row>
    <row r="2833" ht="14.25" spans="1:8">
      <c r="A2833" s="3" t="str">
        <f>"11805209426"</f>
        <v>11805209426</v>
      </c>
      <c r="B2833" s="3">
        <v>2</v>
      </c>
      <c r="C2833" s="3">
        <v>94</v>
      </c>
      <c r="D2833" s="3">
        <v>26</v>
      </c>
      <c r="E2833" s="3" t="s">
        <v>10</v>
      </c>
      <c r="F2833" s="3">
        <v>0</v>
      </c>
      <c r="G2833" s="4"/>
      <c r="H2833" s="3">
        <v>0</v>
      </c>
    </row>
    <row r="2834" ht="14.25" spans="1:8">
      <c r="A2834" s="3" t="str">
        <f>"11805209427"</f>
        <v>11805209427</v>
      </c>
      <c r="B2834" s="3">
        <v>2</v>
      </c>
      <c r="C2834" s="3">
        <v>94</v>
      </c>
      <c r="D2834" s="3">
        <v>27</v>
      </c>
      <c r="E2834" s="3" t="s">
        <v>10</v>
      </c>
      <c r="F2834" s="4">
        <v>85</v>
      </c>
      <c r="G2834" s="4"/>
      <c r="H2834" s="4">
        <f t="shared" ref="H2834:H2836" si="282">F2834+G2834</f>
        <v>85</v>
      </c>
    </row>
    <row r="2835" ht="14.25" spans="1:8">
      <c r="A2835" s="3" t="str">
        <f>"11805209428"</f>
        <v>11805209428</v>
      </c>
      <c r="B2835" s="3">
        <v>2</v>
      </c>
      <c r="C2835" s="3">
        <v>94</v>
      </c>
      <c r="D2835" s="3">
        <v>28</v>
      </c>
      <c r="E2835" s="3" t="s">
        <v>10</v>
      </c>
      <c r="F2835" s="4">
        <v>75</v>
      </c>
      <c r="G2835" s="4"/>
      <c r="H2835" s="4">
        <f t="shared" si="282"/>
        <v>75</v>
      </c>
    </row>
    <row r="2836" ht="14.25" spans="1:8">
      <c r="A2836" s="3" t="str">
        <f>"11805209429"</f>
        <v>11805209429</v>
      </c>
      <c r="B2836" s="3">
        <v>2</v>
      </c>
      <c r="C2836" s="3">
        <v>94</v>
      </c>
      <c r="D2836" s="3">
        <v>29</v>
      </c>
      <c r="E2836" s="3" t="s">
        <v>10</v>
      </c>
      <c r="F2836" s="4">
        <v>58</v>
      </c>
      <c r="G2836" s="4"/>
      <c r="H2836" s="4">
        <f t="shared" si="282"/>
        <v>58</v>
      </c>
    </row>
    <row r="2837" ht="14.25" spans="1:8">
      <c r="A2837" s="3" t="str">
        <f>"11805209430"</f>
        <v>11805209430</v>
      </c>
      <c r="B2837" s="3">
        <v>2</v>
      </c>
      <c r="C2837" s="3">
        <v>94</v>
      </c>
      <c r="D2837" s="3">
        <v>30</v>
      </c>
      <c r="E2837" s="3" t="s">
        <v>10</v>
      </c>
      <c r="F2837" s="3">
        <v>0</v>
      </c>
      <c r="G2837" s="4"/>
      <c r="H2837" s="3">
        <v>0</v>
      </c>
    </row>
    <row r="2838" ht="14.25" spans="1:8">
      <c r="A2838" s="3" t="str">
        <f>"11805209501"</f>
        <v>11805209501</v>
      </c>
      <c r="B2838" s="3">
        <v>2</v>
      </c>
      <c r="C2838" s="3">
        <v>95</v>
      </c>
      <c r="D2838" s="3">
        <v>1</v>
      </c>
      <c r="E2838" s="3" t="s">
        <v>10</v>
      </c>
      <c r="F2838" s="4">
        <v>72</v>
      </c>
      <c r="G2838" s="4"/>
      <c r="H2838" s="4">
        <f t="shared" ref="H2838:H2840" si="283">F2838+G2838</f>
        <v>72</v>
      </c>
    </row>
    <row r="2839" ht="14.25" spans="1:8">
      <c r="A2839" s="3" t="str">
        <f>"11805209502"</f>
        <v>11805209502</v>
      </c>
      <c r="B2839" s="3">
        <v>2</v>
      </c>
      <c r="C2839" s="3">
        <v>95</v>
      </c>
      <c r="D2839" s="3">
        <v>2</v>
      </c>
      <c r="E2839" s="3" t="s">
        <v>10</v>
      </c>
      <c r="F2839" s="4">
        <v>84.5</v>
      </c>
      <c r="G2839" s="4"/>
      <c r="H2839" s="4">
        <f t="shared" si="283"/>
        <v>84.5</v>
      </c>
    </row>
    <row r="2840" ht="14.25" spans="1:8">
      <c r="A2840" s="3" t="str">
        <f>"11805209503"</f>
        <v>11805209503</v>
      </c>
      <c r="B2840" s="3">
        <v>2</v>
      </c>
      <c r="C2840" s="3">
        <v>95</v>
      </c>
      <c r="D2840" s="3">
        <v>3</v>
      </c>
      <c r="E2840" s="3" t="s">
        <v>10</v>
      </c>
      <c r="F2840" s="4">
        <v>87.5</v>
      </c>
      <c r="G2840" s="4"/>
      <c r="H2840" s="4">
        <f t="shared" si="283"/>
        <v>87.5</v>
      </c>
    </row>
    <row r="2841" ht="14.25" spans="1:8">
      <c r="A2841" s="3" t="str">
        <f>"11806209504"</f>
        <v>11806209504</v>
      </c>
      <c r="B2841" s="3">
        <v>2</v>
      </c>
      <c r="C2841" s="3">
        <v>95</v>
      </c>
      <c r="D2841" s="3">
        <v>4</v>
      </c>
      <c r="E2841" s="3" t="s">
        <v>10</v>
      </c>
      <c r="F2841" s="3">
        <v>0</v>
      </c>
      <c r="G2841" s="4"/>
      <c r="H2841" s="3">
        <v>0</v>
      </c>
    </row>
    <row r="2842" ht="14.25" spans="1:8">
      <c r="A2842" s="3" t="str">
        <f>"11806209505"</f>
        <v>11806209505</v>
      </c>
      <c r="B2842" s="3">
        <v>2</v>
      </c>
      <c r="C2842" s="3">
        <v>95</v>
      </c>
      <c r="D2842" s="3">
        <v>5</v>
      </c>
      <c r="E2842" s="3" t="s">
        <v>10</v>
      </c>
      <c r="F2842" s="4">
        <v>80</v>
      </c>
      <c r="G2842" s="4"/>
      <c r="H2842" s="4">
        <f t="shared" ref="H2842:H2848" si="284">F2842+G2842</f>
        <v>80</v>
      </c>
    </row>
    <row r="2843" ht="14.25" spans="1:8">
      <c r="A2843" s="3" t="str">
        <f>"11806209506"</f>
        <v>11806209506</v>
      </c>
      <c r="B2843" s="3">
        <v>2</v>
      </c>
      <c r="C2843" s="3">
        <v>95</v>
      </c>
      <c r="D2843" s="3">
        <v>6</v>
      </c>
      <c r="E2843" s="3" t="s">
        <v>10</v>
      </c>
      <c r="F2843" s="4">
        <v>62</v>
      </c>
      <c r="G2843" s="4"/>
      <c r="H2843" s="4">
        <f t="shared" si="284"/>
        <v>62</v>
      </c>
    </row>
    <row r="2844" ht="14.25" spans="1:8">
      <c r="A2844" s="3" t="str">
        <f>"11806209507"</f>
        <v>11806209507</v>
      </c>
      <c r="B2844" s="3">
        <v>2</v>
      </c>
      <c r="C2844" s="3">
        <v>95</v>
      </c>
      <c r="D2844" s="3">
        <v>7</v>
      </c>
      <c r="E2844" s="3" t="s">
        <v>10</v>
      </c>
      <c r="F2844" s="4">
        <v>81.5</v>
      </c>
      <c r="G2844" s="4"/>
      <c r="H2844" s="4">
        <f t="shared" si="284"/>
        <v>81.5</v>
      </c>
    </row>
    <row r="2845" ht="14.25" spans="1:8">
      <c r="A2845" s="3" t="str">
        <f>"11806209508"</f>
        <v>11806209508</v>
      </c>
      <c r="B2845" s="3">
        <v>2</v>
      </c>
      <c r="C2845" s="3">
        <v>95</v>
      </c>
      <c r="D2845" s="3">
        <v>8</v>
      </c>
      <c r="E2845" s="3" t="s">
        <v>10</v>
      </c>
      <c r="F2845" s="4">
        <v>69</v>
      </c>
      <c r="G2845" s="4"/>
      <c r="H2845" s="4">
        <f t="shared" si="284"/>
        <v>69</v>
      </c>
    </row>
    <row r="2846" ht="14.25" spans="1:8">
      <c r="A2846" s="3" t="str">
        <f>"11806209509"</f>
        <v>11806209509</v>
      </c>
      <c r="B2846" s="3">
        <v>2</v>
      </c>
      <c r="C2846" s="3">
        <v>95</v>
      </c>
      <c r="D2846" s="3">
        <v>9</v>
      </c>
      <c r="E2846" s="3" t="s">
        <v>10</v>
      </c>
      <c r="F2846" s="4">
        <v>78</v>
      </c>
      <c r="G2846" s="4"/>
      <c r="H2846" s="4">
        <f t="shared" si="284"/>
        <v>78</v>
      </c>
    </row>
    <row r="2847" ht="14.25" spans="1:8">
      <c r="A2847" s="3" t="str">
        <f>"11806209510"</f>
        <v>11806209510</v>
      </c>
      <c r="B2847" s="3">
        <v>2</v>
      </c>
      <c r="C2847" s="3">
        <v>95</v>
      </c>
      <c r="D2847" s="3">
        <v>10</v>
      </c>
      <c r="E2847" s="3" t="s">
        <v>10</v>
      </c>
      <c r="F2847" s="4">
        <v>79</v>
      </c>
      <c r="G2847" s="4"/>
      <c r="H2847" s="4">
        <f t="shared" si="284"/>
        <v>79</v>
      </c>
    </row>
    <row r="2848" ht="14.25" spans="1:8">
      <c r="A2848" s="3" t="str">
        <f>"11806209511"</f>
        <v>11806209511</v>
      </c>
      <c r="B2848" s="3">
        <v>2</v>
      </c>
      <c r="C2848" s="3">
        <v>95</v>
      </c>
      <c r="D2848" s="3">
        <v>11</v>
      </c>
      <c r="E2848" s="3" t="s">
        <v>10</v>
      </c>
      <c r="F2848" s="4">
        <v>84</v>
      </c>
      <c r="G2848" s="4"/>
      <c r="H2848" s="4">
        <f t="shared" si="284"/>
        <v>84</v>
      </c>
    </row>
    <row r="2849" ht="14.25" spans="1:8">
      <c r="A2849" s="3" t="str">
        <f>"11806209512"</f>
        <v>11806209512</v>
      </c>
      <c r="B2849" s="3">
        <v>2</v>
      </c>
      <c r="C2849" s="3">
        <v>95</v>
      </c>
      <c r="D2849" s="3">
        <v>12</v>
      </c>
      <c r="E2849" s="3" t="s">
        <v>10</v>
      </c>
      <c r="F2849" s="3">
        <v>0</v>
      </c>
      <c r="G2849" s="4"/>
      <c r="H2849" s="3">
        <v>0</v>
      </c>
    </row>
    <row r="2850" ht="14.25" spans="1:8">
      <c r="A2850" s="3" t="str">
        <f>"11901209513"</f>
        <v>11901209513</v>
      </c>
      <c r="B2850" s="3">
        <v>2</v>
      </c>
      <c r="C2850" s="3">
        <v>95</v>
      </c>
      <c r="D2850" s="3">
        <v>13</v>
      </c>
      <c r="E2850" s="3" t="s">
        <v>10</v>
      </c>
      <c r="F2850" s="3">
        <v>0</v>
      </c>
      <c r="G2850" s="4"/>
      <c r="H2850" s="3">
        <v>0</v>
      </c>
    </row>
    <row r="2851" ht="14.25" spans="1:8">
      <c r="A2851" s="3" t="str">
        <f>"11901209514"</f>
        <v>11901209514</v>
      </c>
      <c r="B2851" s="3">
        <v>2</v>
      </c>
      <c r="C2851" s="3">
        <v>95</v>
      </c>
      <c r="D2851" s="3">
        <v>14</v>
      </c>
      <c r="E2851" s="3" t="s">
        <v>10</v>
      </c>
      <c r="F2851" s="4">
        <v>64</v>
      </c>
      <c r="G2851" s="4"/>
      <c r="H2851" s="4">
        <f t="shared" ref="H2851:H2855" si="285">F2851+G2851</f>
        <v>64</v>
      </c>
    </row>
    <row r="2852" ht="14.25" spans="1:8">
      <c r="A2852" s="3" t="str">
        <f>"11901209515"</f>
        <v>11901209515</v>
      </c>
      <c r="B2852" s="3">
        <v>2</v>
      </c>
      <c r="C2852" s="3">
        <v>95</v>
      </c>
      <c r="D2852" s="3">
        <v>15</v>
      </c>
      <c r="E2852" s="3" t="s">
        <v>10</v>
      </c>
      <c r="F2852" s="4">
        <v>87</v>
      </c>
      <c r="G2852" s="4"/>
      <c r="H2852" s="4">
        <f t="shared" si="285"/>
        <v>87</v>
      </c>
    </row>
    <row r="2853" ht="14.25" spans="1:8">
      <c r="A2853" s="3" t="str">
        <f>"11901209516"</f>
        <v>11901209516</v>
      </c>
      <c r="B2853" s="3">
        <v>2</v>
      </c>
      <c r="C2853" s="3">
        <v>95</v>
      </c>
      <c r="D2853" s="3">
        <v>16</v>
      </c>
      <c r="E2853" s="3" t="s">
        <v>10</v>
      </c>
      <c r="F2853" s="3">
        <v>0</v>
      </c>
      <c r="G2853" s="4"/>
      <c r="H2853" s="3">
        <v>0</v>
      </c>
    </row>
    <row r="2854" ht="14.25" spans="1:8">
      <c r="A2854" s="3" t="str">
        <f>"11901209517"</f>
        <v>11901209517</v>
      </c>
      <c r="B2854" s="3">
        <v>2</v>
      </c>
      <c r="C2854" s="3">
        <v>95</v>
      </c>
      <c r="D2854" s="3">
        <v>17</v>
      </c>
      <c r="E2854" s="3" t="s">
        <v>10</v>
      </c>
      <c r="F2854" s="4">
        <v>69.5</v>
      </c>
      <c r="G2854" s="4"/>
      <c r="H2854" s="4">
        <f t="shared" si="285"/>
        <v>69.5</v>
      </c>
    </row>
    <row r="2855" ht="14.25" spans="1:8">
      <c r="A2855" s="3" t="str">
        <f>"11901209518"</f>
        <v>11901209518</v>
      </c>
      <c r="B2855" s="3">
        <v>2</v>
      </c>
      <c r="C2855" s="3">
        <v>95</v>
      </c>
      <c r="D2855" s="3">
        <v>18</v>
      </c>
      <c r="E2855" s="3" t="s">
        <v>10</v>
      </c>
      <c r="F2855" s="4">
        <v>72.5</v>
      </c>
      <c r="G2855" s="4"/>
      <c r="H2855" s="4">
        <f t="shared" si="285"/>
        <v>72.5</v>
      </c>
    </row>
    <row r="2856" ht="14.25" spans="1:8">
      <c r="A2856" s="3" t="str">
        <f>"11901209519"</f>
        <v>11901209519</v>
      </c>
      <c r="B2856" s="3">
        <v>2</v>
      </c>
      <c r="C2856" s="3">
        <v>95</v>
      </c>
      <c r="D2856" s="3">
        <v>19</v>
      </c>
      <c r="E2856" s="3" t="s">
        <v>10</v>
      </c>
      <c r="F2856" s="3">
        <v>0</v>
      </c>
      <c r="G2856" s="4"/>
      <c r="H2856" s="3">
        <v>0</v>
      </c>
    </row>
    <row r="2857" ht="14.25" spans="1:8">
      <c r="A2857" s="3" t="str">
        <f>"11901209520"</f>
        <v>11901209520</v>
      </c>
      <c r="B2857" s="3">
        <v>2</v>
      </c>
      <c r="C2857" s="3">
        <v>95</v>
      </c>
      <c r="D2857" s="3">
        <v>20</v>
      </c>
      <c r="E2857" s="3" t="s">
        <v>10</v>
      </c>
      <c r="F2857" s="4">
        <v>73</v>
      </c>
      <c r="G2857" s="4"/>
      <c r="H2857" s="4">
        <f t="shared" ref="H2857:H2864" si="286">F2857+G2857</f>
        <v>73</v>
      </c>
    </row>
    <row r="2858" ht="14.25" spans="1:8">
      <c r="A2858" s="3" t="str">
        <f>"11901209521"</f>
        <v>11901209521</v>
      </c>
      <c r="B2858" s="3">
        <v>2</v>
      </c>
      <c r="C2858" s="3">
        <v>95</v>
      </c>
      <c r="D2858" s="3">
        <v>21</v>
      </c>
      <c r="E2858" s="3" t="s">
        <v>10</v>
      </c>
      <c r="F2858" s="4">
        <v>68.5</v>
      </c>
      <c r="G2858" s="4"/>
      <c r="H2858" s="4">
        <f t="shared" si="286"/>
        <v>68.5</v>
      </c>
    </row>
    <row r="2859" ht="14.25" spans="1:8">
      <c r="A2859" s="3" t="str">
        <f>"11901209522"</f>
        <v>11901209522</v>
      </c>
      <c r="B2859" s="3">
        <v>2</v>
      </c>
      <c r="C2859" s="3">
        <v>95</v>
      </c>
      <c r="D2859" s="3">
        <v>22</v>
      </c>
      <c r="E2859" s="3" t="s">
        <v>10</v>
      </c>
      <c r="F2859" s="4">
        <v>73.5</v>
      </c>
      <c r="G2859" s="4"/>
      <c r="H2859" s="4">
        <f t="shared" si="286"/>
        <v>73.5</v>
      </c>
    </row>
    <row r="2860" ht="14.25" spans="1:8">
      <c r="A2860" s="3" t="str">
        <f>"11901209523"</f>
        <v>11901209523</v>
      </c>
      <c r="B2860" s="3">
        <v>2</v>
      </c>
      <c r="C2860" s="3">
        <v>95</v>
      </c>
      <c r="D2860" s="3">
        <v>23</v>
      </c>
      <c r="E2860" s="3" t="s">
        <v>10</v>
      </c>
      <c r="F2860" s="4">
        <v>72.5</v>
      </c>
      <c r="G2860" s="4"/>
      <c r="H2860" s="4">
        <f t="shared" si="286"/>
        <v>72.5</v>
      </c>
    </row>
    <row r="2861" ht="14.25" spans="1:8">
      <c r="A2861" s="3" t="str">
        <f>"11901209524"</f>
        <v>11901209524</v>
      </c>
      <c r="B2861" s="3">
        <v>2</v>
      </c>
      <c r="C2861" s="3">
        <v>95</v>
      </c>
      <c r="D2861" s="3">
        <v>24</v>
      </c>
      <c r="E2861" s="3" t="s">
        <v>10</v>
      </c>
      <c r="F2861" s="4">
        <v>73.5</v>
      </c>
      <c r="G2861" s="4"/>
      <c r="H2861" s="4">
        <f t="shared" si="286"/>
        <v>73.5</v>
      </c>
    </row>
    <row r="2862" ht="14.25" spans="1:8">
      <c r="A2862" s="3" t="str">
        <f>"11901209525"</f>
        <v>11901209525</v>
      </c>
      <c r="B2862" s="3">
        <v>2</v>
      </c>
      <c r="C2862" s="3">
        <v>95</v>
      </c>
      <c r="D2862" s="3">
        <v>25</v>
      </c>
      <c r="E2862" s="3" t="s">
        <v>10</v>
      </c>
      <c r="F2862" s="4">
        <v>82.5</v>
      </c>
      <c r="G2862" s="4"/>
      <c r="H2862" s="4">
        <f t="shared" si="286"/>
        <v>82.5</v>
      </c>
    </row>
    <row r="2863" ht="14.25" spans="1:8">
      <c r="A2863" s="3" t="str">
        <f>"11901209526"</f>
        <v>11901209526</v>
      </c>
      <c r="B2863" s="3">
        <v>2</v>
      </c>
      <c r="C2863" s="3">
        <v>95</v>
      </c>
      <c r="D2863" s="3">
        <v>26</v>
      </c>
      <c r="E2863" s="3" t="s">
        <v>10</v>
      </c>
      <c r="F2863" s="4">
        <v>56.5</v>
      </c>
      <c r="G2863" s="4"/>
      <c r="H2863" s="4">
        <f t="shared" si="286"/>
        <v>56.5</v>
      </c>
    </row>
    <row r="2864" ht="14.25" spans="1:8">
      <c r="A2864" s="3" t="str">
        <f>"11901209527"</f>
        <v>11901209527</v>
      </c>
      <c r="B2864" s="3">
        <v>2</v>
      </c>
      <c r="C2864" s="3">
        <v>95</v>
      </c>
      <c r="D2864" s="3">
        <v>27</v>
      </c>
      <c r="E2864" s="3" t="s">
        <v>10</v>
      </c>
      <c r="F2864" s="4">
        <v>56</v>
      </c>
      <c r="G2864" s="4"/>
      <c r="H2864" s="4">
        <f t="shared" si="286"/>
        <v>56</v>
      </c>
    </row>
    <row r="2865" ht="14.25" spans="1:8">
      <c r="A2865" s="3" t="str">
        <f>"11901209528"</f>
        <v>11901209528</v>
      </c>
      <c r="B2865" s="3">
        <v>2</v>
      </c>
      <c r="C2865" s="3">
        <v>95</v>
      </c>
      <c r="D2865" s="3">
        <v>28</v>
      </c>
      <c r="E2865" s="3" t="s">
        <v>10</v>
      </c>
      <c r="F2865" s="3">
        <v>0</v>
      </c>
      <c r="G2865" s="4"/>
      <c r="H2865" s="3">
        <v>0</v>
      </c>
    </row>
    <row r="2866" ht="14.25" spans="1:8">
      <c r="A2866" s="3" t="str">
        <f>"11901209529"</f>
        <v>11901209529</v>
      </c>
      <c r="B2866" s="3">
        <v>2</v>
      </c>
      <c r="C2866" s="3">
        <v>95</v>
      </c>
      <c r="D2866" s="3">
        <v>29</v>
      </c>
      <c r="E2866" s="3" t="s">
        <v>10</v>
      </c>
      <c r="F2866" s="4">
        <v>74</v>
      </c>
      <c r="G2866" s="4"/>
      <c r="H2866" s="4">
        <f t="shared" ref="H2866:H2887" si="287">F2866+G2866</f>
        <v>74</v>
      </c>
    </row>
    <row r="2867" ht="14.25" spans="1:8">
      <c r="A2867" s="3" t="str">
        <f>"11901209530"</f>
        <v>11901209530</v>
      </c>
      <c r="B2867" s="3">
        <v>2</v>
      </c>
      <c r="C2867" s="3">
        <v>95</v>
      </c>
      <c r="D2867" s="3">
        <v>30</v>
      </c>
      <c r="E2867" s="3" t="s">
        <v>10</v>
      </c>
      <c r="F2867" s="4">
        <v>73.5</v>
      </c>
      <c r="G2867" s="4"/>
      <c r="H2867" s="4">
        <f t="shared" si="287"/>
        <v>73.5</v>
      </c>
    </row>
    <row r="2868" ht="14.25" spans="1:8">
      <c r="A2868" s="3" t="str">
        <f>"11901209601"</f>
        <v>11901209601</v>
      </c>
      <c r="B2868" s="3">
        <v>2</v>
      </c>
      <c r="C2868" s="3">
        <v>96</v>
      </c>
      <c r="D2868" s="3">
        <v>1</v>
      </c>
      <c r="E2868" s="3" t="s">
        <v>10</v>
      </c>
      <c r="F2868" s="3">
        <v>0</v>
      </c>
      <c r="G2868" s="4"/>
      <c r="H2868" s="3">
        <v>0</v>
      </c>
    </row>
    <row r="2869" ht="14.25" spans="1:8">
      <c r="A2869" s="3" t="str">
        <f>"11901209602"</f>
        <v>11901209602</v>
      </c>
      <c r="B2869" s="3">
        <v>2</v>
      </c>
      <c r="C2869" s="3">
        <v>96</v>
      </c>
      <c r="D2869" s="3">
        <v>2</v>
      </c>
      <c r="E2869" s="3" t="s">
        <v>10</v>
      </c>
      <c r="F2869" s="4">
        <v>83</v>
      </c>
      <c r="G2869" s="4"/>
      <c r="H2869" s="4">
        <f t="shared" si="287"/>
        <v>83</v>
      </c>
    </row>
    <row r="2870" ht="14.25" spans="1:8">
      <c r="A2870" s="3" t="str">
        <f>"11901209603"</f>
        <v>11901209603</v>
      </c>
      <c r="B2870" s="3">
        <v>2</v>
      </c>
      <c r="C2870" s="3">
        <v>96</v>
      </c>
      <c r="D2870" s="3">
        <v>3</v>
      </c>
      <c r="E2870" s="3" t="s">
        <v>10</v>
      </c>
      <c r="F2870" s="4">
        <v>65</v>
      </c>
      <c r="G2870" s="4"/>
      <c r="H2870" s="4">
        <f t="shared" si="287"/>
        <v>65</v>
      </c>
    </row>
    <row r="2871" ht="14.25" spans="1:8">
      <c r="A2871" s="3" t="str">
        <f>"11901209604"</f>
        <v>11901209604</v>
      </c>
      <c r="B2871" s="3">
        <v>2</v>
      </c>
      <c r="C2871" s="3">
        <v>96</v>
      </c>
      <c r="D2871" s="3">
        <v>4</v>
      </c>
      <c r="E2871" s="3" t="s">
        <v>10</v>
      </c>
      <c r="F2871" s="4">
        <v>46</v>
      </c>
      <c r="G2871" s="4"/>
      <c r="H2871" s="4">
        <f t="shared" si="287"/>
        <v>46</v>
      </c>
    </row>
    <row r="2872" ht="14.25" spans="1:8">
      <c r="A2872" s="3" t="str">
        <f>"11901209605"</f>
        <v>11901209605</v>
      </c>
      <c r="B2872" s="3">
        <v>2</v>
      </c>
      <c r="C2872" s="3">
        <v>96</v>
      </c>
      <c r="D2872" s="3">
        <v>5</v>
      </c>
      <c r="E2872" s="3" t="s">
        <v>10</v>
      </c>
      <c r="F2872" s="4">
        <v>78</v>
      </c>
      <c r="G2872" s="4"/>
      <c r="H2872" s="4">
        <f t="shared" si="287"/>
        <v>78</v>
      </c>
    </row>
    <row r="2873" ht="14.25" spans="1:8">
      <c r="A2873" s="3" t="str">
        <f>"11901209606"</f>
        <v>11901209606</v>
      </c>
      <c r="B2873" s="3">
        <v>2</v>
      </c>
      <c r="C2873" s="3">
        <v>96</v>
      </c>
      <c r="D2873" s="3">
        <v>6</v>
      </c>
      <c r="E2873" s="3" t="s">
        <v>10</v>
      </c>
      <c r="F2873" s="4">
        <v>80.5</v>
      </c>
      <c r="G2873" s="4"/>
      <c r="H2873" s="4">
        <f t="shared" si="287"/>
        <v>80.5</v>
      </c>
    </row>
    <row r="2874" ht="14.25" spans="1:8">
      <c r="A2874" s="3" t="str">
        <f>"11901209607"</f>
        <v>11901209607</v>
      </c>
      <c r="B2874" s="3">
        <v>2</v>
      </c>
      <c r="C2874" s="3">
        <v>96</v>
      </c>
      <c r="D2874" s="3">
        <v>7</v>
      </c>
      <c r="E2874" s="3" t="s">
        <v>10</v>
      </c>
      <c r="F2874" s="4">
        <v>71</v>
      </c>
      <c r="G2874" s="4"/>
      <c r="H2874" s="4">
        <f t="shared" si="287"/>
        <v>71</v>
      </c>
    </row>
    <row r="2875" ht="14.25" spans="1:8">
      <c r="A2875" s="3" t="str">
        <f>"11901209608"</f>
        <v>11901209608</v>
      </c>
      <c r="B2875" s="3">
        <v>2</v>
      </c>
      <c r="C2875" s="3">
        <v>96</v>
      </c>
      <c r="D2875" s="3">
        <v>8</v>
      </c>
      <c r="E2875" s="3" t="s">
        <v>10</v>
      </c>
      <c r="F2875" s="4">
        <v>68</v>
      </c>
      <c r="G2875" s="4"/>
      <c r="H2875" s="4">
        <f t="shared" si="287"/>
        <v>68</v>
      </c>
    </row>
    <row r="2876" ht="14.25" spans="1:8">
      <c r="A2876" s="3" t="str">
        <f>"11901209609"</f>
        <v>11901209609</v>
      </c>
      <c r="B2876" s="3">
        <v>2</v>
      </c>
      <c r="C2876" s="3">
        <v>96</v>
      </c>
      <c r="D2876" s="3">
        <v>9</v>
      </c>
      <c r="E2876" s="3" t="s">
        <v>10</v>
      </c>
      <c r="F2876" s="4">
        <v>56.5</v>
      </c>
      <c r="G2876" s="4"/>
      <c r="H2876" s="4">
        <f t="shared" si="287"/>
        <v>56.5</v>
      </c>
    </row>
    <row r="2877" ht="14.25" spans="1:8">
      <c r="A2877" s="3" t="str">
        <f>"11901209610"</f>
        <v>11901209610</v>
      </c>
      <c r="B2877" s="3">
        <v>2</v>
      </c>
      <c r="C2877" s="3">
        <v>96</v>
      </c>
      <c r="D2877" s="3">
        <v>10</v>
      </c>
      <c r="E2877" s="3" t="s">
        <v>10</v>
      </c>
      <c r="F2877" s="4">
        <v>59.5</v>
      </c>
      <c r="G2877" s="4"/>
      <c r="H2877" s="4">
        <f t="shared" si="287"/>
        <v>59.5</v>
      </c>
    </row>
    <row r="2878" ht="14.25" spans="1:8">
      <c r="A2878" s="3" t="str">
        <f>"11901209611"</f>
        <v>11901209611</v>
      </c>
      <c r="B2878" s="3">
        <v>2</v>
      </c>
      <c r="C2878" s="3">
        <v>96</v>
      </c>
      <c r="D2878" s="3">
        <v>11</v>
      </c>
      <c r="E2878" s="3" t="s">
        <v>10</v>
      </c>
      <c r="F2878" s="4">
        <v>65.5</v>
      </c>
      <c r="G2878" s="4"/>
      <c r="H2878" s="4">
        <f t="shared" si="287"/>
        <v>65.5</v>
      </c>
    </row>
    <row r="2879" ht="14.25" spans="1:8">
      <c r="A2879" s="3" t="str">
        <f>"11901209612"</f>
        <v>11901209612</v>
      </c>
      <c r="B2879" s="3">
        <v>2</v>
      </c>
      <c r="C2879" s="3">
        <v>96</v>
      </c>
      <c r="D2879" s="3">
        <v>12</v>
      </c>
      <c r="E2879" s="3" t="s">
        <v>10</v>
      </c>
      <c r="F2879" s="4">
        <v>57.5</v>
      </c>
      <c r="G2879" s="4"/>
      <c r="H2879" s="4">
        <f t="shared" si="287"/>
        <v>57.5</v>
      </c>
    </row>
    <row r="2880" ht="14.25" spans="1:8">
      <c r="A2880" s="3" t="str">
        <f>"11901209613"</f>
        <v>11901209613</v>
      </c>
      <c r="B2880" s="3">
        <v>2</v>
      </c>
      <c r="C2880" s="3">
        <v>96</v>
      </c>
      <c r="D2880" s="3">
        <v>13</v>
      </c>
      <c r="E2880" s="3" t="s">
        <v>10</v>
      </c>
      <c r="F2880" s="4">
        <v>70.5</v>
      </c>
      <c r="G2880" s="4"/>
      <c r="H2880" s="4">
        <f t="shared" si="287"/>
        <v>70.5</v>
      </c>
    </row>
    <row r="2881" ht="14.25" spans="1:8">
      <c r="A2881" s="3" t="str">
        <f>"11901209614"</f>
        <v>11901209614</v>
      </c>
      <c r="B2881" s="3">
        <v>2</v>
      </c>
      <c r="C2881" s="3">
        <v>96</v>
      </c>
      <c r="D2881" s="3">
        <v>14</v>
      </c>
      <c r="E2881" s="3" t="s">
        <v>10</v>
      </c>
      <c r="F2881" s="4">
        <v>71.5</v>
      </c>
      <c r="G2881" s="4"/>
      <c r="H2881" s="4">
        <f t="shared" si="287"/>
        <v>71.5</v>
      </c>
    </row>
    <row r="2882" ht="14.25" spans="1:8">
      <c r="A2882" s="3" t="str">
        <f>"11901209615"</f>
        <v>11901209615</v>
      </c>
      <c r="B2882" s="3">
        <v>2</v>
      </c>
      <c r="C2882" s="3">
        <v>96</v>
      </c>
      <c r="D2882" s="3">
        <v>15</v>
      </c>
      <c r="E2882" s="3" t="s">
        <v>10</v>
      </c>
      <c r="F2882" s="4">
        <v>74.5</v>
      </c>
      <c r="G2882" s="4"/>
      <c r="H2882" s="4">
        <f t="shared" si="287"/>
        <v>74.5</v>
      </c>
    </row>
    <row r="2883" ht="14.25" spans="1:8">
      <c r="A2883" s="3" t="str">
        <f>"11901209616"</f>
        <v>11901209616</v>
      </c>
      <c r="B2883" s="3">
        <v>2</v>
      </c>
      <c r="C2883" s="3">
        <v>96</v>
      </c>
      <c r="D2883" s="3">
        <v>16</v>
      </c>
      <c r="E2883" s="3" t="s">
        <v>10</v>
      </c>
      <c r="F2883" s="4">
        <v>70.5</v>
      </c>
      <c r="G2883" s="4"/>
      <c r="H2883" s="4">
        <f t="shared" si="287"/>
        <v>70.5</v>
      </c>
    </row>
    <row r="2884" ht="14.25" spans="1:8">
      <c r="A2884" s="3" t="str">
        <f>"11901209617"</f>
        <v>11901209617</v>
      </c>
      <c r="B2884" s="3">
        <v>2</v>
      </c>
      <c r="C2884" s="3">
        <v>96</v>
      </c>
      <c r="D2884" s="3">
        <v>17</v>
      </c>
      <c r="E2884" s="3" t="s">
        <v>10</v>
      </c>
      <c r="F2884" s="4">
        <v>78.5</v>
      </c>
      <c r="G2884" s="4"/>
      <c r="H2884" s="4">
        <f t="shared" si="287"/>
        <v>78.5</v>
      </c>
    </row>
    <row r="2885" ht="14.25" spans="1:8">
      <c r="A2885" s="3" t="str">
        <f>"11901209618"</f>
        <v>11901209618</v>
      </c>
      <c r="B2885" s="3">
        <v>2</v>
      </c>
      <c r="C2885" s="3">
        <v>96</v>
      </c>
      <c r="D2885" s="3">
        <v>18</v>
      </c>
      <c r="E2885" s="3" t="s">
        <v>10</v>
      </c>
      <c r="F2885" s="4">
        <v>79.5</v>
      </c>
      <c r="G2885" s="4"/>
      <c r="H2885" s="4">
        <f t="shared" si="287"/>
        <v>79.5</v>
      </c>
    </row>
    <row r="2886" ht="14.25" spans="1:8">
      <c r="A2886" s="3" t="str">
        <f>"11901209619"</f>
        <v>11901209619</v>
      </c>
      <c r="B2886" s="3">
        <v>2</v>
      </c>
      <c r="C2886" s="3">
        <v>96</v>
      </c>
      <c r="D2886" s="3">
        <v>19</v>
      </c>
      <c r="E2886" s="3" t="s">
        <v>10</v>
      </c>
      <c r="F2886" s="4">
        <v>58.5</v>
      </c>
      <c r="G2886" s="4"/>
      <c r="H2886" s="4">
        <f t="shared" si="287"/>
        <v>58.5</v>
      </c>
    </row>
    <row r="2887" ht="14.25" spans="1:8">
      <c r="A2887" s="3" t="str">
        <f>"11901209620"</f>
        <v>11901209620</v>
      </c>
      <c r="B2887" s="3">
        <v>2</v>
      </c>
      <c r="C2887" s="3">
        <v>96</v>
      </c>
      <c r="D2887" s="3">
        <v>20</v>
      </c>
      <c r="E2887" s="3" t="s">
        <v>10</v>
      </c>
      <c r="F2887" s="4">
        <v>62.5</v>
      </c>
      <c r="G2887" s="4"/>
      <c r="H2887" s="4">
        <f t="shared" si="287"/>
        <v>62.5</v>
      </c>
    </row>
    <row r="2888" ht="14.25" spans="1:8">
      <c r="A2888" s="3" t="str">
        <f>"11901209621"</f>
        <v>11901209621</v>
      </c>
      <c r="B2888" s="3">
        <v>2</v>
      </c>
      <c r="C2888" s="3">
        <v>96</v>
      </c>
      <c r="D2888" s="3">
        <v>21</v>
      </c>
      <c r="E2888" s="3" t="s">
        <v>10</v>
      </c>
      <c r="F2888" s="3">
        <v>0</v>
      </c>
      <c r="G2888" s="4"/>
      <c r="H2888" s="3">
        <v>0</v>
      </c>
    </row>
    <row r="2889" ht="14.25" spans="1:8">
      <c r="A2889" s="3" t="str">
        <f>"11901209622"</f>
        <v>11901209622</v>
      </c>
      <c r="B2889" s="3">
        <v>2</v>
      </c>
      <c r="C2889" s="3">
        <v>96</v>
      </c>
      <c r="D2889" s="3">
        <v>22</v>
      </c>
      <c r="E2889" s="3" t="s">
        <v>10</v>
      </c>
      <c r="F2889" s="4">
        <v>83.5</v>
      </c>
      <c r="G2889" s="4"/>
      <c r="H2889" s="4">
        <f t="shared" ref="H2889:H2909" si="288">F2889+G2889</f>
        <v>83.5</v>
      </c>
    </row>
    <row r="2890" ht="14.25" spans="1:8">
      <c r="A2890" s="3" t="str">
        <f>"11901209623"</f>
        <v>11901209623</v>
      </c>
      <c r="B2890" s="3">
        <v>2</v>
      </c>
      <c r="C2890" s="3">
        <v>96</v>
      </c>
      <c r="D2890" s="3">
        <v>23</v>
      </c>
      <c r="E2890" s="3" t="s">
        <v>10</v>
      </c>
      <c r="F2890" s="4">
        <v>74</v>
      </c>
      <c r="G2890" s="4"/>
      <c r="H2890" s="4">
        <f t="shared" si="288"/>
        <v>74</v>
      </c>
    </row>
    <row r="2891" ht="14.25" spans="1:8">
      <c r="A2891" s="3" t="str">
        <f>"11901209624"</f>
        <v>11901209624</v>
      </c>
      <c r="B2891" s="3">
        <v>2</v>
      </c>
      <c r="C2891" s="3">
        <v>96</v>
      </c>
      <c r="D2891" s="3">
        <v>24</v>
      </c>
      <c r="E2891" s="3" t="s">
        <v>10</v>
      </c>
      <c r="F2891" s="4">
        <v>62</v>
      </c>
      <c r="G2891" s="4"/>
      <c r="H2891" s="4">
        <f t="shared" si="288"/>
        <v>62</v>
      </c>
    </row>
    <row r="2892" ht="14.25" spans="1:8">
      <c r="A2892" s="3" t="str">
        <f>"11901209625"</f>
        <v>11901209625</v>
      </c>
      <c r="B2892" s="3">
        <v>2</v>
      </c>
      <c r="C2892" s="3">
        <v>96</v>
      </c>
      <c r="D2892" s="3">
        <v>25</v>
      </c>
      <c r="E2892" s="3" t="s">
        <v>10</v>
      </c>
      <c r="F2892" s="4">
        <v>76.5</v>
      </c>
      <c r="G2892" s="4"/>
      <c r="H2892" s="4">
        <f t="shared" si="288"/>
        <v>76.5</v>
      </c>
    </row>
    <row r="2893" ht="14.25" spans="1:8">
      <c r="A2893" s="3" t="str">
        <f>"11901209626"</f>
        <v>11901209626</v>
      </c>
      <c r="B2893" s="3">
        <v>2</v>
      </c>
      <c r="C2893" s="3">
        <v>96</v>
      </c>
      <c r="D2893" s="3">
        <v>26</v>
      </c>
      <c r="E2893" s="3" t="s">
        <v>10</v>
      </c>
      <c r="F2893" s="4">
        <v>79</v>
      </c>
      <c r="G2893" s="4"/>
      <c r="H2893" s="4">
        <f t="shared" si="288"/>
        <v>79</v>
      </c>
    </row>
    <row r="2894" ht="14.25" spans="1:8">
      <c r="A2894" s="3" t="str">
        <f>"11901209627"</f>
        <v>11901209627</v>
      </c>
      <c r="B2894" s="3">
        <v>2</v>
      </c>
      <c r="C2894" s="3">
        <v>96</v>
      </c>
      <c r="D2894" s="3">
        <v>27</v>
      </c>
      <c r="E2894" s="3" t="s">
        <v>10</v>
      </c>
      <c r="F2894" s="4">
        <v>78.5</v>
      </c>
      <c r="G2894" s="4"/>
      <c r="H2894" s="4">
        <f t="shared" si="288"/>
        <v>78.5</v>
      </c>
    </row>
    <row r="2895" ht="14.25" spans="1:8">
      <c r="A2895" s="3" t="str">
        <f>"11901209628"</f>
        <v>11901209628</v>
      </c>
      <c r="B2895" s="3">
        <v>2</v>
      </c>
      <c r="C2895" s="3">
        <v>96</v>
      </c>
      <c r="D2895" s="3">
        <v>28</v>
      </c>
      <c r="E2895" s="3" t="s">
        <v>10</v>
      </c>
      <c r="F2895" s="4">
        <v>58</v>
      </c>
      <c r="G2895" s="4"/>
      <c r="H2895" s="4">
        <f t="shared" si="288"/>
        <v>58</v>
      </c>
    </row>
    <row r="2896" ht="14.25" spans="1:8">
      <c r="A2896" s="3" t="str">
        <f>"11901209629"</f>
        <v>11901209629</v>
      </c>
      <c r="B2896" s="3">
        <v>2</v>
      </c>
      <c r="C2896" s="3">
        <v>96</v>
      </c>
      <c r="D2896" s="3">
        <v>29</v>
      </c>
      <c r="E2896" s="3" t="s">
        <v>10</v>
      </c>
      <c r="F2896" s="4">
        <v>77</v>
      </c>
      <c r="G2896" s="4"/>
      <c r="H2896" s="4">
        <f t="shared" si="288"/>
        <v>77</v>
      </c>
    </row>
    <row r="2897" ht="14.25" spans="1:8">
      <c r="A2897" s="3" t="str">
        <f>"11901209630"</f>
        <v>11901209630</v>
      </c>
      <c r="B2897" s="3">
        <v>2</v>
      </c>
      <c r="C2897" s="3">
        <v>96</v>
      </c>
      <c r="D2897" s="3">
        <v>30</v>
      </c>
      <c r="E2897" s="3" t="s">
        <v>10</v>
      </c>
      <c r="F2897" s="4">
        <v>74</v>
      </c>
      <c r="G2897" s="4"/>
      <c r="H2897" s="4">
        <f t="shared" si="288"/>
        <v>74</v>
      </c>
    </row>
    <row r="2898" ht="14.25" spans="1:8">
      <c r="A2898" s="3" t="str">
        <f>"11901209701"</f>
        <v>11901209701</v>
      </c>
      <c r="B2898" s="3">
        <v>2</v>
      </c>
      <c r="C2898" s="3">
        <v>97</v>
      </c>
      <c r="D2898" s="3">
        <v>1</v>
      </c>
      <c r="E2898" s="3" t="s">
        <v>10</v>
      </c>
      <c r="F2898" s="4">
        <v>80</v>
      </c>
      <c r="G2898" s="4"/>
      <c r="H2898" s="4">
        <f t="shared" si="288"/>
        <v>80</v>
      </c>
    </row>
    <row r="2899" ht="14.25" spans="1:8">
      <c r="A2899" s="3" t="str">
        <f>"11901209702"</f>
        <v>11901209702</v>
      </c>
      <c r="B2899" s="3">
        <v>2</v>
      </c>
      <c r="C2899" s="3">
        <v>97</v>
      </c>
      <c r="D2899" s="3">
        <v>2</v>
      </c>
      <c r="E2899" s="3" t="s">
        <v>10</v>
      </c>
      <c r="F2899" s="4">
        <v>65.5</v>
      </c>
      <c r="G2899" s="4"/>
      <c r="H2899" s="4">
        <f t="shared" si="288"/>
        <v>65.5</v>
      </c>
    </row>
    <row r="2900" ht="14.25" spans="1:8">
      <c r="A2900" s="3" t="str">
        <f>"11901209703"</f>
        <v>11901209703</v>
      </c>
      <c r="B2900" s="3">
        <v>2</v>
      </c>
      <c r="C2900" s="3">
        <v>97</v>
      </c>
      <c r="D2900" s="3">
        <v>3</v>
      </c>
      <c r="E2900" s="3" t="s">
        <v>10</v>
      </c>
      <c r="F2900" s="4">
        <v>63.5</v>
      </c>
      <c r="G2900" s="4"/>
      <c r="H2900" s="4">
        <f t="shared" si="288"/>
        <v>63.5</v>
      </c>
    </row>
    <row r="2901" ht="14.25" spans="1:8">
      <c r="A2901" s="3" t="str">
        <f>"11901209704"</f>
        <v>11901209704</v>
      </c>
      <c r="B2901" s="3">
        <v>2</v>
      </c>
      <c r="C2901" s="3">
        <v>97</v>
      </c>
      <c r="D2901" s="3">
        <v>4</v>
      </c>
      <c r="E2901" s="3" t="s">
        <v>10</v>
      </c>
      <c r="F2901" s="4">
        <v>79</v>
      </c>
      <c r="G2901" s="4"/>
      <c r="H2901" s="4">
        <f t="shared" si="288"/>
        <v>79</v>
      </c>
    </row>
    <row r="2902" ht="14.25" spans="1:8">
      <c r="A2902" s="3" t="str">
        <f>"11901209705"</f>
        <v>11901209705</v>
      </c>
      <c r="B2902" s="3">
        <v>2</v>
      </c>
      <c r="C2902" s="3">
        <v>97</v>
      </c>
      <c r="D2902" s="3">
        <v>5</v>
      </c>
      <c r="E2902" s="3" t="s">
        <v>10</v>
      </c>
      <c r="F2902" s="4">
        <v>75</v>
      </c>
      <c r="G2902" s="4"/>
      <c r="H2902" s="4">
        <f t="shared" si="288"/>
        <v>75</v>
      </c>
    </row>
    <row r="2903" ht="14.25" spans="1:8">
      <c r="A2903" s="3" t="str">
        <f>"11901209706"</f>
        <v>11901209706</v>
      </c>
      <c r="B2903" s="3">
        <v>2</v>
      </c>
      <c r="C2903" s="3">
        <v>97</v>
      </c>
      <c r="D2903" s="3">
        <v>6</v>
      </c>
      <c r="E2903" s="3" t="s">
        <v>10</v>
      </c>
      <c r="F2903" s="4">
        <v>72</v>
      </c>
      <c r="G2903" s="4"/>
      <c r="H2903" s="4">
        <f t="shared" si="288"/>
        <v>72</v>
      </c>
    </row>
    <row r="2904" ht="14.25" spans="1:8">
      <c r="A2904" s="3" t="str">
        <f>"11901209707"</f>
        <v>11901209707</v>
      </c>
      <c r="B2904" s="3">
        <v>2</v>
      </c>
      <c r="C2904" s="3">
        <v>97</v>
      </c>
      <c r="D2904" s="3">
        <v>7</v>
      </c>
      <c r="E2904" s="3" t="s">
        <v>10</v>
      </c>
      <c r="F2904" s="4">
        <v>67</v>
      </c>
      <c r="G2904" s="4"/>
      <c r="H2904" s="4">
        <f t="shared" si="288"/>
        <v>67</v>
      </c>
    </row>
    <row r="2905" ht="14.25" spans="1:8">
      <c r="A2905" s="3" t="str">
        <f>"11901209708"</f>
        <v>11901209708</v>
      </c>
      <c r="B2905" s="3">
        <v>2</v>
      </c>
      <c r="C2905" s="3">
        <v>97</v>
      </c>
      <c r="D2905" s="3">
        <v>8</v>
      </c>
      <c r="E2905" s="3" t="s">
        <v>10</v>
      </c>
      <c r="F2905" s="4">
        <v>78</v>
      </c>
      <c r="G2905" s="4"/>
      <c r="H2905" s="4">
        <f t="shared" si="288"/>
        <v>78</v>
      </c>
    </row>
    <row r="2906" ht="14.25" spans="1:8">
      <c r="A2906" s="3" t="str">
        <f>"11901209709"</f>
        <v>11901209709</v>
      </c>
      <c r="B2906" s="3">
        <v>2</v>
      </c>
      <c r="C2906" s="3">
        <v>97</v>
      </c>
      <c r="D2906" s="3">
        <v>9</v>
      </c>
      <c r="E2906" s="3" t="s">
        <v>10</v>
      </c>
      <c r="F2906" s="4">
        <v>84.5</v>
      </c>
      <c r="G2906" s="4"/>
      <c r="H2906" s="4">
        <f t="shared" si="288"/>
        <v>84.5</v>
      </c>
    </row>
    <row r="2907" ht="14.25" spans="1:8">
      <c r="A2907" s="3" t="str">
        <f>"11901209710"</f>
        <v>11901209710</v>
      </c>
      <c r="B2907" s="3">
        <v>2</v>
      </c>
      <c r="C2907" s="3">
        <v>97</v>
      </c>
      <c r="D2907" s="3">
        <v>10</v>
      </c>
      <c r="E2907" s="3" t="s">
        <v>10</v>
      </c>
      <c r="F2907" s="4">
        <v>67</v>
      </c>
      <c r="G2907" s="4"/>
      <c r="H2907" s="4">
        <f t="shared" si="288"/>
        <v>67</v>
      </c>
    </row>
    <row r="2908" ht="14.25" spans="1:8">
      <c r="A2908" s="3" t="str">
        <f>"11901209711"</f>
        <v>11901209711</v>
      </c>
      <c r="B2908" s="3">
        <v>2</v>
      </c>
      <c r="C2908" s="3">
        <v>97</v>
      </c>
      <c r="D2908" s="3">
        <v>11</v>
      </c>
      <c r="E2908" s="3" t="s">
        <v>10</v>
      </c>
      <c r="F2908" s="4">
        <v>77</v>
      </c>
      <c r="G2908" s="4"/>
      <c r="H2908" s="4">
        <f t="shared" si="288"/>
        <v>77</v>
      </c>
    </row>
    <row r="2909" ht="14.25" spans="1:8">
      <c r="A2909" s="3" t="str">
        <f>"11901209712"</f>
        <v>11901209712</v>
      </c>
      <c r="B2909" s="3">
        <v>2</v>
      </c>
      <c r="C2909" s="3">
        <v>97</v>
      </c>
      <c r="D2909" s="3">
        <v>12</v>
      </c>
      <c r="E2909" s="3" t="s">
        <v>10</v>
      </c>
      <c r="F2909" s="4">
        <v>66.5</v>
      </c>
      <c r="G2909" s="4"/>
      <c r="H2909" s="4">
        <f t="shared" si="288"/>
        <v>66.5</v>
      </c>
    </row>
    <row r="2910" ht="14.25" spans="1:8">
      <c r="A2910" s="3" t="str">
        <f>"11901209713"</f>
        <v>11901209713</v>
      </c>
      <c r="B2910" s="3">
        <v>2</v>
      </c>
      <c r="C2910" s="3">
        <v>97</v>
      </c>
      <c r="D2910" s="3">
        <v>13</v>
      </c>
      <c r="E2910" s="3" t="s">
        <v>10</v>
      </c>
      <c r="F2910" s="3">
        <v>0</v>
      </c>
      <c r="G2910" s="4"/>
      <c r="H2910" s="3">
        <v>0</v>
      </c>
    </row>
    <row r="2911" ht="14.25" spans="1:8">
      <c r="A2911" s="3" t="str">
        <f>"11901209714"</f>
        <v>11901209714</v>
      </c>
      <c r="B2911" s="3">
        <v>2</v>
      </c>
      <c r="C2911" s="3">
        <v>97</v>
      </c>
      <c r="D2911" s="3">
        <v>14</v>
      </c>
      <c r="E2911" s="3" t="s">
        <v>10</v>
      </c>
      <c r="F2911" s="4">
        <v>66</v>
      </c>
      <c r="G2911" s="4"/>
      <c r="H2911" s="4">
        <f t="shared" ref="H2911:H2921" si="289">F2911+G2911</f>
        <v>66</v>
      </c>
    </row>
    <row r="2912" ht="14.25" spans="1:8">
      <c r="A2912" s="3" t="str">
        <f>"11901209715"</f>
        <v>11901209715</v>
      </c>
      <c r="B2912" s="3">
        <v>2</v>
      </c>
      <c r="C2912" s="3">
        <v>97</v>
      </c>
      <c r="D2912" s="3">
        <v>15</v>
      </c>
      <c r="E2912" s="3" t="s">
        <v>10</v>
      </c>
      <c r="F2912" s="3">
        <v>0</v>
      </c>
      <c r="G2912" s="4"/>
      <c r="H2912" s="3">
        <v>0</v>
      </c>
    </row>
    <row r="2913" ht="14.25" spans="1:8">
      <c r="A2913" s="3" t="str">
        <f>"11901209716"</f>
        <v>11901209716</v>
      </c>
      <c r="B2913" s="3">
        <v>2</v>
      </c>
      <c r="C2913" s="3">
        <v>97</v>
      </c>
      <c r="D2913" s="3">
        <v>16</v>
      </c>
      <c r="E2913" s="3" t="s">
        <v>10</v>
      </c>
      <c r="F2913" s="4">
        <v>66</v>
      </c>
      <c r="G2913" s="4"/>
      <c r="H2913" s="4">
        <f t="shared" si="289"/>
        <v>66</v>
      </c>
    </row>
    <row r="2914" ht="14.25" spans="1:8">
      <c r="A2914" s="3" t="str">
        <f>"11901209717"</f>
        <v>11901209717</v>
      </c>
      <c r="B2914" s="3">
        <v>2</v>
      </c>
      <c r="C2914" s="3">
        <v>97</v>
      </c>
      <c r="D2914" s="3">
        <v>17</v>
      </c>
      <c r="E2914" s="3" t="s">
        <v>10</v>
      </c>
      <c r="F2914" s="4">
        <v>82.5</v>
      </c>
      <c r="G2914" s="4"/>
      <c r="H2914" s="4">
        <f t="shared" si="289"/>
        <v>82.5</v>
      </c>
    </row>
    <row r="2915" ht="14.25" spans="1:8">
      <c r="A2915" s="3" t="str">
        <f>"11901209718"</f>
        <v>11901209718</v>
      </c>
      <c r="B2915" s="3">
        <v>2</v>
      </c>
      <c r="C2915" s="3">
        <v>97</v>
      </c>
      <c r="D2915" s="3">
        <v>18</v>
      </c>
      <c r="E2915" s="3" t="s">
        <v>10</v>
      </c>
      <c r="F2915" s="4">
        <v>84.5</v>
      </c>
      <c r="G2915" s="4"/>
      <c r="H2915" s="4">
        <f t="shared" si="289"/>
        <v>84.5</v>
      </c>
    </row>
    <row r="2916" ht="14.25" spans="1:8">
      <c r="A2916" s="3" t="str">
        <f>"11901209719"</f>
        <v>11901209719</v>
      </c>
      <c r="B2916" s="3">
        <v>2</v>
      </c>
      <c r="C2916" s="3">
        <v>97</v>
      </c>
      <c r="D2916" s="3">
        <v>19</v>
      </c>
      <c r="E2916" s="3" t="s">
        <v>10</v>
      </c>
      <c r="F2916" s="4">
        <v>76.5</v>
      </c>
      <c r="G2916" s="4"/>
      <c r="H2916" s="4">
        <f t="shared" si="289"/>
        <v>76.5</v>
      </c>
    </row>
    <row r="2917" ht="14.25" spans="1:8">
      <c r="A2917" s="3" t="str">
        <f>"11901209720"</f>
        <v>11901209720</v>
      </c>
      <c r="B2917" s="3">
        <v>2</v>
      </c>
      <c r="C2917" s="3">
        <v>97</v>
      </c>
      <c r="D2917" s="3">
        <v>20</v>
      </c>
      <c r="E2917" s="3" t="s">
        <v>10</v>
      </c>
      <c r="F2917" s="4">
        <v>67</v>
      </c>
      <c r="G2917" s="4"/>
      <c r="H2917" s="4">
        <f t="shared" si="289"/>
        <v>67</v>
      </c>
    </row>
    <row r="2918" ht="14.25" spans="1:8">
      <c r="A2918" s="3" t="str">
        <f>"11901209721"</f>
        <v>11901209721</v>
      </c>
      <c r="B2918" s="3">
        <v>2</v>
      </c>
      <c r="C2918" s="3">
        <v>97</v>
      </c>
      <c r="D2918" s="3">
        <v>21</v>
      </c>
      <c r="E2918" s="3" t="s">
        <v>10</v>
      </c>
      <c r="F2918" s="4">
        <v>63.5</v>
      </c>
      <c r="G2918" s="4"/>
      <c r="H2918" s="4">
        <f t="shared" si="289"/>
        <v>63.5</v>
      </c>
    </row>
    <row r="2919" ht="14.25" spans="1:8">
      <c r="A2919" s="3" t="str">
        <f>"11901209722"</f>
        <v>11901209722</v>
      </c>
      <c r="B2919" s="3">
        <v>2</v>
      </c>
      <c r="C2919" s="3">
        <v>97</v>
      </c>
      <c r="D2919" s="3">
        <v>22</v>
      </c>
      <c r="E2919" s="3" t="s">
        <v>10</v>
      </c>
      <c r="F2919" s="4">
        <v>41</v>
      </c>
      <c r="G2919" s="4"/>
      <c r="H2919" s="4">
        <f t="shared" si="289"/>
        <v>41</v>
      </c>
    </row>
    <row r="2920" ht="14.25" spans="1:8">
      <c r="A2920" s="3" t="str">
        <f>"11901209723"</f>
        <v>11901209723</v>
      </c>
      <c r="B2920" s="3">
        <v>2</v>
      </c>
      <c r="C2920" s="3">
        <v>97</v>
      </c>
      <c r="D2920" s="3">
        <v>23</v>
      </c>
      <c r="E2920" s="3" t="s">
        <v>10</v>
      </c>
      <c r="F2920" s="4">
        <v>68</v>
      </c>
      <c r="G2920" s="4"/>
      <c r="H2920" s="4">
        <f t="shared" si="289"/>
        <v>68</v>
      </c>
    </row>
    <row r="2921" ht="14.25" spans="1:8">
      <c r="A2921" s="3" t="str">
        <f>"11901209724"</f>
        <v>11901209724</v>
      </c>
      <c r="B2921" s="3">
        <v>2</v>
      </c>
      <c r="C2921" s="3">
        <v>97</v>
      </c>
      <c r="D2921" s="3">
        <v>24</v>
      </c>
      <c r="E2921" s="3" t="s">
        <v>10</v>
      </c>
      <c r="F2921" s="4">
        <v>82</v>
      </c>
      <c r="G2921" s="4"/>
      <c r="H2921" s="4">
        <f t="shared" si="289"/>
        <v>82</v>
      </c>
    </row>
    <row r="2922" ht="14.25" spans="1:8">
      <c r="A2922" s="3" t="str">
        <f>"11901209725"</f>
        <v>11901209725</v>
      </c>
      <c r="B2922" s="3">
        <v>2</v>
      </c>
      <c r="C2922" s="3">
        <v>97</v>
      </c>
      <c r="D2922" s="3">
        <v>25</v>
      </c>
      <c r="E2922" s="3" t="s">
        <v>10</v>
      </c>
      <c r="F2922" s="3">
        <v>0</v>
      </c>
      <c r="G2922" s="4"/>
      <c r="H2922" s="3">
        <v>0</v>
      </c>
    </row>
    <row r="2923" ht="14.25" spans="1:8">
      <c r="A2923" s="3" t="str">
        <f>"11901209726"</f>
        <v>11901209726</v>
      </c>
      <c r="B2923" s="3">
        <v>2</v>
      </c>
      <c r="C2923" s="3">
        <v>97</v>
      </c>
      <c r="D2923" s="3">
        <v>26</v>
      </c>
      <c r="E2923" s="3" t="s">
        <v>10</v>
      </c>
      <c r="F2923" s="3">
        <v>0</v>
      </c>
      <c r="G2923" s="4"/>
      <c r="H2923" s="3">
        <v>0</v>
      </c>
    </row>
    <row r="2924" ht="14.25" spans="1:8">
      <c r="A2924" s="3" t="str">
        <f>"11901209727"</f>
        <v>11901209727</v>
      </c>
      <c r="B2924" s="3">
        <v>2</v>
      </c>
      <c r="C2924" s="3">
        <v>97</v>
      </c>
      <c r="D2924" s="3">
        <v>27</v>
      </c>
      <c r="E2924" s="3" t="s">
        <v>10</v>
      </c>
      <c r="F2924" s="4">
        <v>87.5</v>
      </c>
      <c r="G2924" s="4"/>
      <c r="H2924" s="4">
        <f t="shared" ref="H2924:H2926" si="290">F2924+G2924</f>
        <v>87.5</v>
      </c>
    </row>
    <row r="2925" ht="14.25" spans="1:8">
      <c r="A2925" s="3" t="str">
        <f>"11901209728"</f>
        <v>11901209728</v>
      </c>
      <c r="B2925" s="3">
        <v>2</v>
      </c>
      <c r="C2925" s="3">
        <v>97</v>
      </c>
      <c r="D2925" s="3">
        <v>28</v>
      </c>
      <c r="E2925" s="3" t="s">
        <v>10</v>
      </c>
      <c r="F2925" s="4">
        <v>65.5</v>
      </c>
      <c r="G2925" s="4"/>
      <c r="H2925" s="4">
        <f t="shared" si="290"/>
        <v>65.5</v>
      </c>
    </row>
    <row r="2926" ht="14.25" spans="1:8">
      <c r="A2926" s="3" t="str">
        <f>"11901209729"</f>
        <v>11901209729</v>
      </c>
      <c r="B2926" s="3">
        <v>2</v>
      </c>
      <c r="C2926" s="3">
        <v>97</v>
      </c>
      <c r="D2926" s="3">
        <v>29</v>
      </c>
      <c r="E2926" s="3" t="s">
        <v>10</v>
      </c>
      <c r="F2926" s="4">
        <v>83</v>
      </c>
      <c r="G2926" s="4"/>
      <c r="H2926" s="4">
        <f t="shared" si="290"/>
        <v>83</v>
      </c>
    </row>
    <row r="2927" ht="14.25" spans="1:8">
      <c r="A2927" s="3" t="str">
        <f>"11901209730"</f>
        <v>11901209730</v>
      </c>
      <c r="B2927" s="3">
        <v>2</v>
      </c>
      <c r="C2927" s="3">
        <v>97</v>
      </c>
      <c r="D2927" s="3">
        <v>30</v>
      </c>
      <c r="E2927" s="3" t="s">
        <v>10</v>
      </c>
      <c r="F2927" s="3">
        <v>0</v>
      </c>
      <c r="G2927" s="4"/>
      <c r="H2927" s="3">
        <v>0</v>
      </c>
    </row>
    <row r="2928" ht="14.25" spans="1:8">
      <c r="A2928" s="3" t="str">
        <f>"11902209801"</f>
        <v>11902209801</v>
      </c>
      <c r="B2928" s="3">
        <v>2</v>
      </c>
      <c r="C2928" s="3">
        <v>98</v>
      </c>
      <c r="D2928" s="3">
        <v>1</v>
      </c>
      <c r="E2928" s="3" t="s">
        <v>10</v>
      </c>
      <c r="F2928" s="3">
        <v>0</v>
      </c>
      <c r="G2928" s="4"/>
      <c r="H2928" s="3">
        <v>0</v>
      </c>
    </row>
    <row r="2929" ht="14.25" spans="1:8">
      <c r="A2929" s="3" t="str">
        <f>"11902209802"</f>
        <v>11902209802</v>
      </c>
      <c r="B2929" s="3">
        <v>2</v>
      </c>
      <c r="C2929" s="3">
        <v>98</v>
      </c>
      <c r="D2929" s="3">
        <v>2</v>
      </c>
      <c r="E2929" s="3" t="s">
        <v>10</v>
      </c>
      <c r="F2929" s="4">
        <v>66.5</v>
      </c>
      <c r="G2929" s="4"/>
      <c r="H2929" s="4">
        <f t="shared" ref="H2929:H2934" si="291">F2929+G2929</f>
        <v>66.5</v>
      </c>
    </row>
    <row r="2930" ht="14.25" spans="1:8">
      <c r="A2930" s="3" t="str">
        <f>"11902209803"</f>
        <v>11902209803</v>
      </c>
      <c r="B2930" s="3">
        <v>2</v>
      </c>
      <c r="C2930" s="3">
        <v>98</v>
      </c>
      <c r="D2930" s="3">
        <v>3</v>
      </c>
      <c r="E2930" s="3" t="s">
        <v>10</v>
      </c>
      <c r="F2930" s="4">
        <v>75.5</v>
      </c>
      <c r="G2930" s="4"/>
      <c r="H2930" s="4">
        <f t="shared" si="291"/>
        <v>75.5</v>
      </c>
    </row>
    <row r="2931" ht="14.25" spans="1:8">
      <c r="A2931" s="3" t="str">
        <f>"11902209804"</f>
        <v>11902209804</v>
      </c>
      <c r="B2931" s="3">
        <v>2</v>
      </c>
      <c r="C2931" s="3">
        <v>98</v>
      </c>
      <c r="D2931" s="3">
        <v>4</v>
      </c>
      <c r="E2931" s="3" t="s">
        <v>10</v>
      </c>
      <c r="F2931" s="4">
        <v>55</v>
      </c>
      <c r="G2931" s="4"/>
      <c r="H2931" s="4">
        <f t="shared" si="291"/>
        <v>55</v>
      </c>
    </row>
    <row r="2932" ht="14.25" spans="1:8">
      <c r="A2932" s="3" t="str">
        <f>"11902209805"</f>
        <v>11902209805</v>
      </c>
      <c r="B2932" s="3">
        <v>2</v>
      </c>
      <c r="C2932" s="3">
        <v>98</v>
      </c>
      <c r="D2932" s="3">
        <v>5</v>
      </c>
      <c r="E2932" s="3" t="s">
        <v>10</v>
      </c>
      <c r="F2932" s="4">
        <v>82</v>
      </c>
      <c r="G2932" s="4"/>
      <c r="H2932" s="4">
        <f t="shared" si="291"/>
        <v>82</v>
      </c>
    </row>
    <row r="2933" ht="14.25" spans="1:8">
      <c r="A2933" s="3" t="str">
        <f>"11902209806"</f>
        <v>11902209806</v>
      </c>
      <c r="B2933" s="3">
        <v>2</v>
      </c>
      <c r="C2933" s="3">
        <v>98</v>
      </c>
      <c r="D2933" s="3">
        <v>6</v>
      </c>
      <c r="E2933" s="3" t="s">
        <v>10</v>
      </c>
      <c r="F2933" s="4">
        <v>64</v>
      </c>
      <c r="G2933" s="4"/>
      <c r="H2933" s="4">
        <f t="shared" si="291"/>
        <v>64</v>
      </c>
    </row>
    <row r="2934" ht="14.25" spans="1:8">
      <c r="A2934" s="3" t="str">
        <f>"11902209807"</f>
        <v>11902209807</v>
      </c>
      <c r="B2934" s="3">
        <v>2</v>
      </c>
      <c r="C2934" s="3">
        <v>98</v>
      </c>
      <c r="D2934" s="3">
        <v>7</v>
      </c>
      <c r="E2934" s="3" t="s">
        <v>10</v>
      </c>
      <c r="F2934" s="4">
        <v>79</v>
      </c>
      <c r="G2934" s="4"/>
      <c r="H2934" s="4">
        <f t="shared" si="291"/>
        <v>79</v>
      </c>
    </row>
    <row r="2935" ht="14.25" spans="1:8">
      <c r="A2935" s="3" t="str">
        <f>"11902209808"</f>
        <v>11902209808</v>
      </c>
      <c r="B2935" s="3">
        <v>2</v>
      </c>
      <c r="C2935" s="3">
        <v>98</v>
      </c>
      <c r="D2935" s="3">
        <v>8</v>
      </c>
      <c r="E2935" s="3" t="s">
        <v>10</v>
      </c>
      <c r="F2935" s="3">
        <v>0</v>
      </c>
      <c r="G2935" s="4"/>
      <c r="H2935" s="3">
        <v>0</v>
      </c>
    </row>
    <row r="2936" ht="14.25" spans="1:8">
      <c r="A2936" s="3" t="str">
        <f>"11902209809"</f>
        <v>11902209809</v>
      </c>
      <c r="B2936" s="3">
        <v>2</v>
      </c>
      <c r="C2936" s="3">
        <v>98</v>
      </c>
      <c r="D2936" s="3">
        <v>9</v>
      </c>
      <c r="E2936" s="3" t="s">
        <v>10</v>
      </c>
      <c r="F2936" s="4">
        <v>60.5</v>
      </c>
      <c r="G2936" s="4"/>
      <c r="H2936" s="4">
        <f t="shared" ref="H2936:H2951" si="292">F2936+G2936</f>
        <v>60.5</v>
      </c>
    </row>
    <row r="2937" ht="14.25" spans="1:8">
      <c r="A2937" s="3" t="str">
        <f>"11902209810"</f>
        <v>11902209810</v>
      </c>
      <c r="B2937" s="3">
        <v>2</v>
      </c>
      <c r="C2937" s="3">
        <v>98</v>
      </c>
      <c r="D2937" s="3">
        <v>10</v>
      </c>
      <c r="E2937" s="3" t="s">
        <v>10</v>
      </c>
      <c r="F2937" s="4">
        <v>60</v>
      </c>
      <c r="G2937" s="4"/>
      <c r="H2937" s="4">
        <f t="shared" si="292"/>
        <v>60</v>
      </c>
    </row>
    <row r="2938" ht="14.25" spans="1:8">
      <c r="A2938" s="3" t="str">
        <f>"11902209811"</f>
        <v>11902209811</v>
      </c>
      <c r="B2938" s="3">
        <v>2</v>
      </c>
      <c r="C2938" s="3">
        <v>98</v>
      </c>
      <c r="D2938" s="3">
        <v>11</v>
      </c>
      <c r="E2938" s="3" t="s">
        <v>10</v>
      </c>
      <c r="F2938" s="4">
        <v>77.5</v>
      </c>
      <c r="G2938" s="4"/>
      <c r="H2938" s="4">
        <f t="shared" si="292"/>
        <v>77.5</v>
      </c>
    </row>
    <row r="2939" ht="14.25" spans="1:8">
      <c r="A2939" s="3" t="str">
        <f>"11902209812"</f>
        <v>11902209812</v>
      </c>
      <c r="B2939" s="3">
        <v>2</v>
      </c>
      <c r="C2939" s="3">
        <v>98</v>
      </c>
      <c r="D2939" s="3">
        <v>12</v>
      </c>
      <c r="E2939" s="3" t="s">
        <v>10</v>
      </c>
      <c r="F2939" s="4">
        <v>70</v>
      </c>
      <c r="G2939" s="4"/>
      <c r="H2939" s="4">
        <f t="shared" si="292"/>
        <v>70</v>
      </c>
    </row>
    <row r="2940" ht="14.25" spans="1:8">
      <c r="A2940" s="3" t="str">
        <f>"11902209813"</f>
        <v>11902209813</v>
      </c>
      <c r="B2940" s="3">
        <v>2</v>
      </c>
      <c r="C2940" s="3">
        <v>98</v>
      </c>
      <c r="D2940" s="3">
        <v>13</v>
      </c>
      <c r="E2940" s="3" t="s">
        <v>10</v>
      </c>
      <c r="F2940" s="4">
        <v>50.5</v>
      </c>
      <c r="G2940" s="4"/>
      <c r="H2940" s="4">
        <f t="shared" si="292"/>
        <v>50.5</v>
      </c>
    </row>
    <row r="2941" ht="14.25" spans="1:8">
      <c r="A2941" s="3" t="str">
        <f>"11902209814"</f>
        <v>11902209814</v>
      </c>
      <c r="B2941" s="3">
        <v>2</v>
      </c>
      <c r="C2941" s="3">
        <v>98</v>
      </c>
      <c r="D2941" s="3">
        <v>14</v>
      </c>
      <c r="E2941" s="3" t="s">
        <v>10</v>
      </c>
      <c r="F2941" s="4">
        <v>85</v>
      </c>
      <c r="G2941" s="4"/>
      <c r="H2941" s="4">
        <f t="shared" si="292"/>
        <v>85</v>
      </c>
    </row>
    <row r="2942" ht="14.25" spans="1:8">
      <c r="A2942" s="3" t="str">
        <f>"11902209815"</f>
        <v>11902209815</v>
      </c>
      <c r="B2942" s="3">
        <v>2</v>
      </c>
      <c r="C2942" s="3">
        <v>98</v>
      </c>
      <c r="D2942" s="3">
        <v>15</v>
      </c>
      <c r="E2942" s="3" t="s">
        <v>10</v>
      </c>
      <c r="F2942" s="4">
        <v>88</v>
      </c>
      <c r="G2942" s="4"/>
      <c r="H2942" s="4">
        <f t="shared" si="292"/>
        <v>88</v>
      </c>
    </row>
    <row r="2943" ht="14.25" spans="1:8">
      <c r="A2943" s="3" t="str">
        <f>"11902209816"</f>
        <v>11902209816</v>
      </c>
      <c r="B2943" s="3">
        <v>2</v>
      </c>
      <c r="C2943" s="3">
        <v>98</v>
      </c>
      <c r="D2943" s="3">
        <v>16</v>
      </c>
      <c r="E2943" s="3" t="s">
        <v>10</v>
      </c>
      <c r="F2943" s="4">
        <v>74.5</v>
      </c>
      <c r="G2943" s="4"/>
      <c r="H2943" s="4">
        <f t="shared" si="292"/>
        <v>74.5</v>
      </c>
    </row>
    <row r="2944" ht="14.25" spans="1:8">
      <c r="A2944" s="3" t="str">
        <f>"11902209817"</f>
        <v>11902209817</v>
      </c>
      <c r="B2944" s="3">
        <v>2</v>
      </c>
      <c r="C2944" s="3">
        <v>98</v>
      </c>
      <c r="D2944" s="3">
        <v>17</v>
      </c>
      <c r="E2944" s="3" t="s">
        <v>10</v>
      </c>
      <c r="F2944" s="4">
        <v>72</v>
      </c>
      <c r="G2944" s="4"/>
      <c r="H2944" s="4">
        <f t="shared" si="292"/>
        <v>72</v>
      </c>
    </row>
    <row r="2945" ht="14.25" spans="1:8">
      <c r="A2945" s="3" t="str">
        <f>"11902209818"</f>
        <v>11902209818</v>
      </c>
      <c r="B2945" s="3">
        <v>2</v>
      </c>
      <c r="C2945" s="3">
        <v>98</v>
      </c>
      <c r="D2945" s="3">
        <v>18</v>
      </c>
      <c r="E2945" s="3" t="s">
        <v>10</v>
      </c>
      <c r="F2945" s="4">
        <v>89.5</v>
      </c>
      <c r="G2945" s="4"/>
      <c r="H2945" s="4">
        <f t="shared" si="292"/>
        <v>89.5</v>
      </c>
    </row>
    <row r="2946" ht="14.25" spans="1:8">
      <c r="A2946" s="3" t="str">
        <f>"11902209819"</f>
        <v>11902209819</v>
      </c>
      <c r="B2946" s="3">
        <v>2</v>
      </c>
      <c r="C2946" s="3">
        <v>98</v>
      </c>
      <c r="D2946" s="3">
        <v>19</v>
      </c>
      <c r="E2946" s="3" t="s">
        <v>10</v>
      </c>
      <c r="F2946" s="4">
        <v>77.5</v>
      </c>
      <c r="G2946" s="4"/>
      <c r="H2946" s="4">
        <f t="shared" si="292"/>
        <v>77.5</v>
      </c>
    </row>
    <row r="2947" ht="14.25" spans="1:8">
      <c r="A2947" s="3" t="str">
        <f>"11902209820"</f>
        <v>11902209820</v>
      </c>
      <c r="B2947" s="3">
        <v>2</v>
      </c>
      <c r="C2947" s="3">
        <v>98</v>
      </c>
      <c r="D2947" s="3">
        <v>20</v>
      </c>
      <c r="E2947" s="3" t="s">
        <v>10</v>
      </c>
      <c r="F2947" s="4">
        <v>78</v>
      </c>
      <c r="G2947" s="4"/>
      <c r="H2947" s="4">
        <f t="shared" si="292"/>
        <v>78</v>
      </c>
    </row>
    <row r="2948" ht="14.25" spans="1:8">
      <c r="A2948" s="3" t="str">
        <f>"11902209821"</f>
        <v>11902209821</v>
      </c>
      <c r="B2948" s="3">
        <v>2</v>
      </c>
      <c r="C2948" s="3">
        <v>98</v>
      </c>
      <c r="D2948" s="3">
        <v>21</v>
      </c>
      <c r="E2948" s="3" t="s">
        <v>10</v>
      </c>
      <c r="F2948" s="4">
        <v>58.5</v>
      </c>
      <c r="G2948" s="4"/>
      <c r="H2948" s="4">
        <f t="shared" si="292"/>
        <v>58.5</v>
      </c>
    </row>
    <row r="2949" ht="14.25" spans="1:8">
      <c r="A2949" s="3" t="str">
        <f>"11902209822"</f>
        <v>11902209822</v>
      </c>
      <c r="B2949" s="3">
        <v>2</v>
      </c>
      <c r="C2949" s="3">
        <v>98</v>
      </c>
      <c r="D2949" s="3">
        <v>22</v>
      </c>
      <c r="E2949" s="3" t="s">
        <v>10</v>
      </c>
      <c r="F2949" s="4">
        <v>72.5</v>
      </c>
      <c r="G2949" s="4"/>
      <c r="H2949" s="4">
        <f t="shared" si="292"/>
        <v>72.5</v>
      </c>
    </row>
    <row r="2950" ht="14.25" spans="1:8">
      <c r="A2950" s="3" t="str">
        <f>"11902209823"</f>
        <v>11902209823</v>
      </c>
      <c r="B2950" s="3">
        <v>2</v>
      </c>
      <c r="C2950" s="3">
        <v>98</v>
      </c>
      <c r="D2950" s="3">
        <v>23</v>
      </c>
      <c r="E2950" s="3" t="s">
        <v>10</v>
      </c>
      <c r="F2950" s="4">
        <v>78.5</v>
      </c>
      <c r="G2950" s="4"/>
      <c r="H2950" s="4">
        <f t="shared" si="292"/>
        <v>78.5</v>
      </c>
    </row>
    <row r="2951" ht="14.25" spans="1:8">
      <c r="A2951" s="3" t="str">
        <f>"11902209824"</f>
        <v>11902209824</v>
      </c>
      <c r="B2951" s="3">
        <v>2</v>
      </c>
      <c r="C2951" s="3">
        <v>98</v>
      </c>
      <c r="D2951" s="3">
        <v>24</v>
      </c>
      <c r="E2951" s="3" t="s">
        <v>10</v>
      </c>
      <c r="F2951" s="4">
        <v>74.5</v>
      </c>
      <c r="G2951" s="4"/>
      <c r="H2951" s="4">
        <f t="shared" si="292"/>
        <v>74.5</v>
      </c>
    </row>
    <row r="2952" ht="14.25" spans="1:8">
      <c r="A2952" s="3" t="str">
        <f>"11902209825"</f>
        <v>11902209825</v>
      </c>
      <c r="B2952" s="3">
        <v>2</v>
      </c>
      <c r="C2952" s="3">
        <v>98</v>
      </c>
      <c r="D2952" s="3">
        <v>25</v>
      </c>
      <c r="E2952" s="3" t="s">
        <v>10</v>
      </c>
      <c r="F2952" s="3">
        <v>0</v>
      </c>
      <c r="G2952" s="4"/>
      <c r="H2952" s="3">
        <v>0</v>
      </c>
    </row>
    <row r="2953" ht="14.25" spans="1:8">
      <c r="A2953" s="3" t="str">
        <f>"11902209826"</f>
        <v>11902209826</v>
      </c>
      <c r="B2953" s="3">
        <v>2</v>
      </c>
      <c r="C2953" s="3">
        <v>98</v>
      </c>
      <c r="D2953" s="3">
        <v>26</v>
      </c>
      <c r="E2953" s="3" t="s">
        <v>10</v>
      </c>
      <c r="F2953" s="4">
        <v>63.5</v>
      </c>
      <c r="G2953" s="4"/>
      <c r="H2953" s="4">
        <f t="shared" ref="H2953:H2959" si="293">F2953+G2953</f>
        <v>63.5</v>
      </c>
    </row>
    <row r="2954" ht="14.25" spans="1:8">
      <c r="A2954" s="3" t="str">
        <f>"11902209827"</f>
        <v>11902209827</v>
      </c>
      <c r="B2954" s="3">
        <v>2</v>
      </c>
      <c r="C2954" s="3">
        <v>98</v>
      </c>
      <c r="D2954" s="3">
        <v>27</v>
      </c>
      <c r="E2954" s="3" t="s">
        <v>10</v>
      </c>
      <c r="F2954" s="4">
        <v>76.5</v>
      </c>
      <c r="G2954" s="4"/>
      <c r="H2954" s="4">
        <f t="shared" si="293"/>
        <v>76.5</v>
      </c>
    </row>
    <row r="2955" ht="14.25" spans="1:8">
      <c r="A2955" s="3" t="str">
        <f>"11902209828"</f>
        <v>11902209828</v>
      </c>
      <c r="B2955" s="3">
        <v>2</v>
      </c>
      <c r="C2955" s="3">
        <v>98</v>
      </c>
      <c r="D2955" s="3">
        <v>28</v>
      </c>
      <c r="E2955" s="3" t="s">
        <v>10</v>
      </c>
      <c r="F2955" s="4">
        <v>77</v>
      </c>
      <c r="G2955" s="4"/>
      <c r="H2955" s="4">
        <f t="shared" si="293"/>
        <v>77</v>
      </c>
    </row>
    <row r="2956" ht="14.25" spans="1:8">
      <c r="A2956" s="3" t="str">
        <f>"11902209829"</f>
        <v>11902209829</v>
      </c>
      <c r="B2956" s="3">
        <v>2</v>
      </c>
      <c r="C2956" s="3">
        <v>98</v>
      </c>
      <c r="D2956" s="3">
        <v>29</v>
      </c>
      <c r="E2956" s="3" t="s">
        <v>10</v>
      </c>
      <c r="F2956" s="4">
        <v>66</v>
      </c>
      <c r="G2956" s="4"/>
      <c r="H2956" s="4">
        <f t="shared" si="293"/>
        <v>66</v>
      </c>
    </row>
    <row r="2957" ht="14.25" spans="1:8">
      <c r="A2957" s="3" t="str">
        <f>"11902209830"</f>
        <v>11902209830</v>
      </c>
      <c r="B2957" s="3">
        <v>2</v>
      </c>
      <c r="C2957" s="3">
        <v>98</v>
      </c>
      <c r="D2957" s="3">
        <v>30</v>
      </c>
      <c r="E2957" s="3" t="s">
        <v>10</v>
      </c>
      <c r="F2957" s="4">
        <v>73.5</v>
      </c>
      <c r="G2957" s="4"/>
      <c r="H2957" s="4">
        <f t="shared" si="293"/>
        <v>73.5</v>
      </c>
    </row>
    <row r="2958" ht="14.25" spans="1:8">
      <c r="A2958" s="3" t="str">
        <f>"11902209901"</f>
        <v>11902209901</v>
      </c>
      <c r="B2958" s="3">
        <v>2</v>
      </c>
      <c r="C2958" s="3">
        <v>99</v>
      </c>
      <c r="D2958" s="3">
        <v>1</v>
      </c>
      <c r="E2958" s="3" t="s">
        <v>10</v>
      </c>
      <c r="F2958" s="4">
        <v>79.5</v>
      </c>
      <c r="G2958" s="4"/>
      <c r="H2958" s="4">
        <f t="shared" si="293"/>
        <v>79.5</v>
      </c>
    </row>
    <row r="2959" ht="14.25" spans="1:8">
      <c r="A2959" s="3" t="str">
        <f>"11902209902"</f>
        <v>11902209902</v>
      </c>
      <c r="B2959" s="3">
        <v>2</v>
      </c>
      <c r="C2959" s="3">
        <v>99</v>
      </c>
      <c r="D2959" s="3">
        <v>2</v>
      </c>
      <c r="E2959" s="3" t="s">
        <v>10</v>
      </c>
      <c r="F2959" s="4">
        <v>79</v>
      </c>
      <c r="G2959" s="4"/>
      <c r="H2959" s="4">
        <f t="shared" si="293"/>
        <v>79</v>
      </c>
    </row>
    <row r="2960" ht="14.25" spans="1:8">
      <c r="A2960" s="3" t="str">
        <f>"11902209903"</f>
        <v>11902209903</v>
      </c>
      <c r="B2960" s="3">
        <v>2</v>
      </c>
      <c r="C2960" s="3">
        <v>99</v>
      </c>
      <c r="D2960" s="3">
        <v>3</v>
      </c>
      <c r="E2960" s="3" t="s">
        <v>10</v>
      </c>
      <c r="F2960" s="3">
        <v>0</v>
      </c>
      <c r="G2960" s="4"/>
      <c r="H2960" s="3">
        <v>0</v>
      </c>
    </row>
    <row r="2961" ht="14.25" spans="1:8">
      <c r="A2961" s="3" t="str">
        <f>"11902209904"</f>
        <v>11902209904</v>
      </c>
      <c r="B2961" s="3">
        <v>2</v>
      </c>
      <c r="C2961" s="3">
        <v>99</v>
      </c>
      <c r="D2961" s="3">
        <v>4</v>
      </c>
      <c r="E2961" s="3" t="s">
        <v>10</v>
      </c>
      <c r="F2961" s="4">
        <v>82</v>
      </c>
      <c r="G2961" s="4"/>
      <c r="H2961" s="4">
        <f t="shared" ref="H2961:H2974" si="294">F2961+G2961</f>
        <v>82</v>
      </c>
    </row>
    <row r="2962" ht="14.25" spans="1:8">
      <c r="A2962" s="3" t="str">
        <f>"11902209905"</f>
        <v>11902209905</v>
      </c>
      <c r="B2962" s="3">
        <v>2</v>
      </c>
      <c r="C2962" s="3">
        <v>99</v>
      </c>
      <c r="D2962" s="3">
        <v>5</v>
      </c>
      <c r="E2962" s="3" t="s">
        <v>10</v>
      </c>
      <c r="F2962" s="3">
        <v>0</v>
      </c>
      <c r="G2962" s="4"/>
      <c r="H2962" s="3">
        <v>0</v>
      </c>
    </row>
    <row r="2963" ht="14.25" spans="1:8">
      <c r="A2963" s="3" t="str">
        <f>"11902209906"</f>
        <v>11902209906</v>
      </c>
      <c r="B2963" s="3">
        <v>2</v>
      </c>
      <c r="C2963" s="3">
        <v>99</v>
      </c>
      <c r="D2963" s="3">
        <v>6</v>
      </c>
      <c r="E2963" s="3" t="s">
        <v>10</v>
      </c>
      <c r="F2963" s="4">
        <v>73.5</v>
      </c>
      <c r="G2963" s="4"/>
      <c r="H2963" s="4">
        <f t="shared" si="294"/>
        <v>73.5</v>
      </c>
    </row>
    <row r="2964" ht="14.25" spans="1:8">
      <c r="A2964" s="3" t="str">
        <f>"11902209907"</f>
        <v>11902209907</v>
      </c>
      <c r="B2964" s="3">
        <v>2</v>
      </c>
      <c r="C2964" s="3">
        <v>99</v>
      </c>
      <c r="D2964" s="3">
        <v>7</v>
      </c>
      <c r="E2964" s="3" t="s">
        <v>10</v>
      </c>
      <c r="F2964" s="4">
        <v>67.5</v>
      </c>
      <c r="G2964" s="4"/>
      <c r="H2964" s="4">
        <f t="shared" si="294"/>
        <v>67.5</v>
      </c>
    </row>
    <row r="2965" ht="14.25" spans="1:8">
      <c r="A2965" s="3" t="str">
        <f>"11902209908"</f>
        <v>11902209908</v>
      </c>
      <c r="B2965" s="3">
        <v>2</v>
      </c>
      <c r="C2965" s="3">
        <v>99</v>
      </c>
      <c r="D2965" s="3">
        <v>8</v>
      </c>
      <c r="E2965" s="3" t="s">
        <v>10</v>
      </c>
      <c r="F2965" s="4">
        <v>52.5</v>
      </c>
      <c r="G2965" s="4"/>
      <c r="H2965" s="4">
        <f t="shared" si="294"/>
        <v>52.5</v>
      </c>
    </row>
    <row r="2966" ht="14.25" spans="1:8">
      <c r="A2966" s="3" t="str">
        <f>"11902209909"</f>
        <v>11902209909</v>
      </c>
      <c r="B2966" s="3">
        <v>2</v>
      </c>
      <c r="C2966" s="3">
        <v>99</v>
      </c>
      <c r="D2966" s="3">
        <v>9</v>
      </c>
      <c r="E2966" s="3" t="s">
        <v>10</v>
      </c>
      <c r="F2966" s="4">
        <v>48</v>
      </c>
      <c r="G2966" s="4"/>
      <c r="H2966" s="4">
        <f t="shared" si="294"/>
        <v>48</v>
      </c>
    </row>
    <row r="2967" ht="14.25" spans="1:8">
      <c r="A2967" s="3" t="str">
        <f>"11902209910"</f>
        <v>11902209910</v>
      </c>
      <c r="B2967" s="3">
        <v>2</v>
      </c>
      <c r="C2967" s="3">
        <v>99</v>
      </c>
      <c r="D2967" s="3">
        <v>10</v>
      </c>
      <c r="E2967" s="3" t="s">
        <v>10</v>
      </c>
      <c r="F2967" s="4">
        <v>81.5</v>
      </c>
      <c r="G2967" s="4"/>
      <c r="H2967" s="4">
        <f t="shared" si="294"/>
        <v>81.5</v>
      </c>
    </row>
    <row r="2968" ht="14.25" spans="1:8">
      <c r="A2968" s="3" t="str">
        <f>"11902209911"</f>
        <v>11902209911</v>
      </c>
      <c r="B2968" s="3">
        <v>2</v>
      </c>
      <c r="C2968" s="3">
        <v>99</v>
      </c>
      <c r="D2968" s="3">
        <v>11</v>
      </c>
      <c r="E2968" s="3" t="s">
        <v>10</v>
      </c>
      <c r="F2968" s="4">
        <v>79</v>
      </c>
      <c r="G2968" s="4"/>
      <c r="H2968" s="4">
        <f t="shared" si="294"/>
        <v>79</v>
      </c>
    </row>
    <row r="2969" ht="14.25" spans="1:8">
      <c r="A2969" s="3" t="str">
        <f>"11902209912"</f>
        <v>11902209912</v>
      </c>
      <c r="B2969" s="3">
        <v>2</v>
      </c>
      <c r="C2969" s="3">
        <v>99</v>
      </c>
      <c r="D2969" s="3">
        <v>12</v>
      </c>
      <c r="E2969" s="3" t="s">
        <v>10</v>
      </c>
      <c r="F2969" s="4">
        <v>71.5</v>
      </c>
      <c r="G2969" s="4"/>
      <c r="H2969" s="4">
        <f t="shared" si="294"/>
        <v>71.5</v>
      </c>
    </row>
    <row r="2970" ht="14.25" spans="1:8">
      <c r="A2970" s="3" t="str">
        <f>"11902209913"</f>
        <v>11902209913</v>
      </c>
      <c r="B2970" s="3">
        <v>2</v>
      </c>
      <c r="C2970" s="3">
        <v>99</v>
      </c>
      <c r="D2970" s="3">
        <v>13</v>
      </c>
      <c r="E2970" s="3" t="s">
        <v>10</v>
      </c>
      <c r="F2970" s="4">
        <v>73</v>
      </c>
      <c r="G2970" s="4"/>
      <c r="H2970" s="4">
        <f t="shared" si="294"/>
        <v>73</v>
      </c>
    </row>
    <row r="2971" ht="14.25" spans="1:8">
      <c r="A2971" s="3" t="str">
        <f>"11902209914"</f>
        <v>11902209914</v>
      </c>
      <c r="B2971" s="3">
        <v>2</v>
      </c>
      <c r="C2971" s="3">
        <v>99</v>
      </c>
      <c r="D2971" s="3">
        <v>14</v>
      </c>
      <c r="E2971" s="3" t="s">
        <v>10</v>
      </c>
      <c r="F2971" s="4">
        <v>73</v>
      </c>
      <c r="G2971" s="4"/>
      <c r="H2971" s="4">
        <f t="shared" si="294"/>
        <v>73</v>
      </c>
    </row>
    <row r="2972" ht="14.25" spans="1:8">
      <c r="A2972" s="3" t="str">
        <f>"11902209915"</f>
        <v>11902209915</v>
      </c>
      <c r="B2972" s="3">
        <v>2</v>
      </c>
      <c r="C2972" s="3">
        <v>99</v>
      </c>
      <c r="D2972" s="3">
        <v>15</v>
      </c>
      <c r="E2972" s="3" t="s">
        <v>10</v>
      </c>
      <c r="F2972" s="4">
        <v>71.5</v>
      </c>
      <c r="G2972" s="4"/>
      <c r="H2972" s="4">
        <f t="shared" si="294"/>
        <v>71.5</v>
      </c>
    </row>
    <row r="2973" ht="14.25" spans="1:8">
      <c r="A2973" s="3" t="str">
        <f>"11902209916"</f>
        <v>11902209916</v>
      </c>
      <c r="B2973" s="3">
        <v>2</v>
      </c>
      <c r="C2973" s="3">
        <v>99</v>
      </c>
      <c r="D2973" s="3">
        <v>16</v>
      </c>
      <c r="E2973" s="3" t="s">
        <v>10</v>
      </c>
      <c r="F2973" s="4">
        <v>61.5</v>
      </c>
      <c r="G2973" s="4"/>
      <c r="H2973" s="4">
        <f t="shared" si="294"/>
        <v>61.5</v>
      </c>
    </row>
    <row r="2974" ht="14.25" spans="1:8">
      <c r="A2974" s="3" t="str">
        <f>"11902209917"</f>
        <v>11902209917</v>
      </c>
      <c r="B2974" s="3">
        <v>2</v>
      </c>
      <c r="C2974" s="3">
        <v>99</v>
      </c>
      <c r="D2974" s="3">
        <v>17</v>
      </c>
      <c r="E2974" s="3" t="s">
        <v>10</v>
      </c>
      <c r="F2974" s="4">
        <v>72</v>
      </c>
      <c r="G2974" s="4"/>
      <c r="H2974" s="4">
        <f t="shared" si="294"/>
        <v>72</v>
      </c>
    </row>
    <row r="2975" ht="14.25" spans="1:8">
      <c r="A2975" s="3" t="str">
        <f>"11902209918"</f>
        <v>11902209918</v>
      </c>
      <c r="B2975" s="3">
        <v>2</v>
      </c>
      <c r="C2975" s="3">
        <v>99</v>
      </c>
      <c r="D2975" s="3">
        <v>18</v>
      </c>
      <c r="E2975" s="3" t="s">
        <v>10</v>
      </c>
      <c r="F2975" s="3">
        <v>0</v>
      </c>
      <c r="G2975" s="4"/>
      <c r="H2975" s="3">
        <v>0</v>
      </c>
    </row>
    <row r="2976" ht="14.25" spans="1:8">
      <c r="A2976" s="3" t="str">
        <f>"11902209919"</f>
        <v>11902209919</v>
      </c>
      <c r="B2976" s="3">
        <v>2</v>
      </c>
      <c r="C2976" s="3">
        <v>99</v>
      </c>
      <c r="D2976" s="3">
        <v>19</v>
      </c>
      <c r="E2976" s="3" t="s">
        <v>10</v>
      </c>
      <c r="F2976" s="4">
        <v>77</v>
      </c>
      <c r="G2976" s="4"/>
      <c r="H2976" s="4">
        <f t="shared" ref="H2976:H2984" si="295">F2976+G2976</f>
        <v>77</v>
      </c>
    </row>
    <row r="2977" ht="14.25" spans="1:8">
      <c r="A2977" s="3" t="str">
        <f>"11902209920"</f>
        <v>11902209920</v>
      </c>
      <c r="B2977" s="3">
        <v>2</v>
      </c>
      <c r="C2977" s="3">
        <v>99</v>
      </c>
      <c r="D2977" s="3">
        <v>20</v>
      </c>
      <c r="E2977" s="3" t="s">
        <v>10</v>
      </c>
      <c r="F2977" s="4">
        <v>75.5</v>
      </c>
      <c r="G2977" s="4"/>
      <c r="H2977" s="4">
        <f t="shared" si="295"/>
        <v>75.5</v>
      </c>
    </row>
    <row r="2978" ht="14.25" spans="1:8">
      <c r="A2978" s="3" t="str">
        <f>"11902209921"</f>
        <v>11902209921</v>
      </c>
      <c r="B2978" s="3">
        <v>2</v>
      </c>
      <c r="C2978" s="3">
        <v>99</v>
      </c>
      <c r="D2978" s="3">
        <v>21</v>
      </c>
      <c r="E2978" s="3" t="s">
        <v>10</v>
      </c>
      <c r="F2978" s="3">
        <v>0</v>
      </c>
      <c r="G2978" s="4"/>
      <c r="H2978" s="3">
        <v>0</v>
      </c>
    </row>
    <row r="2979" ht="14.25" spans="1:8">
      <c r="A2979" s="3" t="str">
        <f>"11902209922"</f>
        <v>11902209922</v>
      </c>
      <c r="B2979" s="3">
        <v>2</v>
      </c>
      <c r="C2979" s="3">
        <v>99</v>
      </c>
      <c r="D2979" s="3">
        <v>22</v>
      </c>
      <c r="E2979" s="3" t="s">
        <v>10</v>
      </c>
      <c r="F2979" s="3">
        <v>0</v>
      </c>
      <c r="G2979" s="4"/>
      <c r="H2979" s="3">
        <v>0</v>
      </c>
    </row>
    <row r="2980" ht="14.25" spans="1:8">
      <c r="A2980" s="3" t="str">
        <f>"11902209923"</f>
        <v>11902209923</v>
      </c>
      <c r="B2980" s="3">
        <v>2</v>
      </c>
      <c r="C2980" s="3">
        <v>99</v>
      </c>
      <c r="D2980" s="3">
        <v>23</v>
      </c>
      <c r="E2980" s="3" t="s">
        <v>10</v>
      </c>
      <c r="F2980" s="4">
        <v>77</v>
      </c>
      <c r="G2980" s="4"/>
      <c r="H2980" s="4">
        <f t="shared" si="295"/>
        <v>77</v>
      </c>
    </row>
    <row r="2981" ht="14.25" spans="1:8">
      <c r="A2981" s="3" t="str">
        <f>"11902209924"</f>
        <v>11902209924</v>
      </c>
      <c r="B2981" s="3">
        <v>2</v>
      </c>
      <c r="C2981" s="3">
        <v>99</v>
      </c>
      <c r="D2981" s="3">
        <v>24</v>
      </c>
      <c r="E2981" s="3" t="s">
        <v>10</v>
      </c>
      <c r="F2981" s="4">
        <v>71</v>
      </c>
      <c r="G2981" s="4"/>
      <c r="H2981" s="4">
        <f t="shared" si="295"/>
        <v>71</v>
      </c>
    </row>
    <row r="2982" ht="14.25" spans="1:8">
      <c r="A2982" s="3" t="str">
        <f>"11902209925"</f>
        <v>11902209925</v>
      </c>
      <c r="B2982" s="3">
        <v>2</v>
      </c>
      <c r="C2982" s="3">
        <v>99</v>
      </c>
      <c r="D2982" s="3">
        <v>25</v>
      </c>
      <c r="E2982" s="3" t="s">
        <v>10</v>
      </c>
      <c r="F2982" s="4">
        <v>68</v>
      </c>
      <c r="G2982" s="4"/>
      <c r="H2982" s="4">
        <f t="shared" si="295"/>
        <v>68</v>
      </c>
    </row>
    <row r="2983" ht="14.25" spans="1:8">
      <c r="A2983" s="3" t="str">
        <f>"11902209926"</f>
        <v>11902209926</v>
      </c>
      <c r="B2983" s="3">
        <v>2</v>
      </c>
      <c r="C2983" s="3">
        <v>99</v>
      </c>
      <c r="D2983" s="3">
        <v>26</v>
      </c>
      <c r="E2983" s="3" t="s">
        <v>10</v>
      </c>
      <c r="F2983" s="4">
        <v>51.5</v>
      </c>
      <c r="G2983" s="4"/>
      <c r="H2983" s="4">
        <f t="shared" si="295"/>
        <v>51.5</v>
      </c>
    </row>
    <row r="2984" ht="14.25" spans="1:8">
      <c r="A2984" s="3" t="str">
        <f>"11902209927"</f>
        <v>11902209927</v>
      </c>
      <c r="B2984" s="3">
        <v>2</v>
      </c>
      <c r="C2984" s="3">
        <v>99</v>
      </c>
      <c r="D2984" s="3">
        <v>27</v>
      </c>
      <c r="E2984" s="3" t="s">
        <v>10</v>
      </c>
      <c r="F2984" s="4">
        <v>76.5</v>
      </c>
      <c r="G2984" s="4"/>
      <c r="H2984" s="4">
        <f t="shared" si="295"/>
        <v>76.5</v>
      </c>
    </row>
    <row r="2985" ht="14.25" spans="1:8">
      <c r="A2985" s="3" t="str">
        <f>"11902209928"</f>
        <v>11902209928</v>
      </c>
      <c r="B2985" s="3">
        <v>2</v>
      </c>
      <c r="C2985" s="3">
        <v>99</v>
      </c>
      <c r="D2985" s="3">
        <v>28</v>
      </c>
      <c r="E2985" s="3" t="s">
        <v>10</v>
      </c>
      <c r="F2985" s="3">
        <v>0</v>
      </c>
      <c r="G2985" s="4"/>
      <c r="H2985" s="3">
        <v>0</v>
      </c>
    </row>
    <row r="2986" ht="14.25" spans="1:8">
      <c r="A2986" s="3" t="str">
        <f>"11902209929"</f>
        <v>11902209929</v>
      </c>
      <c r="B2986" s="3">
        <v>2</v>
      </c>
      <c r="C2986" s="3">
        <v>99</v>
      </c>
      <c r="D2986" s="3">
        <v>29</v>
      </c>
      <c r="E2986" s="3" t="s">
        <v>10</v>
      </c>
      <c r="F2986" s="4">
        <v>58</v>
      </c>
      <c r="G2986" s="4"/>
      <c r="H2986" s="4">
        <f t="shared" ref="H2986:H3006" si="296">F2986+G2986</f>
        <v>58</v>
      </c>
    </row>
    <row r="2987" ht="14.25" spans="1:8">
      <c r="A2987" s="3" t="str">
        <f>"11902209930"</f>
        <v>11902209930</v>
      </c>
      <c r="B2987" s="3">
        <v>2</v>
      </c>
      <c r="C2987" s="3">
        <v>99</v>
      </c>
      <c r="D2987" s="3">
        <v>30</v>
      </c>
      <c r="E2987" s="3" t="s">
        <v>10</v>
      </c>
      <c r="F2987" s="4">
        <v>60</v>
      </c>
      <c r="G2987" s="4"/>
      <c r="H2987" s="4">
        <f t="shared" si="296"/>
        <v>60</v>
      </c>
    </row>
    <row r="2988" ht="14.25" spans="1:8">
      <c r="A2988" s="3" t="str">
        <f>"11902210001"</f>
        <v>11902210001</v>
      </c>
      <c r="B2988" s="3">
        <v>2</v>
      </c>
      <c r="C2988" s="3">
        <v>100</v>
      </c>
      <c r="D2988" s="3">
        <v>1</v>
      </c>
      <c r="E2988" s="3" t="s">
        <v>10</v>
      </c>
      <c r="F2988" s="4">
        <v>78.5</v>
      </c>
      <c r="G2988" s="4"/>
      <c r="H2988" s="4">
        <f t="shared" si="296"/>
        <v>78.5</v>
      </c>
    </row>
    <row r="2989" ht="14.25" spans="1:8">
      <c r="A2989" s="3" t="str">
        <f>"11902210002"</f>
        <v>11902210002</v>
      </c>
      <c r="B2989" s="3">
        <v>2</v>
      </c>
      <c r="C2989" s="3">
        <v>100</v>
      </c>
      <c r="D2989" s="3">
        <v>2</v>
      </c>
      <c r="E2989" s="3" t="s">
        <v>10</v>
      </c>
      <c r="F2989" s="4">
        <v>53</v>
      </c>
      <c r="G2989" s="4"/>
      <c r="H2989" s="4">
        <f t="shared" si="296"/>
        <v>53</v>
      </c>
    </row>
    <row r="2990" ht="14.25" spans="1:8">
      <c r="A2990" s="3" t="str">
        <f>"11902210003"</f>
        <v>11902210003</v>
      </c>
      <c r="B2990" s="3">
        <v>2</v>
      </c>
      <c r="C2990" s="3">
        <v>100</v>
      </c>
      <c r="D2990" s="3">
        <v>3</v>
      </c>
      <c r="E2990" s="3" t="s">
        <v>10</v>
      </c>
      <c r="F2990" s="4">
        <v>54</v>
      </c>
      <c r="G2990" s="4"/>
      <c r="H2990" s="4">
        <f t="shared" si="296"/>
        <v>54</v>
      </c>
    </row>
    <row r="2991" ht="14.25" spans="1:8">
      <c r="A2991" s="3" t="str">
        <f>"11902210004"</f>
        <v>11902210004</v>
      </c>
      <c r="B2991" s="3">
        <v>2</v>
      </c>
      <c r="C2991" s="3">
        <v>100</v>
      </c>
      <c r="D2991" s="3">
        <v>4</v>
      </c>
      <c r="E2991" s="3" t="s">
        <v>10</v>
      </c>
      <c r="F2991" s="4">
        <v>83</v>
      </c>
      <c r="G2991" s="4"/>
      <c r="H2991" s="4">
        <f t="shared" si="296"/>
        <v>83</v>
      </c>
    </row>
    <row r="2992" ht="14.25" spans="1:8">
      <c r="A2992" s="3" t="str">
        <f>"11902210005"</f>
        <v>11902210005</v>
      </c>
      <c r="B2992" s="3">
        <v>2</v>
      </c>
      <c r="C2992" s="3">
        <v>100</v>
      </c>
      <c r="D2992" s="3">
        <v>5</v>
      </c>
      <c r="E2992" s="3" t="s">
        <v>10</v>
      </c>
      <c r="F2992" s="4">
        <v>78.5</v>
      </c>
      <c r="G2992" s="4"/>
      <c r="H2992" s="4">
        <f t="shared" si="296"/>
        <v>78.5</v>
      </c>
    </row>
    <row r="2993" ht="14.25" spans="1:8">
      <c r="A2993" s="3" t="str">
        <f>"11902210006"</f>
        <v>11902210006</v>
      </c>
      <c r="B2993" s="3">
        <v>2</v>
      </c>
      <c r="C2993" s="3">
        <v>100</v>
      </c>
      <c r="D2993" s="3">
        <v>6</v>
      </c>
      <c r="E2993" s="3" t="s">
        <v>10</v>
      </c>
      <c r="F2993" s="4">
        <v>77</v>
      </c>
      <c r="G2993" s="4"/>
      <c r="H2993" s="4">
        <f t="shared" si="296"/>
        <v>77</v>
      </c>
    </row>
    <row r="2994" ht="14.25" spans="1:8">
      <c r="A2994" s="3" t="str">
        <f>"11902210007"</f>
        <v>11902210007</v>
      </c>
      <c r="B2994" s="3">
        <v>2</v>
      </c>
      <c r="C2994" s="3">
        <v>100</v>
      </c>
      <c r="D2994" s="3">
        <v>7</v>
      </c>
      <c r="E2994" s="3" t="s">
        <v>10</v>
      </c>
      <c r="F2994" s="4">
        <v>69</v>
      </c>
      <c r="G2994" s="4"/>
      <c r="H2994" s="4">
        <f t="shared" si="296"/>
        <v>69</v>
      </c>
    </row>
    <row r="2995" ht="14.25" spans="1:8">
      <c r="A2995" s="3" t="str">
        <f>"11902210008"</f>
        <v>11902210008</v>
      </c>
      <c r="B2995" s="3">
        <v>2</v>
      </c>
      <c r="C2995" s="3">
        <v>100</v>
      </c>
      <c r="D2995" s="3">
        <v>8</v>
      </c>
      <c r="E2995" s="3" t="s">
        <v>10</v>
      </c>
      <c r="F2995" s="4">
        <v>76</v>
      </c>
      <c r="G2995" s="4"/>
      <c r="H2995" s="4">
        <f t="shared" si="296"/>
        <v>76</v>
      </c>
    </row>
    <row r="2996" ht="14.25" spans="1:8">
      <c r="A2996" s="3" t="str">
        <f>"11902210009"</f>
        <v>11902210009</v>
      </c>
      <c r="B2996" s="3">
        <v>2</v>
      </c>
      <c r="C2996" s="3">
        <v>100</v>
      </c>
      <c r="D2996" s="3">
        <v>9</v>
      </c>
      <c r="E2996" s="3" t="s">
        <v>10</v>
      </c>
      <c r="F2996" s="4">
        <v>74.5</v>
      </c>
      <c r="G2996" s="4"/>
      <c r="H2996" s="4">
        <f t="shared" si="296"/>
        <v>74.5</v>
      </c>
    </row>
    <row r="2997" ht="14.25" spans="1:8">
      <c r="A2997" s="3" t="str">
        <f>"11902210010"</f>
        <v>11902210010</v>
      </c>
      <c r="B2997" s="3">
        <v>2</v>
      </c>
      <c r="C2997" s="3">
        <v>100</v>
      </c>
      <c r="D2997" s="3">
        <v>10</v>
      </c>
      <c r="E2997" s="3" t="s">
        <v>10</v>
      </c>
      <c r="F2997" s="4">
        <v>79.5</v>
      </c>
      <c r="G2997" s="4"/>
      <c r="H2997" s="4">
        <f t="shared" si="296"/>
        <v>79.5</v>
      </c>
    </row>
    <row r="2998" ht="14.25" spans="1:8">
      <c r="A2998" s="3" t="str">
        <f>"11902210011"</f>
        <v>11902210011</v>
      </c>
      <c r="B2998" s="3">
        <v>2</v>
      </c>
      <c r="C2998" s="3">
        <v>100</v>
      </c>
      <c r="D2998" s="3">
        <v>11</v>
      </c>
      <c r="E2998" s="3" t="s">
        <v>10</v>
      </c>
      <c r="F2998" s="4">
        <v>70</v>
      </c>
      <c r="G2998" s="4"/>
      <c r="H2998" s="4">
        <f t="shared" si="296"/>
        <v>70</v>
      </c>
    </row>
    <row r="2999" ht="14.25" spans="1:8">
      <c r="A2999" s="3" t="str">
        <f>"11902210012"</f>
        <v>11902210012</v>
      </c>
      <c r="B2999" s="3">
        <v>2</v>
      </c>
      <c r="C2999" s="3">
        <v>100</v>
      </c>
      <c r="D2999" s="3">
        <v>12</v>
      </c>
      <c r="E2999" s="3" t="s">
        <v>10</v>
      </c>
      <c r="F2999" s="4">
        <v>76.5</v>
      </c>
      <c r="G2999" s="4"/>
      <c r="H2999" s="4">
        <f t="shared" si="296"/>
        <v>76.5</v>
      </c>
    </row>
    <row r="3000" ht="14.25" spans="1:8">
      <c r="A3000" s="3" t="str">
        <f>"11902210013"</f>
        <v>11902210013</v>
      </c>
      <c r="B3000" s="3">
        <v>2</v>
      </c>
      <c r="C3000" s="3">
        <v>100</v>
      </c>
      <c r="D3000" s="3">
        <v>13</v>
      </c>
      <c r="E3000" s="3" t="s">
        <v>10</v>
      </c>
      <c r="F3000" s="4">
        <v>72.5</v>
      </c>
      <c r="G3000" s="4"/>
      <c r="H3000" s="4">
        <f t="shared" si="296"/>
        <v>72.5</v>
      </c>
    </row>
    <row r="3001" ht="14.25" spans="1:8">
      <c r="A3001" s="3" t="str">
        <f>"11902210014"</f>
        <v>11902210014</v>
      </c>
      <c r="B3001" s="3">
        <v>2</v>
      </c>
      <c r="C3001" s="3">
        <v>100</v>
      </c>
      <c r="D3001" s="3">
        <v>14</v>
      </c>
      <c r="E3001" s="3" t="s">
        <v>10</v>
      </c>
      <c r="F3001" s="4">
        <v>80.5</v>
      </c>
      <c r="G3001" s="4"/>
      <c r="H3001" s="4">
        <f t="shared" si="296"/>
        <v>80.5</v>
      </c>
    </row>
    <row r="3002" ht="14.25" spans="1:8">
      <c r="A3002" s="3" t="str">
        <f>"11902210015"</f>
        <v>11902210015</v>
      </c>
      <c r="B3002" s="3">
        <v>2</v>
      </c>
      <c r="C3002" s="3">
        <v>100</v>
      </c>
      <c r="D3002" s="3">
        <v>15</v>
      </c>
      <c r="E3002" s="3" t="s">
        <v>10</v>
      </c>
      <c r="F3002" s="4">
        <v>71</v>
      </c>
      <c r="G3002" s="4"/>
      <c r="H3002" s="4">
        <f t="shared" si="296"/>
        <v>71</v>
      </c>
    </row>
    <row r="3003" ht="14.25" spans="1:8">
      <c r="A3003" s="3" t="str">
        <f>"11902210016"</f>
        <v>11902210016</v>
      </c>
      <c r="B3003" s="3">
        <v>2</v>
      </c>
      <c r="C3003" s="3">
        <v>100</v>
      </c>
      <c r="D3003" s="3">
        <v>16</v>
      </c>
      <c r="E3003" s="3" t="s">
        <v>10</v>
      </c>
      <c r="F3003" s="4">
        <v>54.5</v>
      </c>
      <c r="G3003" s="4"/>
      <c r="H3003" s="4">
        <f t="shared" si="296"/>
        <v>54.5</v>
      </c>
    </row>
    <row r="3004" ht="14.25" spans="1:8">
      <c r="A3004" s="3" t="str">
        <f>"11903210017"</f>
        <v>11903210017</v>
      </c>
      <c r="B3004" s="3">
        <v>2</v>
      </c>
      <c r="C3004" s="3">
        <v>100</v>
      </c>
      <c r="D3004" s="3">
        <v>17</v>
      </c>
      <c r="E3004" s="3" t="s">
        <v>10</v>
      </c>
      <c r="F3004" s="4">
        <v>64.5</v>
      </c>
      <c r="G3004" s="4"/>
      <c r="H3004" s="4">
        <f t="shared" si="296"/>
        <v>64.5</v>
      </c>
    </row>
    <row r="3005" ht="14.25" spans="1:8">
      <c r="A3005" s="3" t="str">
        <f>"11903210018"</f>
        <v>11903210018</v>
      </c>
      <c r="B3005" s="3">
        <v>2</v>
      </c>
      <c r="C3005" s="3">
        <v>100</v>
      </c>
      <c r="D3005" s="3">
        <v>18</v>
      </c>
      <c r="E3005" s="3" t="s">
        <v>10</v>
      </c>
      <c r="F3005" s="4">
        <v>59.5</v>
      </c>
      <c r="G3005" s="4"/>
      <c r="H3005" s="4">
        <f t="shared" si="296"/>
        <v>59.5</v>
      </c>
    </row>
    <row r="3006" ht="14.25" spans="1:8">
      <c r="A3006" s="3" t="str">
        <f>"11903210019"</f>
        <v>11903210019</v>
      </c>
      <c r="B3006" s="3">
        <v>2</v>
      </c>
      <c r="C3006" s="3">
        <v>100</v>
      </c>
      <c r="D3006" s="3">
        <v>19</v>
      </c>
      <c r="E3006" s="3" t="s">
        <v>10</v>
      </c>
      <c r="F3006" s="4">
        <v>60.5</v>
      </c>
      <c r="G3006" s="4"/>
      <c r="H3006" s="4">
        <f t="shared" si="296"/>
        <v>60.5</v>
      </c>
    </row>
    <row r="3007" ht="14.25" spans="1:8">
      <c r="A3007" s="3" t="str">
        <f>"11903210020"</f>
        <v>11903210020</v>
      </c>
      <c r="B3007" s="3">
        <v>2</v>
      </c>
      <c r="C3007" s="3">
        <v>100</v>
      </c>
      <c r="D3007" s="3">
        <v>20</v>
      </c>
      <c r="E3007" s="3" t="s">
        <v>10</v>
      </c>
      <c r="F3007" s="3">
        <v>0</v>
      </c>
      <c r="G3007" s="4"/>
      <c r="H3007" s="3">
        <v>0</v>
      </c>
    </row>
    <row r="3008" ht="14.25" spans="1:8">
      <c r="A3008" s="3" t="str">
        <f>"11903210021"</f>
        <v>11903210021</v>
      </c>
      <c r="B3008" s="3">
        <v>2</v>
      </c>
      <c r="C3008" s="3">
        <v>100</v>
      </c>
      <c r="D3008" s="3">
        <v>21</v>
      </c>
      <c r="E3008" s="3" t="s">
        <v>10</v>
      </c>
      <c r="F3008" s="4">
        <v>60</v>
      </c>
      <c r="G3008" s="4"/>
      <c r="H3008" s="4">
        <f t="shared" ref="H3008:H3018" si="297">F3008+G3008</f>
        <v>60</v>
      </c>
    </row>
    <row r="3009" ht="14.25" spans="1:8">
      <c r="A3009" s="3" t="str">
        <f>"11903210022"</f>
        <v>11903210022</v>
      </c>
      <c r="B3009" s="3">
        <v>2</v>
      </c>
      <c r="C3009" s="3">
        <v>100</v>
      </c>
      <c r="D3009" s="3">
        <v>22</v>
      </c>
      <c r="E3009" s="3" t="s">
        <v>10</v>
      </c>
      <c r="F3009" s="4">
        <v>77</v>
      </c>
      <c r="G3009" s="4"/>
      <c r="H3009" s="4">
        <f t="shared" si="297"/>
        <v>77</v>
      </c>
    </row>
    <row r="3010" ht="14.25" spans="1:8">
      <c r="A3010" s="3" t="str">
        <f>"11903210023"</f>
        <v>11903210023</v>
      </c>
      <c r="B3010" s="3">
        <v>2</v>
      </c>
      <c r="C3010" s="3">
        <v>100</v>
      </c>
      <c r="D3010" s="3">
        <v>23</v>
      </c>
      <c r="E3010" s="3" t="s">
        <v>10</v>
      </c>
      <c r="F3010" s="4">
        <v>74</v>
      </c>
      <c r="G3010" s="4"/>
      <c r="H3010" s="4">
        <f t="shared" si="297"/>
        <v>74</v>
      </c>
    </row>
    <row r="3011" ht="14.25" spans="1:8">
      <c r="A3011" s="3" t="str">
        <f>"11903210024"</f>
        <v>11903210024</v>
      </c>
      <c r="B3011" s="3">
        <v>2</v>
      </c>
      <c r="C3011" s="3">
        <v>100</v>
      </c>
      <c r="D3011" s="3">
        <v>24</v>
      </c>
      <c r="E3011" s="3" t="s">
        <v>10</v>
      </c>
      <c r="F3011" s="4">
        <v>57</v>
      </c>
      <c r="G3011" s="4"/>
      <c r="H3011" s="4">
        <f t="shared" si="297"/>
        <v>57</v>
      </c>
    </row>
    <row r="3012" ht="14.25" spans="1:8">
      <c r="A3012" s="3" t="str">
        <f>"11903210025"</f>
        <v>11903210025</v>
      </c>
      <c r="B3012" s="3">
        <v>2</v>
      </c>
      <c r="C3012" s="3">
        <v>100</v>
      </c>
      <c r="D3012" s="3">
        <v>25</v>
      </c>
      <c r="E3012" s="3" t="s">
        <v>10</v>
      </c>
      <c r="F3012" s="4">
        <v>73</v>
      </c>
      <c r="G3012" s="4"/>
      <c r="H3012" s="4">
        <f t="shared" si="297"/>
        <v>73</v>
      </c>
    </row>
    <row r="3013" ht="14.25" spans="1:8">
      <c r="A3013" s="3" t="str">
        <f>"11903210026"</f>
        <v>11903210026</v>
      </c>
      <c r="B3013" s="3">
        <v>2</v>
      </c>
      <c r="C3013" s="3">
        <v>100</v>
      </c>
      <c r="D3013" s="3">
        <v>26</v>
      </c>
      <c r="E3013" s="3" t="s">
        <v>10</v>
      </c>
      <c r="F3013" s="4">
        <v>76.5</v>
      </c>
      <c r="G3013" s="4"/>
      <c r="H3013" s="4">
        <f t="shared" si="297"/>
        <v>76.5</v>
      </c>
    </row>
    <row r="3014" ht="14.25" spans="1:8">
      <c r="A3014" s="3" t="str">
        <f>"11903210027"</f>
        <v>11903210027</v>
      </c>
      <c r="B3014" s="3">
        <v>2</v>
      </c>
      <c r="C3014" s="3">
        <v>100</v>
      </c>
      <c r="D3014" s="3">
        <v>27</v>
      </c>
      <c r="E3014" s="3" t="s">
        <v>10</v>
      </c>
      <c r="F3014" s="4">
        <v>48</v>
      </c>
      <c r="G3014" s="4"/>
      <c r="H3014" s="4">
        <f t="shared" si="297"/>
        <v>48</v>
      </c>
    </row>
    <row r="3015" ht="14.25" spans="1:8">
      <c r="A3015" s="3" t="str">
        <f>"11903210028"</f>
        <v>11903210028</v>
      </c>
      <c r="B3015" s="3">
        <v>2</v>
      </c>
      <c r="C3015" s="3">
        <v>100</v>
      </c>
      <c r="D3015" s="3">
        <v>28</v>
      </c>
      <c r="E3015" s="3" t="s">
        <v>10</v>
      </c>
      <c r="F3015" s="4">
        <v>69.5</v>
      </c>
      <c r="G3015" s="4"/>
      <c r="H3015" s="4">
        <f t="shared" si="297"/>
        <v>69.5</v>
      </c>
    </row>
    <row r="3016" ht="14.25" spans="1:8">
      <c r="A3016" s="3" t="str">
        <f>"12001210029"</f>
        <v>12001210029</v>
      </c>
      <c r="B3016" s="3">
        <v>2</v>
      </c>
      <c r="C3016" s="3">
        <v>100</v>
      </c>
      <c r="D3016" s="3">
        <v>29</v>
      </c>
      <c r="E3016" s="3" t="s">
        <v>10</v>
      </c>
      <c r="F3016" s="4">
        <v>78</v>
      </c>
      <c r="G3016" s="4"/>
      <c r="H3016" s="4">
        <f t="shared" si="297"/>
        <v>78</v>
      </c>
    </row>
    <row r="3017" ht="14.25" spans="1:8">
      <c r="A3017" s="3" t="str">
        <f>"12001210030"</f>
        <v>12001210030</v>
      </c>
      <c r="B3017" s="3">
        <v>2</v>
      </c>
      <c r="C3017" s="3">
        <v>100</v>
      </c>
      <c r="D3017" s="3">
        <v>30</v>
      </c>
      <c r="E3017" s="3" t="s">
        <v>10</v>
      </c>
      <c r="F3017" s="4">
        <v>78</v>
      </c>
      <c r="G3017" s="4"/>
      <c r="H3017" s="4">
        <f t="shared" si="297"/>
        <v>78</v>
      </c>
    </row>
    <row r="3018" ht="14.25" spans="1:8">
      <c r="A3018" s="3" t="str">
        <f>"12001210101"</f>
        <v>12001210101</v>
      </c>
      <c r="B3018" s="3">
        <v>2</v>
      </c>
      <c r="C3018" s="3">
        <v>101</v>
      </c>
      <c r="D3018" s="3">
        <v>1</v>
      </c>
      <c r="E3018" s="3" t="s">
        <v>10</v>
      </c>
      <c r="F3018" s="4">
        <v>83</v>
      </c>
      <c r="G3018" s="4"/>
      <c r="H3018" s="4">
        <f t="shared" si="297"/>
        <v>83</v>
      </c>
    </row>
    <row r="3019" ht="14.25" spans="1:8">
      <c r="A3019" s="3" t="str">
        <f>"12001210102"</f>
        <v>12001210102</v>
      </c>
      <c r="B3019" s="3">
        <v>2</v>
      </c>
      <c r="C3019" s="3">
        <v>101</v>
      </c>
      <c r="D3019" s="3">
        <v>2</v>
      </c>
      <c r="E3019" s="3" t="s">
        <v>10</v>
      </c>
      <c r="F3019" s="3">
        <v>0</v>
      </c>
      <c r="G3019" s="4"/>
      <c r="H3019" s="3">
        <v>0</v>
      </c>
    </row>
    <row r="3020" ht="14.25" spans="1:8">
      <c r="A3020" s="3" t="str">
        <f>"12001210103"</f>
        <v>12001210103</v>
      </c>
      <c r="B3020" s="3">
        <v>2</v>
      </c>
      <c r="C3020" s="3">
        <v>101</v>
      </c>
      <c r="D3020" s="3">
        <v>3</v>
      </c>
      <c r="E3020" s="3" t="s">
        <v>10</v>
      </c>
      <c r="F3020" s="3">
        <v>0</v>
      </c>
      <c r="G3020" s="4"/>
      <c r="H3020" s="3">
        <v>0</v>
      </c>
    </row>
    <row r="3021" ht="14.25" spans="1:8">
      <c r="A3021" s="3" t="str">
        <f>"12001210104"</f>
        <v>12001210104</v>
      </c>
      <c r="B3021" s="3">
        <v>2</v>
      </c>
      <c r="C3021" s="3">
        <v>101</v>
      </c>
      <c r="D3021" s="3">
        <v>4</v>
      </c>
      <c r="E3021" s="3" t="s">
        <v>10</v>
      </c>
      <c r="F3021" s="4">
        <v>49</v>
      </c>
      <c r="G3021" s="4"/>
      <c r="H3021" s="4">
        <f t="shared" ref="H3021:H3024" si="298">F3021+G3021</f>
        <v>49</v>
      </c>
    </row>
    <row r="3022" ht="14.25" spans="1:8">
      <c r="A3022" s="3" t="str">
        <f>"12001210105"</f>
        <v>12001210105</v>
      </c>
      <c r="B3022" s="3">
        <v>2</v>
      </c>
      <c r="C3022" s="3">
        <v>101</v>
      </c>
      <c r="D3022" s="3">
        <v>5</v>
      </c>
      <c r="E3022" s="3" t="s">
        <v>10</v>
      </c>
      <c r="F3022" s="4">
        <v>81.5</v>
      </c>
      <c r="G3022" s="4"/>
      <c r="H3022" s="4">
        <f t="shared" si="298"/>
        <v>81.5</v>
      </c>
    </row>
    <row r="3023" ht="14.25" spans="1:8">
      <c r="A3023" s="3" t="str">
        <f>"12001210106"</f>
        <v>12001210106</v>
      </c>
      <c r="B3023" s="3">
        <v>2</v>
      </c>
      <c r="C3023" s="3">
        <v>101</v>
      </c>
      <c r="D3023" s="3">
        <v>6</v>
      </c>
      <c r="E3023" s="3" t="s">
        <v>10</v>
      </c>
      <c r="F3023" s="4">
        <v>63</v>
      </c>
      <c r="G3023" s="4"/>
      <c r="H3023" s="4">
        <f t="shared" si="298"/>
        <v>63</v>
      </c>
    </row>
    <row r="3024" ht="14.25" spans="1:8">
      <c r="A3024" s="3" t="str">
        <f>"12001210107"</f>
        <v>12001210107</v>
      </c>
      <c r="B3024" s="3">
        <v>2</v>
      </c>
      <c r="C3024" s="3">
        <v>101</v>
      </c>
      <c r="D3024" s="3">
        <v>7</v>
      </c>
      <c r="E3024" s="3" t="s">
        <v>10</v>
      </c>
      <c r="F3024" s="4">
        <v>60.5</v>
      </c>
      <c r="G3024" s="4"/>
      <c r="H3024" s="4">
        <f t="shared" si="298"/>
        <v>60.5</v>
      </c>
    </row>
    <row r="3025" ht="14.25" spans="1:8">
      <c r="A3025" s="3" t="str">
        <f>"12001210108"</f>
        <v>12001210108</v>
      </c>
      <c r="B3025" s="3">
        <v>2</v>
      </c>
      <c r="C3025" s="3">
        <v>101</v>
      </c>
      <c r="D3025" s="3">
        <v>8</v>
      </c>
      <c r="E3025" s="3" t="s">
        <v>10</v>
      </c>
      <c r="F3025" s="3">
        <v>0</v>
      </c>
      <c r="G3025" s="4"/>
      <c r="H3025" s="3">
        <v>0</v>
      </c>
    </row>
    <row r="3026" ht="14.25" spans="1:8">
      <c r="A3026" s="3" t="str">
        <f>"12002210109"</f>
        <v>12002210109</v>
      </c>
      <c r="B3026" s="3">
        <v>2</v>
      </c>
      <c r="C3026" s="3">
        <v>101</v>
      </c>
      <c r="D3026" s="3">
        <v>9</v>
      </c>
      <c r="E3026" s="3" t="s">
        <v>10</v>
      </c>
      <c r="F3026" s="3">
        <v>0</v>
      </c>
      <c r="G3026" s="4"/>
      <c r="H3026" s="3">
        <v>0</v>
      </c>
    </row>
    <row r="3027" ht="14.25" spans="1:8">
      <c r="A3027" s="3" t="str">
        <f>"12002210110"</f>
        <v>12002210110</v>
      </c>
      <c r="B3027" s="3">
        <v>2</v>
      </c>
      <c r="C3027" s="3">
        <v>101</v>
      </c>
      <c r="D3027" s="3">
        <v>10</v>
      </c>
      <c r="E3027" s="3" t="s">
        <v>10</v>
      </c>
      <c r="F3027" s="4">
        <v>79.5</v>
      </c>
      <c r="G3027" s="4"/>
      <c r="H3027" s="4">
        <f t="shared" ref="H3027:H3034" si="299">F3027+G3027</f>
        <v>79.5</v>
      </c>
    </row>
    <row r="3028" ht="14.25" spans="1:8">
      <c r="A3028" s="3" t="str">
        <f>"12002210111"</f>
        <v>12002210111</v>
      </c>
      <c r="B3028" s="3">
        <v>2</v>
      </c>
      <c r="C3028" s="3">
        <v>101</v>
      </c>
      <c r="D3028" s="3">
        <v>11</v>
      </c>
      <c r="E3028" s="3" t="s">
        <v>10</v>
      </c>
      <c r="F3028" s="4">
        <v>77.5</v>
      </c>
      <c r="G3028" s="4"/>
      <c r="H3028" s="4">
        <f t="shared" si="299"/>
        <v>77.5</v>
      </c>
    </row>
    <row r="3029" ht="14.25" spans="1:8">
      <c r="A3029" s="3" t="str">
        <f>"12002210112"</f>
        <v>12002210112</v>
      </c>
      <c r="B3029" s="3">
        <v>2</v>
      </c>
      <c r="C3029" s="3">
        <v>101</v>
      </c>
      <c r="D3029" s="3">
        <v>12</v>
      </c>
      <c r="E3029" s="3" t="s">
        <v>10</v>
      </c>
      <c r="F3029" s="4">
        <v>69</v>
      </c>
      <c r="G3029" s="4"/>
      <c r="H3029" s="4">
        <f t="shared" si="299"/>
        <v>69</v>
      </c>
    </row>
    <row r="3030" ht="14.25" spans="1:8">
      <c r="A3030" s="3" t="str">
        <f>"12002210113"</f>
        <v>12002210113</v>
      </c>
      <c r="B3030" s="3">
        <v>2</v>
      </c>
      <c r="C3030" s="3">
        <v>101</v>
      </c>
      <c r="D3030" s="3">
        <v>13</v>
      </c>
      <c r="E3030" s="3" t="s">
        <v>10</v>
      </c>
      <c r="F3030" s="4">
        <v>69.5</v>
      </c>
      <c r="G3030" s="4"/>
      <c r="H3030" s="4">
        <f t="shared" si="299"/>
        <v>69.5</v>
      </c>
    </row>
    <row r="3031" ht="14.25" spans="1:8">
      <c r="A3031" s="3" t="str">
        <f>"12002210114"</f>
        <v>12002210114</v>
      </c>
      <c r="B3031" s="3">
        <v>2</v>
      </c>
      <c r="C3031" s="3">
        <v>101</v>
      </c>
      <c r="D3031" s="3">
        <v>14</v>
      </c>
      <c r="E3031" s="3" t="s">
        <v>10</v>
      </c>
      <c r="F3031" s="4">
        <v>65.5</v>
      </c>
      <c r="G3031" s="4"/>
      <c r="H3031" s="4">
        <f t="shared" si="299"/>
        <v>65.5</v>
      </c>
    </row>
    <row r="3032" ht="14.25" spans="1:8">
      <c r="A3032" s="3" t="str">
        <f>"12002210115"</f>
        <v>12002210115</v>
      </c>
      <c r="B3032" s="3">
        <v>2</v>
      </c>
      <c r="C3032" s="3">
        <v>101</v>
      </c>
      <c r="D3032" s="3">
        <v>15</v>
      </c>
      <c r="E3032" s="3" t="s">
        <v>10</v>
      </c>
      <c r="F3032" s="4">
        <v>48</v>
      </c>
      <c r="G3032" s="4"/>
      <c r="H3032" s="4">
        <f t="shared" si="299"/>
        <v>48</v>
      </c>
    </row>
    <row r="3033" ht="14.25" spans="1:8">
      <c r="A3033" s="3" t="str">
        <f>"12002210116"</f>
        <v>12002210116</v>
      </c>
      <c r="B3033" s="3">
        <v>2</v>
      </c>
      <c r="C3033" s="3">
        <v>101</v>
      </c>
      <c r="D3033" s="3">
        <v>16</v>
      </c>
      <c r="E3033" s="3" t="s">
        <v>10</v>
      </c>
      <c r="F3033" s="4">
        <v>71.5</v>
      </c>
      <c r="G3033" s="4"/>
      <c r="H3033" s="4">
        <f t="shared" si="299"/>
        <v>71.5</v>
      </c>
    </row>
    <row r="3034" ht="14.25" spans="1:8">
      <c r="A3034" s="3" t="str">
        <f>"12002210117"</f>
        <v>12002210117</v>
      </c>
      <c r="B3034" s="3">
        <v>2</v>
      </c>
      <c r="C3034" s="3">
        <v>101</v>
      </c>
      <c r="D3034" s="3">
        <v>17</v>
      </c>
      <c r="E3034" s="3" t="s">
        <v>10</v>
      </c>
      <c r="F3034" s="4">
        <v>80.5</v>
      </c>
      <c r="G3034" s="4"/>
      <c r="H3034" s="4">
        <f t="shared" si="299"/>
        <v>80.5</v>
      </c>
    </row>
    <row r="3035" ht="14.25" spans="1:8">
      <c r="A3035" s="3" t="str">
        <f>"12003210118"</f>
        <v>12003210118</v>
      </c>
      <c r="B3035" s="3">
        <v>2</v>
      </c>
      <c r="C3035" s="3">
        <v>101</v>
      </c>
      <c r="D3035" s="3">
        <v>18</v>
      </c>
      <c r="E3035" s="3" t="s">
        <v>10</v>
      </c>
      <c r="F3035" s="3">
        <v>0</v>
      </c>
      <c r="G3035" s="4"/>
      <c r="H3035" s="3">
        <v>0</v>
      </c>
    </row>
    <row r="3036" ht="14.25" spans="1:8">
      <c r="A3036" s="3" t="str">
        <f>"12003210119"</f>
        <v>12003210119</v>
      </c>
      <c r="B3036" s="3">
        <v>2</v>
      </c>
      <c r="C3036" s="3">
        <v>101</v>
      </c>
      <c r="D3036" s="3">
        <v>19</v>
      </c>
      <c r="E3036" s="3" t="s">
        <v>10</v>
      </c>
      <c r="F3036" s="4">
        <v>67.5</v>
      </c>
      <c r="G3036" s="4"/>
      <c r="H3036" s="4">
        <f t="shared" ref="H3036:H3041" si="300">F3036+G3036</f>
        <v>67.5</v>
      </c>
    </row>
    <row r="3037" ht="14.25" spans="1:8">
      <c r="A3037" s="3" t="str">
        <f>"12101210120"</f>
        <v>12101210120</v>
      </c>
      <c r="B3037" s="3">
        <v>2</v>
      </c>
      <c r="C3037" s="3">
        <v>101</v>
      </c>
      <c r="D3037" s="3">
        <v>20</v>
      </c>
      <c r="E3037" s="3" t="s">
        <v>10</v>
      </c>
      <c r="F3037" s="4">
        <v>84.5</v>
      </c>
      <c r="G3037" s="4"/>
      <c r="H3037" s="4">
        <f t="shared" si="300"/>
        <v>84.5</v>
      </c>
    </row>
    <row r="3038" ht="14.25" spans="1:8">
      <c r="A3038" s="3" t="str">
        <f>"12101210121"</f>
        <v>12101210121</v>
      </c>
      <c r="B3038" s="3">
        <v>2</v>
      </c>
      <c r="C3038" s="3">
        <v>101</v>
      </c>
      <c r="D3038" s="3">
        <v>21</v>
      </c>
      <c r="E3038" s="3" t="s">
        <v>10</v>
      </c>
      <c r="F3038" s="4">
        <v>70.5</v>
      </c>
      <c r="G3038" s="4"/>
      <c r="H3038" s="4">
        <f t="shared" si="300"/>
        <v>70.5</v>
      </c>
    </row>
    <row r="3039" ht="14.25" spans="1:8">
      <c r="A3039" s="3" t="str">
        <f>"12101210122"</f>
        <v>12101210122</v>
      </c>
      <c r="B3039" s="3">
        <v>2</v>
      </c>
      <c r="C3039" s="3">
        <v>101</v>
      </c>
      <c r="D3039" s="3">
        <v>22</v>
      </c>
      <c r="E3039" s="3" t="s">
        <v>10</v>
      </c>
      <c r="F3039" s="4">
        <v>78</v>
      </c>
      <c r="G3039" s="4"/>
      <c r="H3039" s="4">
        <f t="shared" si="300"/>
        <v>78</v>
      </c>
    </row>
    <row r="3040" ht="14.25" spans="1:8">
      <c r="A3040" s="3" t="str">
        <f>"12101210123"</f>
        <v>12101210123</v>
      </c>
      <c r="B3040" s="3">
        <v>2</v>
      </c>
      <c r="C3040" s="3">
        <v>101</v>
      </c>
      <c r="D3040" s="3">
        <v>23</v>
      </c>
      <c r="E3040" s="3" t="s">
        <v>10</v>
      </c>
      <c r="F3040" s="4">
        <v>66</v>
      </c>
      <c r="G3040" s="4"/>
      <c r="H3040" s="4">
        <f t="shared" si="300"/>
        <v>66</v>
      </c>
    </row>
    <row r="3041" ht="14.25" spans="1:8">
      <c r="A3041" s="3" t="str">
        <f>"12101210124"</f>
        <v>12101210124</v>
      </c>
      <c r="B3041" s="3">
        <v>2</v>
      </c>
      <c r="C3041" s="3">
        <v>101</v>
      </c>
      <c r="D3041" s="3">
        <v>24</v>
      </c>
      <c r="E3041" s="3" t="s">
        <v>10</v>
      </c>
      <c r="F3041" s="4">
        <v>62.5</v>
      </c>
      <c r="G3041" s="4"/>
      <c r="H3041" s="4">
        <f t="shared" si="300"/>
        <v>62.5</v>
      </c>
    </row>
    <row r="3042" ht="14.25" spans="1:8">
      <c r="A3042" s="3" t="str">
        <f>"12101210125"</f>
        <v>12101210125</v>
      </c>
      <c r="B3042" s="3">
        <v>2</v>
      </c>
      <c r="C3042" s="3">
        <v>101</v>
      </c>
      <c r="D3042" s="3">
        <v>25</v>
      </c>
      <c r="E3042" s="3" t="s">
        <v>10</v>
      </c>
      <c r="F3042" s="3">
        <v>0</v>
      </c>
      <c r="G3042" s="4"/>
      <c r="H3042" s="3">
        <v>0</v>
      </c>
    </row>
    <row r="3043" ht="14.25" spans="1:8">
      <c r="A3043" s="3" t="str">
        <f>"12101210126"</f>
        <v>12101210126</v>
      </c>
      <c r="B3043" s="3">
        <v>2</v>
      </c>
      <c r="C3043" s="3">
        <v>101</v>
      </c>
      <c r="D3043" s="3">
        <v>26</v>
      </c>
      <c r="E3043" s="3" t="s">
        <v>10</v>
      </c>
      <c r="F3043" s="4">
        <v>78.5</v>
      </c>
      <c r="G3043" s="4"/>
      <c r="H3043" s="4">
        <f t="shared" ref="H3043:H3046" si="301">F3043+G3043</f>
        <v>78.5</v>
      </c>
    </row>
    <row r="3044" ht="14.25" spans="1:8">
      <c r="A3044" s="3" t="str">
        <f>"12101210127"</f>
        <v>12101210127</v>
      </c>
      <c r="B3044" s="3">
        <v>2</v>
      </c>
      <c r="C3044" s="3">
        <v>101</v>
      </c>
      <c r="D3044" s="3">
        <v>27</v>
      </c>
      <c r="E3044" s="3" t="s">
        <v>10</v>
      </c>
      <c r="F3044" s="3">
        <v>0</v>
      </c>
      <c r="G3044" s="4"/>
      <c r="H3044" s="3">
        <v>0</v>
      </c>
    </row>
    <row r="3045" ht="14.25" spans="1:8">
      <c r="A3045" s="3" t="str">
        <f>"12101210128"</f>
        <v>12101210128</v>
      </c>
      <c r="B3045" s="3">
        <v>2</v>
      </c>
      <c r="C3045" s="3">
        <v>101</v>
      </c>
      <c r="D3045" s="3">
        <v>28</v>
      </c>
      <c r="E3045" s="3" t="s">
        <v>10</v>
      </c>
      <c r="F3045" s="4">
        <v>75.5</v>
      </c>
      <c r="G3045" s="4"/>
      <c r="H3045" s="4">
        <f t="shared" si="301"/>
        <v>75.5</v>
      </c>
    </row>
    <row r="3046" ht="14.25" spans="1:8">
      <c r="A3046" s="3" t="str">
        <f>"12101210129"</f>
        <v>12101210129</v>
      </c>
      <c r="B3046" s="3">
        <v>2</v>
      </c>
      <c r="C3046" s="3">
        <v>101</v>
      </c>
      <c r="D3046" s="3">
        <v>29</v>
      </c>
      <c r="E3046" s="3" t="s">
        <v>10</v>
      </c>
      <c r="F3046" s="4">
        <v>80.5</v>
      </c>
      <c r="G3046" s="4"/>
      <c r="H3046" s="4">
        <f t="shared" si="301"/>
        <v>80.5</v>
      </c>
    </row>
    <row r="3047" ht="14.25" spans="1:8">
      <c r="A3047" s="3" t="str">
        <f>"12101210130"</f>
        <v>12101210130</v>
      </c>
      <c r="B3047" s="3">
        <v>2</v>
      </c>
      <c r="C3047" s="3">
        <v>101</v>
      </c>
      <c r="D3047" s="3">
        <v>30</v>
      </c>
      <c r="E3047" s="3" t="s">
        <v>10</v>
      </c>
      <c r="F3047" s="3">
        <v>0</v>
      </c>
      <c r="G3047" s="4"/>
      <c r="H3047" s="3">
        <v>0</v>
      </c>
    </row>
    <row r="3048" ht="14.25" spans="1:8">
      <c r="A3048" s="3" t="str">
        <f>"12101210201"</f>
        <v>12101210201</v>
      </c>
      <c r="B3048" s="3">
        <v>2</v>
      </c>
      <c r="C3048" s="3">
        <v>102</v>
      </c>
      <c r="D3048" s="3">
        <v>1</v>
      </c>
      <c r="E3048" s="3" t="s">
        <v>10</v>
      </c>
      <c r="F3048" s="4">
        <v>70.5</v>
      </c>
      <c r="G3048" s="4"/>
      <c r="H3048" s="4">
        <f t="shared" ref="H3048:H3052" si="302">F3048+G3048</f>
        <v>70.5</v>
      </c>
    </row>
    <row r="3049" ht="14.25" spans="1:8">
      <c r="A3049" s="3" t="str">
        <f>"12101210202"</f>
        <v>12101210202</v>
      </c>
      <c r="B3049" s="3">
        <v>2</v>
      </c>
      <c r="C3049" s="3">
        <v>102</v>
      </c>
      <c r="D3049" s="3">
        <v>2</v>
      </c>
      <c r="E3049" s="3" t="s">
        <v>10</v>
      </c>
      <c r="F3049" s="3">
        <v>0</v>
      </c>
      <c r="G3049" s="4"/>
      <c r="H3049" s="3">
        <v>0</v>
      </c>
    </row>
    <row r="3050" ht="14.25" spans="1:8">
      <c r="A3050" s="3" t="str">
        <f>"12101210203"</f>
        <v>12101210203</v>
      </c>
      <c r="B3050" s="3">
        <v>2</v>
      </c>
      <c r="C3050" s="3">
        <v>102</v>
      </c>
      <c r="D3050" s="3">
        <v>3</v>
      </c>
      <c r="E3050" s="3" t="s">
        <v>10</v>
      </c>
      <c r="F3050" s="4">
        <v>54.5</v>
      </c>
      <c r="G3050" s="4"/>
      <c r="H3050" s="4">
        <f t="shared" si="302"/>
        <v>54.5</v>
      </c>
    </row>
    <row r="3051" ht="14.25" spans="1:8">
      <c r="A3051" s="3" t="str">
        <f>"12101210204"</f>
        <v>12101210204</v>
      </c>
      <c r="B3051" s="3">
        <v>2</v>
      </c>
      <c r="C3051" s="3">
        <v>102</v>
      </c>
      <c r="D3051" s="3">
        <v>4</v>
      </c>
      <c r="E3051" s="3" t="s">
        <v>10</v>
      </c>
      <c r="F3051" s="3">
        <v>0</v>
      </c>
      <c r="G3051" s="4"/>
      <c r="H3051" s="3">
        <v>0</v>
      </c>
    </row>
    <row r="3052" ht="14.25" spans="1:8">
      <c r="A3052" s="3" t="str">
        <f>"12101210205"</f>
        <v>12101210205</v>
      </c>
      <c r="B3052" s="3">
        <v>2</v>
      </c>
      <c r="C3052" s="3">
        <v>102</v>
      </c>
      <c r="D3052" s="3">
        <v>5</v>
      </c>
      <c r="E3052" s="3" t="s">
        <v>10</v>
      </c>
      <c r="F3052" s="4">
        <v>81.5</v>
      </c>
      <c r="G3052" s="4"/>
      <c r="H3052" s="4">
        <f t="shared" si="302"/>
        <v>81.5</v>
      </c>
    </row>
    <row r="3053" ht="14.25" spans="1:8">
      <c r="A3053" s="3" t="str">
        <f>"12101210206"</f>
        <v>12101210206</v>
      </c>
      <c r="B3053" s="3">
        <v>2</v>
      </c>
      <c r="C3053" s="3">
        <v>102</v>
      </c>
      <c r="D3053" s="3">
        <v>6</v>
      </c>
      <c r="E3053" s="3" t="s">
        <v>10</v>
      </c>
      <c r="F3053" s="3">
        <v>0</v>
      </c>
      <c r="G3053" s="4"/>
      <c r="H3053" s="3">
        <v>0</v>
      </c>
    </row>
    <row r="3054" ht="14.25" spans="1:8">
      <c r="A3054" s="3" t="str">
        <f>"12101210207"</f>
        <v>12101210207</v>
      </c>
      <c r="B3054" s="3">
        <v>2</v>
      </c>
      <c r="C3054" s="3">
        <v>102</v>
      </c>
      <c r="D3054" s="3">
        <v>7</v>
      </c>
      <c r="E3054" s="3" t="s">
        <v>10</v>
      </c>
      <c r="F3054" s="4">
        <v>78</v>
      </c>
      <c r="G3054" s="4"/>
      <c r="H3054" s="4">
        <f t="shared" ref="H3054:H3064" si="303">F3054+G3054</f>
        <v>78</v>
      </c>
    </row>
    <row r="3055" ht="14.25" spans="1:8">
      <c r="A3055" s="3" t="str">
        <f>"12101210208"</f>
        <v>12101210208</v>
      </c>
      <c r="B3055" s="3">
        <v>2</v>
      </c>
      <c r="C3055" s="3">
        <v>102</v>
      </c>
      <c r="D3055" s="3">
        <v>8</v>
      </c>
      <c r="E3055" s="3" t="s">
        <v>10</v>
      </c>
      <c r="F3055" s="4">
        <v>65.5</v>
      </c>
      <c r="G3055" s="4"/>
      <c r="H3055" s="4">
        <f t="shared" si="303"/>
        <v>65.5</v>
      </c>
    </row>
    <row r="3056" ht="14.25" spans="1:8">
      <c r="A3056" s="3" t="str">
        <f>"12101210209"</f>
        <v>12101210209</v>
      </c>
      <c r="B3056" s="3">
        <v>2</v>
      </c>
      <c r="C3056" s="3">
        <v>102</v>
      </c>
      <c r="D3056" s="3">
        <v>9</v>
      </c>
      <c r="E3056" s="3" t="s">
        <v>10</v>
      </c>
      <c r="F3056" s="4">
        <v>48.5</v>
      </c>
      <c r="G3056" s="4"/>
      <c r="H3056" s="4">
        <f t="shared" si="303"/>
        <v>48.5</v>
      </c>
    </row>
    <row r="3057" ht="14.25" spans="1:8">
      <c r="A3057" s="3" t="str">
        <f>"12101210210"</f>
        <v>12101210210</v>
      </c>
      <c r="B3057" s="3">
        <v>2</v>
      </c>
      <c r="C3057" s="3">
        <v>102</v>
      </c>
      <c r="D3057" s="3">
        <v>10</v>
      </c>
      <c r="E3057" s="3" t="s">
        <v>10</v>
      </c>
      <c r="F3057" s="4">
        <v>78</v>
      </c>
      <c r="G3057" s="4"/>
      <c r="H3057" s="4">
        <f t="shared" si="303"/>
        <v>78</v>
      </c>
    </row>
    <row r="3058" ht="14.25" spans="1:8">
      <c r="A3058" s="3" t="str">
        <f>"12101210211"</f>
        <v>12101210211</v>
      </c>
      <c r="B3058" s="3">
        <v>2</v>
      </c>
      <c r="C3058" s="3">
        <v>102</v>
      </c>
      <c r="D3058" s="3">
        <v>11</v>
      </c>
      <c r="E3058" s="3" t="s">
        <v>10</v>
      </c>
      <c r="F3058" s="4">
        <v>72</v>
      </c>
      <c r="G3058" s="4"/>
      <c r="H3058" s="4">
        <f t="shared" si="303"/>
        <v>72</v>
      </c>
    </row>
    <row r="3059" ht="14.25" spans="1:8">
      <c r="A3059" s="3" t="str">
        <f>"12101210212"</f>
        <v>12101210212</v>
      </c>
      <c r="B3059" s="3">
        <v>2</v>
      </c>
      <c r="C3059" s="3">
        <v>102</v>
      </c>
      <c r="D3059" s="3">
        <v>12</v>
      </c>
      <c r="E3059" s="3" t="s">
        <v>10</v>
      </c>
      <c r="F3059" s="4">
        <v>58</v>
      </c>
      <c r="G3059" s="4"/>
      <c r="H3059" s="4">
        <f t="shared" si="303"/>
        <v>58</v>
      </c>
    </row>
    <row r="3060" ht="14.25" spans="1:8">
      <c r="A3060" s="3" t="str">
        <f>"12101210213"</f>
        <v>12101210213</v>
      </c>
      <c r="B3060" s="3">
        <v>2</v>
      </c>
      <c r="C3060" s="3">
        <v>102</v>
      </c>
      <c r="D3060" s="3">
        <v>13</v>
      </c>
      <c r="E3060" s="3" t="s">
        <v>10</v>
      </c>
      <c r="F3060" s="4">
        <v>66.5</v>
      </c>
      <c r="G3060" s="4"/>
      <c r="H3060" s="4">
        <f t="shared" si="303"/>
        <v>66.5</v>
      </c>
    </row>
    <row r="3061" ht="14.25" spans="1:8">
      <c r="A3061" s="3" t="str">
        <f>"12101210214"</f>
        <v>12101210214</v>
      </c>
      <c r="B3061" s="3">
        <v>2</v>
      </c>
      <c r="C3061" s="3">
        <v>102</v>
      </c>
      <c r="D3061" s="3">
        <v>14</v>
      </c>
      <c r="E3061" s="3" t="s">
        <v>10</v>
      </c>
      <c r="F3061" s="4">
        <v>81</v>
      </c>
      <c r="G3061" s="4"/>
      <c r="H3061" s="4">
        <f t="shared" si="303"/>
        <v>81</v>
      </c>
    </row>
    <row r="3062" ht="14.25" spans="1:8">
      <c r="A3062" s="3" t="str">
        <f>"12101210215"</f>
        <v>12101210215</v>
      </c>
      <c r="B3062" s="3">
        <v>2</v>
      </c>
      <c r="C3062" s="3">
        <v>102</v>
      </c>
      <c r="D3062" s="3">
        <v>15</v>
      </c>
      <c r="E3062" s="3" t="s">
        <v>10</v>
      </c>
      <c r="F3062" s="4">
        <v>75.5</v>
      </c>
      <c r="G3062" s="4"/>
      <c r="H3062" s="4">
        <f t="shared" si="303"/>
        <v>75.5</v>
      </c>
    </row>
    <row r="3063" ht="14.25" spans="1:8">
      <c r="A3063" s="3" t="str">
        <f>"12101210216"</f>
        <v>12101210216</v>
      </c>
      <c r="B3063" s="3">
        <v>2</v>
      </c>
      <c r="C3063" s="3">
        <v>102</v>
      </c>
      <c r="D3063" s="3">
        <v>16</v>
      </c>
      <c r="E3063" s="3" t="s">
        <v>10</v>
      </c>
      <c r="F3063" s="4">
        <v>63</v>
      </c>
      <c r="G3063" s="4"/>
      <c r="H3063" s="4">
        <f t="shared" si="303"/>
        <v>63</v>
      </c>
    </row>
    <row r="3064" ht="14.25" spans="1:8">
      <c r="A3064" s="3" t="str">
        <f>"12101210217"</f>
        <v>12101210217</v>
      </c>
      <c r="B3064" s="3">
        <v>2</v>
      </c>
      <c r="C3064" s="3">
        <v>102</v>
      </c>
      <c r="D3064" s="3">
        <v>17</v>
      </c>
      <c r="E3064" s="3" t="s">
        <v>10</v>
      </c>
      <c r="F3064" s="4">
        <v>80.5</v>
      </c>
      <c r="G3064" s="4"/>
      <c r="H3064" s="4">
        <f t="shared" si="303"/>
        <v>80.5</v>
      </c>
    </row>
    <row r="3065" ht="14.25" spans="1:8">
      <c r="A3065" s="3" t="str">
        <f>"12101210218"</f>
        <v>12101210218</v>
      </c>
      <c r="B3065" s="3">
        <v>2</v>
      </c>
      <c r="C3065" s="3">
        <v>102</v>
      </c>
      <c r="D3065" s="3">
        <v>18</v>
      </c>
      <c r="E3065" s="3" t="s">
        <v>10</v>
      </c>
      <c r="F3065" s="3">
        <v>0</v>
      </c>
      <c r="G3065" s="4"/>
      <c r="H3065" s="3">
        <v>0</v>
      </c>
    </row>
    <row r="3066" ht="14.25" spans="1:8">
      <c r="A3066" s="3" t="str">
        <f>"12101210219"</f>
        <v>12101210219</v>
      </c>
      <c r="B3066" s="3">
        <v>2</v>
      </c>
      <c r="C3066" s="3">
        <v>102</v>
      </c>
      <c r="D3066" s="3">
        <v>19</v>
      </c>
      <c r="E3066" s="3" t="s">
        <v>10</v>
      </c>
      <c r="F3066" s="4">
        <v>79.5</v>
      </c>
      <c r="G3066" s="4"/>
      <c r="H3066" s="4">
        <f t="shared" ref="H3066:H3071" si="304">F3066+G3066</f>
        <v>79.5</v>
      </c>
    </row>
    <row r="3067" ht="14.25" spans="1:8">
      <c r="A3067" s="3" t="str">
        <f>"12101210220"</f>
        <v>12101210220</v>
      </c>
      <c r="B3067" s="3">
        <v>2</v>
      </c>
      <c r="C3067" s="3">
        <v>102</v>
      </c>
      <c r="D3067" s="3">
        <v>20</v>
      </c>
      <c r="E3067" s="3" t="s">
        <v>10</v>
      </c>
      <c r="F3067" s="4">
        <v>74</v>
      </c>
      <c r="G3067" s="4"/>
      <c r="H3067" s="4">
        <f t="shared" si="304"/>
        <v>74</v>
      </c>
    </row>
    <row r="3068" ht="14.25" spans="1:8">
      <c r="A3068" s="3" t="str">
        <f>"12101210221"</f>
        <v>12101210221</v>
      </c>
      <c r="B3068" s="3">
        <v>2</v>
      </c>
      <c r="C3068" s="3">
        <v>102</v>
      </c>
      <c r="D3068" s="3">
        <v>21</v>
      </c>
      <c r="E3068" s="3" t="s">
        <v>10</v>
      </c>
      <c r="F3068" s="4">
        <v>59.5</v>
      </c>
      <c r="G3068" s="4"/>
      <c r="H3068" s="4">
        <f t="shared" si="304"/>
        <v>59.5</v>
      </c>
    </row>
    <row r="3069" ht="14.25" spans="1:8">
      <c r="A3069" s="3" t="str">
        <f>"12101210222"</f>
        <v>12101210222</v>
      </c>
      <c r="B3069" s="3">
        <v>2</v>
      </c>
      <c r="C3069" s="3">
        <v>102</v>
      </c>
      <c r="D3069" s="3">
        <v>22</v>
      </c>
      <c r="E3069" s="3" t="s">
        <v>10</v>
      </c>
      <c r="F3069" s="4">
        <v>55.5</v>
      </c>
      <c r="G3069" s="4"/>
      <c r="H3069" s="4">
        <f t="shared" si="304"/>
        <v>55.5</v>
      </c>
    </row>
    <row r="3070" ht="14.25" spans="1:8">
      <c r="A3070" s="3" t="str">
        <f>"12101210223"</f>
        <v>12101210223</v>
      </c>
      <c r="B3070" s="3">
        <v>2</v>
      </c>
      <c r="C3070" s="3">
        <v>102</v>
      </c>
      <c r="D3070" s="3">
        <v>23</v>
      </c>
      <c r="E3070" s="3" t="s">
        <v>10</v>
      </c>
      <c r="F3070" s="4">
        <v>70</v>
      </c>
      <c r="G3070" s="4"/>
      <c r="H3070" s="4">
        <f t="shared" si="304"/>
        <v>70</v>
      </c>
    </row>
    <row r="3071" ht="14.25" spans="1:8">
      <c r="A3071" s="3" t="str">
        <f>"12101210224"</f>
        <v>12101210224</v>
      </c>
      <c r="B3071" s="3">
        <v>2</v>
      </c>
      <c r="C3071" s="3">
        <v>102</v>
      </c>
      <c r="D3071" s="3">
        <v>24</v>
      </c>
      <c r="E3071" s="3" t="s">
        <v>10</v>
      </c>
      <c r="F3071" s="4">
        <v>87</v>
      </c>
      <c r="G3071" s="4"/>
      <c r="H3071" s="4">
        <f t="shared" si="304"/>
        <v>87</v>
      </c>
    </row>
    <row r="3072" ht="14.25" spans="1:8">
      <c r="A3072" s="3" t="str">
        <f>"12101210225"</f>
        <v>12101210225</v>
      </c>
      <c r="B3072" s="3">
        <v>2</v>
      </c>
      <c r="C3072" s="3">
        <v>102</v>
      </c>
      <c r="D3072" s="3">
        <v>25</v>
      </c>
      <c r="E3072" s="3" t="s">
        <v>10</v>
      </c>
      <c r="F3072" s="3">
        <v>0</v>
      </c>
      <c r="G3072" s="4"/>
      <c r="H3072" s="3">
        <v>0</v>
      </c>
    </row>
    <row r="3073" ht="14.25" spans="1:8">
      <c r="A3073" s="3" t="str">
        <f>"12101210226"</f>
        <v>12101210226</v>
      </c>
      <c r="B3073" s="3">
        <v>2</v>
      </c>
      <c r="C3073" s="3">
        <v>102</v>
      </c>
      <c r="D3073" s="3">
        <v>26</v>
      </c>
      <c r="E3073" s="3" t="s">
        <v>10</v>
      </c>
      <c r="F3073" s="4">
        <v>79</v>
      </c>
      <c r="G3073" s="4"/>
      <c r="H3073" s="4">
        <f t="shared" ref="H3073:H3077" si="305">F3073+G3073</f>
        <v>79</v>
      </c>
    </row>
    <row r="3074" ht="14.25" spans="1:8">
      <c r="A3074" s="3" t="str">
        <f>"12101210227"</f>
        <v>12101210227</v>
      </c>
      <c r="B3074" s="3">
        <v>2</v>
      </c>
      <c r="C3074" s="3">
        <v>102</v>
      </c>
      <c r="D3074" s="3">
        <v>27</v>
      </c>
      <c r="E3074" s="3" t="s">
        <v>10</v>
      </c>
      <c r="F3074" s="4">
        <v>71.5</v>
      </c>
      <c r="G3074" s="4"/>
      <c r="H3074" s="4">
        <f t="shared" si="305"/>
        <v>71.5</v>
      </c>
    </row>
    <row r="3075" ht="14.25" spans="1:8">
      <c r="A3075" s="3" t="str">
        <f>"12102210228"</f>
        <v>12102210228</v>
      </c>
      <c r="B3075" s="3">
        <v>2</v>
      </c>
      <c r="C3075" s="3">
        <v>102</v>
      </c>
      <c r="D3075" s="3">
        <v>28</v>
      </c>
      <c r="E3075" s="3" t="s">
        <v>10</v>
      </c>
      <c r="F3075" s="4">
        <v>81</v>
      </c>
      <c r="G3075" s="4"/>
      <c r="H3075" s="4">
        <f t="shared" si="305"/>
        <v>81</v>
      </c>
    </row>
    <row r="3076" ht="14.25" spans="1:8">
      <c r="A3076" s="3" t="str">
        <f>"12102210229"</f>
        <v>12102210229</v>
      </c>
      <c r="B3076" s="3">
        <v>2</v>
      </c>
      <c r="C3076" s="3">
        <v>102</v>
      </c>
      <c r="D3076" s="3">
        <v>29</v>
      </c>
      <c r="E3076" s="3" t="s">
        <v>10</v>
      </c>
      <c r="F3076" s="4">
        <v>49.5</v>
      </c>
      <c r="G3076" s="4"/>
      <c r="H3076" s="4">
        <f t="shared" si="305"/>
        <v>49.5</v>
      </c>
    </row>
    <row r="3077" ht="14.25" spans="1:8">
      <c r="A3077" s="3" t="str">
        <f>"12102210230"</f>
        <v>12102210230</v>
      </c>
      <c r="B3077" s="3">
        <v>2</v>
      </c>
      <c r="C3077" s="3">
        <v>102</v>
      </c>
      <c r="D3077" s="3">
        <v>30</v>
      </c>
      <c r="E3077" s="3" t="s">
        <v>10</v>
      </c>
      <c r="F3077" s="4">
        <v>73.5</v>
      </c>
      <c r="G3077" s="4"/>
      <c r="H3077" s="4">
        <f t="shared" si="305"/>
        <v>73.5</v>
      </c>
    </row>
    <row r="3078" ht="14.25" spans="1:8">
      <c r="A3078" s="3" t="str">
        <f>"12102210301"</f>
        <v>12102210301</v>
      </c>
      <c r="B3078" s="3">
        <v>2</v>
      </c>
      <c r="C3078" s="3">
        <v>103</v>
      </c>
      <c r="D3078" s="3">
        <v>1</v>
      </c>
      <c r="E3078" s="3" t="s">
        <v>10</v>
      </c>
      <c r="F3078" s="3">
        <v>0</v>
      </c>
      <c r="G3078" s="4"/>
      <c r="H3078" s="3">
        <v>0</v>
      </c>
    </row>
    <row r="3079" ht="14.25" spans="1:8">
      <c r="A3079" s="3" t="str">
        <f>"12102210302"</f>
        <v>12102210302</v>
      </c>
      <c r="B3079" s="3">
        <v>2</v>
      </c>
      <c r="C3079" s="3">
        <v>103</v>
      </c>
      <c r="D3079" s="3">
        <v>2</v>
      </c>
      <c r="E3079" s="3" t="s">
        <v>10</v>
      </c>
      <c r="F3079" s="4">
        <v>72.5</v>
      </c>
      <c r="G3079" s="4"/>
      <c r="H3079" s="4">
        <f t="shared" ref="H3079:H3084" si="306">F3079+G3079</f>
        <v>72.5</v>
      </c>
    </row>
    <row r="3080" ht="14.25" spans="1:8">
      <c r="A3080" s="3" t="str">
        <f>"12102210303"</f>
        <v>12102210303</v>
      </c>
      <c r="B3080" s="3">
        <v>2</v>
      </c>
      <c r="C3080" s="3">
        <v>103</v>
      </c>
      <c r="D3080" s="3">
        <v>3</v>
      </c>
      <c r="E3080" s="3" t="s">
        <v>10</v>
      </c>
      <c r="F3080" s="3">
        <v>0</v>
      </c>
      <c r="G3080" s="4"/>
      <c r="H3080" s="3">
        <v>0</v>
      </c>
    </row>
    <row r="3081" ht="14.25" spans="1:8">
      <c r="A3081" s="3" t="str">
        <f>"12102210304"</f>
        <v>12102210304</v>
      </c>
      <c r="B3081" s="3">
        <v>2</v>
      </c>
      <c r="C3081" s="3">
        <v>103</v>
      </c>
      <c r="D3081" s="3">
        <v>4</v>
      </c>
      <c r="E3081" s="3" t="s">
        <v>10</v>
      </c>
      <c r="F3081" s="4">
        <v>76</v>
      </c>
      <c r="G3081" s="4"/>
      <c r="H3081" s="4">
        <f t="shared" si="306"/>
        <v>76</v>
      </c>
    </row>
    <row r="3082" ht="14.25" spans="1:8">
      <c r="A3082" s="3" t="str">
        <f>"12102210305"</f>
        <v>12102210305</v>
      </c>
      <c r="B3082" s="3">
        <v>2</v>
      </c>
      <c r="C3082" s="3">
        <v>103</v>
      </c>
      <c r="D3082" s="3">
        <v>5</v>
      </c>
      <c r="E3082" s="3" t="s">
        <v>10</v>
      </c>
      <c r="F3082" s="4">
        <v>67</v>
      </c>
      <c r="G3082" s="4"/>
      <c r="H3082" s="4">
        <f t="shared" si="306"/>
        <v>67</v>
      </c>
    </row>
    <row r="3083" ht="14.25" spans="1:8">
      <c r="A3083" s="3" t="str">
        <f>"12102210306"</f>
        <v>12102210306</v>
      </c>
      <c r="B3083" s="3">
        <v>2</v>
      </c>
      <c r="C3083" s="3">
        <v>103</v>
      </c>
      <c r="D3083" s="3">
        <v>6</v>
      </c>
      <c r="E3083" s="3" t="s">
        <v>10</v>
      </c>
      <c r="F3083" s="4">
        <v>50</v>
      </c>
      <c r="G3083" s="4"/>
      <c r="H3083" s="4">
        <f t="shared" si="306"/>
        <v>50</v>
      </c>
    </row>
    <row r="3084" ht="14.25" spans="1:8">
      <c r="A3084" s="3" t="str">
        <f>"12102210307"</f>
        <v>12102210307</v>
      </c>
      <c r="B3084" s="3">
        <v>2</v>
      </c>
      <c r="C3084" s="3">
        <v>103</v>
      </c>
      <c r="D3084" s="3">
        <v>7</v>
      </c>
      <c r="E3084" s="3" t="s">
        <v>10</v>
      </c>
      <c r="F3084" s="4">
        <v>75</v>
      </c>
      <c r="G3084" s="4"/>
      <c r="H3084" s="4">
        <f t="shared" si="306"/>
        <v>75</v>
      </c>
    </row>
    <row r="3085" ht="14.25" spans="1:8">
      <c r="A3085" s="3" t="str">
        <f>"12102210308"</f>
        <v>12102210308</v>
      </c>
      <c r="B3085" s="3">
        <v>2</v>
      </c>
      <c r="C3085" s="3">
        <v>103</v>
      </c>
      <c r="D3085" s="3">
        <v>8</v>
      </c>
      <c r="E3085" s="3" t="s">
        <v>10</v>
      </c>
      <c r="F3085" s="3">
        <v>0</v>
      </c>
      <c r="G3085" s="4"/>
      <c r="H3085" s="3">
        <v>0</v>
      </c>
    </row>
    <row r="3086" ht="14.25" spans="1:8">
      <c r="A3086" s="3" t="str">
        <f>"12102210309"</f>
        <v>12102210309</v>
      </c>
      <c r="B3086" s="3">
        <v>2</v>
      </c>
      <c r="C3086" s="3">
        <v>103</v>
      </c>
      <c r="D3086" s="3">
        <v>9</v>
      </c>
      <c r="E3086" s="3" t="s">
        <v>10</v>
      </c>
      <c r="F3086" s="3">
        <v>0</v>
      </c>
      <c r="G3086" s="4"/>
      <c r="H3086" s="3">
        <v>0</v>
      </c>
    </row>
    <row r="3087" ht="14.25" spans="1:8">
      <c r="A3087" s="3" t="str">
        <f>"12102210310"</f>
        <v>12102210310</v>
      </c>
      <c r="B3087" s="3">
        <v>2</v>
      </c>
      <c r="C3087" s="3">
        <v>103</v>
      </c>
      <c r="D3087" s="3">
        <v>10</v>
      </c>
      <c r="E3087" s="3" t="s">
        <v>10</v>
      </c>
      <c r="F3087" s="4">
        <v>61</v>
      </c>
      <c r="G3087" s="4"/>
      <c r="H3087" s="4">
        <f t="shared" ref="H3087:H3096" si="307">F3087+G3087</f>
        <v>61</v>
      </c>
    </row>
    <row r="3088" ht="14.25" spans="1:8">
      <c r="A3088" s="3" t="str">
        <f>"12102210311"</f>
        <v>12102210311</v>
      </c>
      <c r="B3088" s="3">
        <v>2</v>
      </c>
      <c r="C3088" s="3">
        <v>103</v>
      </c>
      <c r="D3088" s="3">
        <v>11</v>
      </c>
      <c r="E3088" s="3" t="s">
        <v>10</v>
      </c>
      <c r="F3088" s="3">
        <v>0</v>
      </c>
      <c r="G3088" s="4"/>
      <c r="H3088" s="3">
        <v>0</v>
      </c>
    </row>
    <row r="3089" ht="14.25" spans="1:8">
      <c r="A3089" s="3" t="str">
        <f>"12102210312"</f>
        <v>12102210312</v>
      </c>
      <c r="B3089" s="3">
        <v>2</v>
      </c>
      <c r="C3089" s="3">
        <v>103</v>
      </c>
      <c r="D3089" s="3">
        <v>12</v>
      </c>
      <c r="E3089" s="3" t="s">
        <v>10</v>
      </c>
      <c r="F3089" s="4">
        <v>80.5</v>
      </c>
      <c r="G3089" s="4"/>
      <c r="H3089" s="4">
        <f t="shared" si="307"/>
        <v>80.5</v>
      </c>
    </row>
    <row r="3090" ht="14.25" spans="1:8">
      <c r="A3090" s="3" t="str">
        <f>"12102210313"</f>
        <v>12102210313</v>
      </c>
      <c r="B3090" s="3">
        <v>2</v>
      </c>
      <c r="C3090" s="3">
        <v>103</v>
      </c>
      <c r="D3090" s="3">
        <v>13</v>
      </c>
      <c r="E3090" s="3" t="s">
        <v>10</v>
      </c>
      <c r="F3090" s="4">
        <v>84.5</v>
      </c>
      <c r="G3090" s="4"/>
      <c r="H3090" s="4">
        <f t="shared" si="307"/>
        <v>84.5</v>
      </c>
    </row>
    <row r="3091" ht="14.25" spans="1:8">
      <c r="A3091" s="3" t="str">
        <f>"12102210314"</f>
        <v>12102210314</v>
      </c>
      <c r="B3091" s="3">
        <v>2</v>
      </c>
      <c r="C3091" s="3">
        <v>103</v>
      </c>
      <c r="D3091" s="3">
        <v>14</v>
      </c>
      <c r="E3091" s="3" t="s">
        <v>10</v>
      </c>
      <c r="F3091" s="4">
        <v>62.5</v>
      </c>
      <c r="G3091" s="4"/>
      <c r="H3091" s="4">
        <f t="shared" si="307"/>
        <v>62.5</v>
      </c>
    </row>
    <row r="3092" ht="14.25" spans="1:8">
      <c r="A3092" s="3" t="str">
        <f>"12102210315"</f>
        <v>12102210315</v>
      </c>
      <c r="B3092" s="3">
        <v>2</v>
      </c>
      <c r="C3092" s="3">
        <v>103</v>
      </c>
      <c r="D3092" s="3">
        <v>15</v>
      </c>
      <c r="E3092" s="3" t="s">
        <v>10</v>
      </c>
      <c r="F3092" s="4">
        <v>83</v>
      </c>
      <c r="G3092" s="4"/>
      <c r="H3092" s="4">
        <f t="shared" si="307"/>
        <v>83</v>
      </c>
    </row>
    <row r="3093" ht="14.25" spans="1:8">
      <c r="A3093" s="3" t="str">
        <f>"12102210316"</f>
        <v>12102210316</v>
      </c>
      <c r="B3093" s="3">
        <v>2</v>
      </c>
      <c r="C3093" s="3">
        <v>103</v>
      </c>
      <c r="D3093" s="3">
        <v>16</v>
      </c>
      <c r="E3093" s="3" t="s">
        <v>10</v>
      </c>
      <c r="F3093" s="4">
        <v>60.5</v>
      </c>
      <c r="G3093" s="4"/>
      <c r="H3093" s="4">
        <f t="shared" si="307"/>
        <v>60.5</v>
      </c>
    </row>
    <row r="3094" ht="14.25" spans="1:8">
      <c r="A3094" s="3" t="str">
        <f>"12102210317"</f>
        <v>12102210317</v>
      </c>
      <c r="B3094" s="3">
        <v>2</v>
      </c>
      <c r="C3094" s="3">
        <v>103</v>
      </c>
      <c r="D3094" s="3">
        <v>17</v>
      </c>
      <c r="E3094" s="3" t="s">
        <v>10</v>
      </c>
      <c r="F3094" s="4">
        <v>74.5</v>
      </c>
      <c r="G3094" s="4"/>
      <c r="H3094" s="4">
        <f t="shared" si="307"/>
        <v>74.5</v>
      </c>
    </row>
    <row r="3095" ht="14.25" spans="1:8">
      <c r="A3095" s="3" t="str">
        <f>"12102210318"</f>
        <v>12102210318</v>
      </c>
      <c r="B3095" s="3">
        <v>2</v>
      </c>
      <c r="C3095" s="3">
        <v>103</v>
      </c>
      <c r="D3095" s="3">
        <v>18</v>
      </c>
      <c r="E3095" s="3" t="s">
        <v>10</v>
      </c>
      <c r="F3095" s="4">
        <v>73</v>
      </c>
      <c r="G3095" s="4"/>
      <c r="H3095" s="4">
        <f t="shared" si="307"/>
        <v>73</v>
      </c>
    </row>
    <row r="3096" ht="14.25" spans="1:8">
      <c r="A3096" s="3" t="str">
        <f>"12102210319"</f>
        <v>12102210319</v>
      </c>
      <c r="B3096" s="3">
        <v>2</v>
      </c>
      <c r="C3096" s="3">
        <v>103</v>
      </c>
      <c r="D3096" s="3">
        <v>19</v>
      </c>
      <c r="E3096" s="3" t="s">
        <v>10</v>
      </c>
      <c r="F3096" s="4">
        <v>85</v>
      </c>
      <c r="G3096" s="4"/>
      <c r="H3096" s="4">
        <f t="shared" si="307"/>
        <v>85</v>
      </c>
    </row>
    <row r="3097" ht="14.25" spans="1:8">
      <c r="A3097" s="3" t="str">
        <f>"12102210320"</f>
        <v>12102210320</v>
      </c>
      <c r="B3097" s="3">
        <v>2</v>
      </c>
      <c r="C3097" s="3">
        <v>103</v>
      </c>
      <c r="D3097" s="3">
        <v>20</v>
      </c>
      <c r="E3097" s="3" t="s">
        <v>10</v>
      </c>
      <c r="F3097" s="3">
        <v>0</v>
      </c>
      <c r="G3097" s="4"/>
      <c r="H3097" s="3">
        <v>0</v>
      </c>
    </row>
    <row r="3098" ht="14.25" spans="1:8">
      <c r="A3098" s="3" t="str">
        <f>"12102210321"</f>
        <v>12102210321</v>
      </c>
      <c r="B3098" s="3">
        <v>2</v>
      </c>
      <c r="C3098" s="3">
        <v>103</v>
      </c>
      <c r="D3098" s="3">
        <v>21</v>
      </c>
      <c r="E3098" s="3" t="s">
        <v>10</v>
      </c>
      <c r="F3098" s="4">
        <v>68.5</v>
      </c>
      <c r="G3098" s="4"/>
      <c r="H3098" s="4">
        <f t="shared" ref="H3098:H3108" si="308">F3098+G3098</f>
        <v>68.5</v>
      </c>
    </row>
    <row r="3099" ht="14.25" spans="1:8">
      <c r="A3099" s="3" t="str">
        <f>"12102210322"</f>
        <v>12102210322</v>
      </c>
      <c r="B3099" s="3">
        <v>2</v>
      </c>
      <c r="C3099" s="3">
        <v>103</v>
      </c>
      <c r="D3099" s="3">
        <v>22</v>
      </c>
      <c r="E3099" s="3" t="s">
        <v>10</v>
      </c>
      <c r="F3099" s="4">
        <v>84</v>
      </c>
      <c r="G3099" s="4"/>
      <c r="H3099" s="4">
        <f t="shared" si="308"/>
        <v>84</v>
      </c>
    </row>
    <row r="3100" ht="14.25" spans="1:8">
      <c r="A3100" s="3" t="str">
        <f>"12102210323"</f>
        <v>12102210323</v>
      </c>
      <c r="B3100" s="3">
        <v>2</v>
      </c>
      <c r="C3100" s="3">
        <v>103</v>
      </c>
      <c r="D3100" s="3">
        <v>23</v>
      </c>
      <c r="E3100" s="3" t="s">
        <v>10</v>
      </c>
      <c r="F3100" s="4">
        <v>77</v>
      </c>
      <c r="G3100" s="4"/>
      <c r="H3100" s="4">
        <f t="shared" si="308"/>
        <v>77</v>
      </c>
    </row>
    <row r="3101" ht="14.25" spans="1:8">
      <c r="A3101" s="3" t="str">
        <f>"12102210324"</f>
        <v>12102210324</v>
      </c>
      <c r="B3101" s="3">
        <v>2</v>
      </c>
      <c r="C3101" s="3">
        <v>103</v>
      </c>
      <c r="D3101" s="3">
        <v>24</v>
      </c>
      <c r="E3101" s="3" t="s">
        <v>10</v>
      </c>
      <c r="F3101" s="4">
        <v>74.5</v>
      </c>
      <c r="G3101" s="4"/>
      <c r="H3101" s="4">
        <f t="shared" si="308"/>
        <v>74.5</v>
      </c>
    </row>
    <row r="3102" ht="14.25" spans="1:8">
      <c r="A3102" s="3" t="str">
        <f>"12102210325"</f>
        <v>12102210325</v>
      </c>
      <c r="B3102" s="3">
        <v>2</v>
      </c>
      <c r="C3102" s="3">
        <v>103</v>
      </c>
      <c r="D3102" s="3">
        <v>25</v>
      </c>
      <c r="E3102" s="3" t="s">
        <v>10</v>
      </c>
      <c r="F3102" s="4">
        <v>59</v>
      </c>
      <c r="G3102" s="4"/>
      <c r="H3102" s="4">
        <f t="shared" si="308"/>
        <v>59</v>
      </c>
    </row>
    <row r="3103" ht="14.25" spans="1:8">
      <c r="A3103" s="3" t="str">
        <f>"12102210326"</f>
        <v>12102210326</v>
      </c>
      <c r="B3103" s="3">
        <v>2</v>
      </c>
      <c r="C3103" s="3">
        <v>103</v>
      </c>
      <c r="D3103" s="3">
        <v>26</v>
      </c>
      <c r="E3103" s="3" t="s">
        <v>10</v>
      </c>
      <c r="F3103" s="4">
        <v>65</v>
      </c>
      <c r="G3103" s="4"/>
      <c r="H3103" s="4">
        <f t="shared" si="308"/>
        <v>65</v>
      </c>
    </row>
    <row r="3104" ht="14.25" spans="1:8">
      <c r="A3104" s="3" t="str">
        <f>"12102210327"</f>
        <v>12102210327</v>
      </c>
      <c r="B3104" s="3">
        <v>2</v>
      </c>
      <c r="C3104" s="3">
        <v>103</v>
      </c>
      <c r="D3104" s="3">
        <v>27</v>
      </c>
      <c r="E3104" s="3" t="s">
        <v>10</v>
      </c>
      <c r="F3104" s="4">
        <v>55</v>
      </c>
      <c r="G3104" s="4"/>
      <c r="H3104" s="4">
        <f t="shared" si="308"/>
        <v>55</v>
      </c>
    </row>
    <row r="3105" ht="14.25" spans="1:8">
      <c r="A3105" s="3" t="str">
        <f>"12102210328"</f>
        <v>12102210328</v>
      </c>
      <c r="B3105" s="3">
        <v>2</v>
      </c>
      <c r="C3105" s="3">
        <v>103</v>
      </c>
      <c r="D3105" s="3">
        <v>28</v>
      </c>
      <c r="E3105" s="3" t="s">
        <v>10</v>
      </c>
      <c r="F3105" s="4">
        <v>76.5</v>
      </c>
      <c r="G3105" s="4"/>
      <c r="H3105" s="4">
        <f t="shared" si="308"/>
        <v>76.5</v>
      </c>
    </row>
    <row r="3106" ht="14.25" spans="1:8">
      <c r="A3106" s="3" t="str">
        <f>"12102210329"</f>
        <v>12102210329</v>
      </c>
      <c r="B3106" s="3">
        <v>2</v>
      </c>
      <c r="C3106" s="3">
        <v>103</v>
      </c>
      <c r="D3106" s="3">
        <v>29</v>
      </c>
      <c r="E3106" s="3" t="s">
        <v>10</v>
      </c>
      <c r="F3106" s="4">
        <v>76.5</v>
      </c>
      <c r="G3106" s="4"/>
      <c r="H3106" s="4">
        <f t="shared" si="308"/>
        <v>76.5</v>
      </c>
    </row>
    <row r="3107" ht="14.25" spans="1:8">
      <c r="A3107" s="3" t="str">
        <f>"12102210330"</f>
        <v>12102210330</v>
      </c>
      <c r="B3107" s="3">
        <v>2</v>
      </c>
      <c r="C3107" s="3">
        <v>103</v>
      </c>
      <c r="D3107" s="3">
        <v>30</v>
      </c>
      <c r="E3107" s="3" t="s">
        <v>10</v>
      </c>
      <c r="F3107" s="4">
        <v>65.5</v>
      </c>
      <c r="G3107" s="4"/>
      <c r="H3107" s="4">
        <f t="shared" si="308"/>
        <v>65.5</v>
      </c>
    </row>
    <row r="3108" ht="14.25" spans="1:8">
      <c r="A3108" s="3" t="str">
        <f>"12102210401"</f>
        <v>12102210401</v>
      </c>
      <c r="B3108" s="3">
        <v>2</v>
      </c>
      <c r="C3108" s="3">
        <v>104</v>
      </c>
      <c r="D3108" s="3">
        <v>1</v>
      </c>
      <c r="E3108" s="3" t="s">
        <v>10</v>
      </c>
      <c r="F3108" s="4">
        <v>79</v>
      </c>
      <c r="G3108" s="4"/>
      <c r="H3108" s="4">
        <f t="shared" si="308"/>
        <v>79</v>
      </c>
    </row>
    <row r="3109" ht="14.25" spans="1:8">
      <c r="A3109" s="3" t="str">
        <f>"12102210402"</f>
        <v>12102210402</v>
      </c>
      <c r="B3109" s="3">
        <v>2</v>
      </c>
      <c r="C3109" s="3">
        <v>104</v>
      </c>
      <c r="D3109" s="3">
        <v>2</v>
      </c>
      <c r="E3109" s="3" t="s">
        <v>10</v>
      </c>
      <c r="F3109" s="3">
        <v>0</v>
      </c>
      <c r="G3109" s="4"/>
      <c r="H3109" s="3">
        <v>0</v>
      </c>
    </row>
    <row r="3110" ht="14.25" spans="1:8">
      <c r="A3110" s="3" t="str">
        <f>"12102210403"</f>
        <v>12102210403</v>
      </c>
      <c r="B3110" s="3">
        <v>2</v>
      </c>
      <c r="C3110" s="3">
        <v>104</v>
      </c>
      <c r="D3110" s="3">
        <v>3</v>
      </c>
      <c r="E3110" s="3" t="s">
        <v>10</v>
      </c>
      <c r="F3110" s="4">
        <v>75.5</v>
      </c>
      <c r="G3110" s="4"/>
      <c r="H3110" s="4">
        <f t="shared" ref="H3110:H3119" si="309">F3110+G3110</f>
        <v>75.5</v>
      </c>
    </row>
    <row r="3111" ht="14.25" spans="1:8">
      <c r="A3111" s="3" t="str">
        <f>"12102210404"</f>
        <v>12102210404</v>
      </c>
      <c r="B3111" s="3">
        <v>2</v>
      </c>
      <c r="C3111" s="3">
        <v>104</v>
      </c>
      <c r="D3111" s="3">
        <v>4</v>
      </c>
      <c r="E3111" s="3" t="s">
        <v>10</v>
      </c>
      <c r="F3111" s="3">
        <v>0</v>
      </c>
      <c r="G3111" s="4"/>
      <c r="H3111" s="3">
        <v>0</v>
      </c>
    </row>
    <row r="3112" ht="14.25" spans="1:8">
      <c r="A3112" s="3" t="str">
        <f>"12102210405"</f>
        <v>12102210405</v>
      </c>
      <c r="B3112" s="3">
        <v>2</v>
      </c>
      <c r="C3112" s="3">
        <v>104</v>
      </c>
      <c r="D3112" s="3">
        <v>5</v>
      </c>
      <c r="E3112" s="3" t="s">
        <v>10</v>
      </c>
      <c r="F3112" s="4">
        <v>71.5</v>
      </c>
      <c r="G3112" s="4"/>
      <c r="H3112" s="4">
        <f t="shared" si="309"/>
        <v>71.5</v>
      </c>
    </row>
    <row r="3113" ht="14.25" spans="1:8">
      <c r="A3113" s="3" t="str">
        <f>"12102210406"</f>
        <v>12102210406</v>
      </c>
      <c r="B3113" s="3">
        <v>2</v>
      </c>
      <c r="C3113" s="3">
        <v>104</v>
      </c>
      <c r="D3113" s="3">
        <v>6</v>
      </c>
      <c r="E3113" s="3" t="s">
        <v>10</v>
      </c>
      <c r="F3113" s="3">
        <v>0</v>
      </c>
      <c r="G3113" s="4"/>
      <c r="H3113" s="3">
        <v>0</v>
      </c>
    </row>
    <row r="3114" ht="14.25" spans="1:8">
      <c r="A3114" s="3" t="str">
        <f>"12102210407"</f>
        <v>12102210407</v>
      </c>
      <c r="B3114" s="3">
        <v>2</v>
      </c>
      <c r="C3114" s="3">
        <v>104</v>
      </c>
      <c r="D3114" s="3">
        <v>7</v>
      </c>
      <c r="E3114" s="3" t="s">
        <v>10</v>
      </c>
      <c r="F3114" s="4">
        <v>81</v>
      </c>
      <c r="G3114" s="4"/>
      <c r="H3114" s="4">
        <f t="shared" si="309"/>
        <v>81</v>
      </c>
    </row>
    <row r="3115" ht="14.25" spans="1:8">
      <c r="A3115" s="3" t="str">
        <f>"12103210408"</f>
        <v>12103210408</v>
      </c>
      <c r="B3115" s="3">
        <v>2</v>
      </c>
      <c r="C3115" s="3">
        <v>104</v>
      </c>
      <c r="D3115" s="3">
        <v>8</v>
      </c>
      <c r="E3115" s="3" t="s">
        <v>10</v>
      </c>
      <c r="F3115" s="4">
        <v>54.5</v>
      </c>
      <c r="G3115" s="4"/>
      <c r="H3115" s="4">
        <f t="shared" si="309"/>
        <v>54.5</v>
      </c>
    </row>
    <row r="3116" ht="14.25" spans="1:8">
      <c r="A3116" s="3" t="str">
        <f>"12103210409"</f>
        <v>12103210409</v>
      </c>
      <c r="B3116" s="3">
        <v>2</v>
      </c>
      <c r="C3116" s="3">
        <v>104</v>
      </c>
      <c r="D3116" s="3">
        <v>9</v>
      </c>
      <c r="E3116" s="3" t="s">
        <v>10</v>
      </c>
      <c r="F3116" s="4">
        <v>79</v>
      </c>
      <c r="G3116" s="4"/>
      <c r="H3116" s="4">
        <f t="shared" si="309"/>
        <v>79</v>
      </c>
    </row>
    <row r="3117" ht="14.25" spans="1:8">
      <c r="A3117" s="3" t="str">
        <f>"12103210410"</f>
        <v>12103210410</v>
      </c>
      <c r="B3117" s="3">
        <v>2</v>
      </c>
      <c r="C3117" s="3">
        <v>104</v>
      </c>
      <c r="D3117" s="3">
        <v>10</v>
      </c>
      <c r="E3117" s="3" t="s">
        <v>10</v>
      </c>
      <c r="F3117" s="4">
        <v>50</v>
      </c>
      <c r="G3117" s="4"/>
      <c r="H3117" s="4">
        <f t="shared" si="309"/>
        <v>50</v>
      </c>
    </row>
    <row r="3118" ht="14.25" spans="1:8">
      <c r="A3118" s="3" t="str">
        <f>"12103210411"</f>
        <v>12103210411</v>
      </c>
      <c r="B3118" s="3">
        <v>2</v>
      </c>
      <c r="C3118" s="3">
        <v>104</v>
      </c>
      <c r="D3118" s="3">
        <v>11</v>
      </c>
      <c r="E3118" s="3" t="s">
        <v>10</v>
      </c>
      <c r="F3118" s="4">
        <v>76.5</v>
      </c>
      <c r="G3118" s="4"/>
      <c r="H3118" s="4">
        <f t="shared" si="309"/>
        <v>76.5</v>
      </c>
    </row>
    <row r="3119" ht="14.25" spans="1:8">
      <c r="A3119" s="3" t="str">
        <f>"12103210412"</f>
        <v>12103210412</v>
      </c>
      <c r="B3119" s="3">
        <v>2</v>
      </c>
      <c r="C3119" s="3">
        <v>104</v>
      </c>
      <c r="D3119" s="3">
        <v>12</v>
      </c>
      <c r="E3119" s="3" t="s">
        <v>10</v>
      </c>
      <c r="F3119" s="4">
        <v>63</v>
      </c>
      <c r="G3119" s="4"/>
      <c r="H3119" s="4">
        <f t="shared" si="309"/>
        <v>63</v>
      </c>
    </row>
    <row r="3120" ht="14.25" spans="1:8">
      <c r="A3120" s="3" t="str">
        <f>"12103210413"</f>
        <v>12103210413</v>
      </c>
      <c r="B3120" s="3">
        <v>2</v>
      </c>
      <c r="C3120" s="3">
        <v>104</v>
      </c>
      <c r="D3120" s="3">
        <v>13</v>
      </c>
      <c r="E3120" s="3" t="s">
        <v>10</v>
      </c>
      <c r="F3120" s="3">
        <v>0</v>
      </c>
      <c r="G3120" s="4"/>
      <c r="H3120" s="3">
        <v>0</v>
      </c>
    </row>
    <row r="3121" ht="14.25" spans="1:8">
      <c r="A3121" s="3" t="str">
        <f>"12103210414"</f>
        <v>12103210414</v>
      </c>
      <c r="B3121" s="3">
        <v>2</v>
      </c>
      <c r="C3121" s="3">
        <v>104</v>
      </c>
      <c r="D3121" s="3">
        <v>14</v>
      </c>
      <c r="E3121" s="3" t="s">
        <v>10</v>
      </c>
      <c r="F3121" s="4">
        <v>61</v>
      </c>
      <c r="G3121" s="4"/>
      <c r="H3121" s="4">
        <f t="shared" ref="H3121:H3124" si="310">F3121+G3121</f>
        <v>61</v>
      </c>
    </row>
    <row r="3122" ht="14.25" spans="1:8">
      <c r="A3122" s="3" t="str">
        <f>"12103210415"</f>
        <v>12103210415</v>
      </c>
      <c r="B3122" s="3">
        <v>2</v>
      </c>
      <c r="C3122" s="3">
        <v>104</v>
      </c>
      <c r="D3122" s="3">
        <v>15</v>
      </c>
      <c r="E3122" s="3" t="s">
        <v>10</v>
      </c>
      <c r="F3122" s="4">
        <v>82</v>
      </c>
      <c r="G3122" s="4"/>
      <c r="H3122" s="4">
        <f t="shared" si="310"/>
        <v>82</v>
      </c>
    </row>
    <row r="3123" ht="14.25" spans="1:8">
      <c r="A3123" s="3" t="str">
        <f>"12103210416"</f>
        <v>12103210416</v>
      </c>
      <c r="B3123" s="3">
        <v>2</v>
      </c>
      <c r="C3123" s="3">
        <v>104</v>
      </c>
      <c r="D3123" s="3">
        <v>16</v>
      </c>
      <c r="E3123" s="3" t="s">
        <v>10</v>
      </c>
      <c r="F3123" s="4">
        <v>63.5</v>
      </c>
      <c r="G3123" s="4"/>
      <c r="H3123" s="4">
        <f t="shared" si="310"/>
        <v>63.5</v>
      </c>
    </row>
    <row r="3124" ht="14.25" spans="1:8">
      <c r="A3124" s="3" t="str">
        <f>"12103210417"</f>
        <v>12103210417</v>
      </c>
      <c r="B3124" s="3">
        <v>2</v>
      </c>
      <c r="C3124" s="3">
        <v>104</v>
      </c>
      <c r="D3124" s="3">
        <v>17</v>
      </c>
      <c r="E3124" s="3" t="s">
        <v>10</v>
      </c>
      <c r="F3124" s="4">
        <v>86.5</v>
      </c>
      <c r="G3124" s="4"/>
      <c r="H3124" s="4">
        <f t="shared" si="310"/>
        <v>86.5</v>
      </c>
    </row>
    <row r="3125" ht="14.25" spans="1:8">
      <c r="A3125" s="3" t="str">
        <f>"12103210418"</f>
        <v>12103210418</v>
      </c>
      <c r="B3125" s="3">
        <v>2</v>
      </c>
      <c r="C3125" s="3">
        <v>104</v>
      </c>
      <c r="D3125" s="3">
        <v>18</v>
      </c>
      <c r="E3125" s="3" t="s">
        <v>10</v>
      </c>
      <c r="F3125" s="3">
        <v>0</v>
      </c>
      <c r="G3125" s="4"/>
      <c r="H3125" s="3">
        <v>0</v>
      </c>
    </row>
    <row r="3126" ht="14.25" spans="1:8">
      <c r="A3126" s="3" t="str">
        <f>"12104522417"</f>
        <v>12104522417</v>
      </c>
      <c r="B3126" s="3">
        <v>5</v>
      </c>
      <c r="C3126" s="3">
        <v>224</v>
      </c>
      <c r="D3126" s="3">
        <v>17</v>
      </c>
      <c r="E3126" s="3" t="s">
        <v>9</v>
      </c>
      <c r="F3126" s="4">
        <v>65</v>
      </c>
      <c r="G3126" s="4"/>
      <c r="H3126" s="4">
        <f t="shared" ref="H3126:H3129" si="311">F3126+G3126</f>
        <v>65</v>
      </c>
    </row>
    <row r="3127" ht="14.25" spans="1:8">
      <c r="A3127" s="3" t="str">
        <f>"12104522418"</f>
        <v>12104522418</v>
      </c>
      <c r="B3127" s="3">
        <v>5</v>
      </c>
      <c r="C3127" s="3">
        <v>224</v>
      </c>
      <c r="D3127" s="3">
        <v>18</v>
      </c>
      <c r="E3127" s="3" t="s">
        <v>9</v>
      </c>
      <c r="F3127" s="4">
        <v>70.5</v>
      </c>
      <c r="G3127" s="4"/>
      <c r="H3127" s="4">
        <f t="shared" si="311"/>
        <v>70.5</v>
      </c>
    </row>
    <row r="3128" ht="14.25" spans="1:8">
      <c r="A3128" s="3" t="str">
        <f>"12104522419"</f>
        <v>12104522419</v>
      </c>
      <c r="B3128" s="3">
        <v>5</v>
      </c>
      <c r="C3128" s="3">
        <v>224</v>
      </c>
      <c r="D3128" s="3">
        <v>19</v>
      </c>
      <c r="E3128" s="3" t="s">
        <v>9</v>
      </c>
      <c r="F3128" s="4">
        <v>74.5</v>
      </c>
      <c r="G3128" s="4"/>
      <c r="H3128" s="4">
        <f t="shared" si="311"/>
        <v>74.5</v>
      </c>
    </row>
    <row r="3129" ht="14.25" spans="1:8">
      <c r="A3129" s="3" t="str">
        <f>"12104522420"</f>
        <v>12104522420</v>
      </c>
      <c r="B3129" s="3">
        <v>5</v>
      </c>
      <c r="C3129" s="3">
        <v>224</v>
      </c>
      <c r="D3129" s="3">
        <v>20</v>
      </c>
      <c r="E3129" s="3" t="s">
        <v>9</v>
      </c>
      <c r="F3129" s="4">
        <v>74</v>
      </c>
      <c r="G3129" s="4"/>
      <c r="H3129" s="4">
        <f t="shared" si="311"/>
        <v>74</v>
      </c>
    </row>
    <row r="3130" ht="14.25" spans="1:8">
      <c r="A3130" s="3" t="str">
        <f>"12104522421"</f>
        <v>12104522421</v>
      </c>
      <c r="B3130" s="3">
        <v>5</v>
      </c>
      <c r="C3130" s="3">
        <v>224</v>
      </c>
      <c r="D3130" s="3">
        <v>21</v>
      </c>
      <c r="E3130" s="3" t="s">
        <v>9</v>
      </c>
      <c r="F3130" s="3">
        <v>0</v>
      </c>
      <c r="G3130" s="4"/>
      <c r="H3130" s="3">
        <v>0</v>
      </c>
    </row>
    <row r="3131" ht="14.25" spans="1:8">
      <c r="A3131" s="3" t="str">
        <f>"12104522422"</f>
        <v>12104522422</v>
      </c>
      <c r="B3131" s="3">
        <v>5</v>
      </c>
      <c r="C3131" s="3">
        <v>224</v>
      </c>
      <c r="D3131" s="3">
        <v>22</v>
      </c>
      <c r="E3131" s="3" t="s">
        <v>9</v>
      </c>
      <c r="F3131" s="4">
        <v>81</v>
      </c>
      <c r="G3131" s="4"/>
      <c r="H3131" s="4">
        <f t="shared" ref="H3131:H3153" si="312">F3131+G3131</f>
        <v>81</v>
      </c>
    </row>
    <row r="3132" ht="14.25" spans="1:8">
      <c r="A3132" s="3" t="str">
        <f>"12104522423"</f>
        <v>12104522423</v>
      </c>
      <c r="B3132" s="3">
        <v>5</v>
      </c>
      <c r="C3132" s="3">
        <v>224</v>
      </c>
      <c r="D3132" s="3">
        <v>23</v>
      </c>
      <c r="E3132" s="3" t="s">
        <v>9</v>
      </c>
      <c r="F3132" s="4">
        <v>76</v>
      </c>
      <c r="G3132" s="4"/>
      <c r="H3132" s="4">
        <f t="shared" si="312"/>
        <v>76</v>
      </c>
    </row>
    <row r="3133" ht="14.25" spans="1:8">
      <c r="A3133" s="3" t="str">
        <f>"12104522424"</f>
        <v>12104522424</v>
      </c>
      <c r="B3133" s="3">
        <v>5</v>
      </c>
      <c r="C3133" s="3">
        <v>224</v>
      </c>
      <c r="D3133" s="3">
        <v>24</v>
      </c>
      <c r="E3133" s="3" t="s">
        <v>9</v>
      </c>
      <c r="F3133" s="4">
        <v>59</v>
      </c>
      <c r="G3133" s="4"/>
      <c r="H3133" s="4">
        <f t="shared" si="312"/>
        <v>59</v>
      </c>
    </row>
    <row r="3134" ht="14.25" spans="1:8">
      <c r="A3134" s="3" t="str">
        <f>"12104522425"</f>
        <v>12104522425</v>
      </c>
      <c r="B3134" s="3">
        <v>5</v>
      </c>
      <c r="C3134" s="3">
        <v>224</v>
      </c>
      <c r="D3134" s="3">
        <v>25</v>
      </c>
      <c r="E3134" s="3" t="s">
        <v>9</v>
      </c>
      <c r="F3134" s="4">
        <v>69.5</v>
      </c>
      <c r="G3134" s="4"/>
      <c r="H3134" s="4">
        <f t="shared" si="312"/>
        <v>69.5</v>
      </c>
    </row>
    <row r="3135" ht="14.25" spans="1:8">
      <c r="A3135" s="3" t="str">
        <f>"12104522426"</f>
        <v>12104522426</v>
      </c>
      <c r="B3135" s="3">
        <v>5</v>
      </c>
      <c r="C3135" s="3">
        <v>224</v>
      </c>
      <c r="D3135" s="3">
        <v>26</v>
      </c>
      <c r="E3135" s="3" t="s">
        <v>9</v>
      </c>
      <c r="F3135" s="4">
        <v>60</v>
      </c>
      <c r="G3135" s="4"/>
      <c r="H3135" s="4">
        <f t="shared" si="312"/>
        <v>60</v>
      </c>
    </row>
    <row r="3136" ht="14.25" spans="1:8">
      <c r="A3136" s="3" t="str">
        <f>"12104522427"</f>
        <v>12104522427</v>
      </c>
      <c r="B3136" s="3">
        <v>5</v>
      </c>
      <c r="C3136" s="3">
        <v>224</v>
      </c>
      <c r="D3136" s="3">
        <v>27</v>
      </c>
      <c r="E3136" s="3" t="s">
        <v>9</v>
      </c>
      <c r="F3136" s="4">
        <v>88</v>
      </c>
      <c r="G3136" s="4"/>
      <c r="H3136" s="4">
        <f t="shared" si="312"/>
        <v>88</v>
      </c>
    </row>
    <row r="3137" ht="14.25" spans="1:8">
      <c r="A3137" s="3" t="str">
        <f>"12104522428"</f>
        <v>12104522428</v>
      </c>
      <c r="B3137" s="3">
        <v>5</v>
      </c>
      <c r="C3137" s="3">
        <v>224</v>
      </c>
      <c r="D3137" s="3">
        <v>28</v>
      </c>
      <c r="E3137" s="3" t="s">
        <v>9</v>
      </c>
      <c r="F3137" s="4">
        <v>61</v>
      </c>
      <c r="G3137" s="4"/>
      <c r="H3137" s="4">
        <f t="shared" si="312"/>
        <v>61</v>
      </c>
    </row>
    <row r="3138" ht="14.25" spans="1:8">
      <c r="A3138" s="3" t="str">
        <f>"12104522429"</f>
        <v>12104522429</v>
      </c>
      <c r="B3138" s="3">
        <v>5</v>
      </c>
      <c r="C3138" s="3">
        <v>224</v>
      </c>
      <c r="D3138" s="3">
        <v>29</v>
      </c>
      <c r="E3138" s="3" t="s">
        <v>9</v>
      </c>
      <c r="F3138" s="4">
        <v>73</v>
      </c>
      <c r="G3138" s="4"/>
      <c r="H3138" s="4">
        <f t="shared" si="312"/>
        <v>73</v>
      </c>
    </row>
    <row r="3139" ht="14.25" spans="1:8">
      <c r="A3139" s="3" t="str">
        <f>"12104522430"</f>
        <v>12104522430</v>
      </c>
      <c r="B3139" s="3">
        <v>5</v>
      </c>
      <c r="C3139" s="3">
        <v>224</v>
      </c>
      <c r="D3139" s="3">
        <v>30</v>
      </c>
      <c r="E3139" s="3" t="s">
        <v>9</v>
      </c>
      <c r="F3139" s="4">
        <v>69.5</v>
      </c>
      <c r="G3139" s="4"/>
      <c r="H3139" s="4">
        <f t="shared" si="312"/>
        <v>69.5</v>
      </c>
    </row>
    <row r="3140" ht="14.25" spans="1:8">
      <c r="A3140" s="3" t="str">
        <f>"12104522501"</f>
        <v>12104522501</v>
      </c>
      <c r="B3140" s="3">
        <v>5</v>
      </c>
      <c r="C3140" s="3">
        <v>225</v>
      </c>
      <c r="D3140" s="3">
        <v>1</v>
      </c>
      <c r="E3140" s="3" t="s">
        <v>9</v>
      </c>
      <c r="F3140" s="4">
        <v>66.5</v>
      </c>
      <c r="G3140" s="4"/>
      <c r="H3140" s="4">
        <f t="shared" si="312"/>
        <v>66.5</v>
      </c>
    </row>
    <row r="3141" ht="14.25" spans="1:8">
      <c r="A3141" s="3" t="str">
        <f>"12104522502"</f>
        <v>12104522502</v>
      </c>
      <c r="B3141" s="3">
        <v>5</v>
      </c>
      <c r="C3141" s="3">
        <v>225</v>
      </c>
      <c r="D3141" s="3">
        <v>2</v>
      </c>
      <c r="E3141" s="3" t="s">
        <v>9</v>
      </c>
      <c r="F3141" s="4">
        <v>75.5</v>
      </c>
      <c r="G3141" s="4"/>
      <c r="H3141" s="4">
        <f t="shared" si="312"/>
        <v>75.5</v>
      </c>
    </row>
    <row r="3142" ht="14.25" spans="1:8">
      <c r="A3142" s="3" t="str">
        <f>"12104522503"</f>
        <v>12104522503</v>
      </c>
      <c r="B3142" s="3">
        <v>5</v>
      </c>
      <c r="C3142" s="3">
        <v>225</v>
      </c>
      <c r="D3142" s="3">
        <v>3</v>
      </c>
      <c r="E3142" s="3" t="s">
        <v>9</v>
      </c>
      <c r="F3142" s="4">
        <v>54.5</v>
      </c>
      <c r="G3142" s="4"/>
      <c r="H3142" s="4">
        <f t="shared" si="312"/>
        <v>54.5</v>
      </c>
    </row>
    <row r="3143" ht="14.25" spans="1:8">
      <c r="A3143" s="3" t="str">
        <f>"12104522504"</f>
        <v>12104522504</v>
      </c>
      <c r="B3143" s="3">
        <v>5</v>
      </c>
      <c r="C3143" s="3">
        <v>225</v>
      </c>
      <c r="D3143" s="3">
        <v>4</v>
      </c>
      <c r="E3143" s="3" t="s">
        <v>9</v>
      </c>
      <c r="F3143" s="4">
        <v>59.5</v>
      </c>
      <c r="G3143" s="4"/>
      <c r="H3143" s="4">
        <f t="shared" si="312"/>
        <v>59.5</v>
      </c>
    </row>
    <row r="3144" ht="14.25" spans="1:8">
      <c r="A3144" s="3" t="str">
        <f>"12104522505"</f>
        <v>12104522505</v>
      </c>
      <c r="B3144" s="3">
        <v>5</v>
      </c>
      <c r="C3144" s="3">
        <v>225</v>
      </c>
      <c r="D3144" s="3">
        <v>5</v>
      </c>
      <c r="E3144" s="3" t="s">
        <v>9</v>
      </c>
      <c r="F3144" s="4">
        <v>83.5</v>
      </c>
      <c r="G3144" s="4"/>
      <c r="H3144" s="4">
        <f t="shared" si="312"/>
        <v>83.5</v>
      </c>
    </row>
    <row r="3145" ht="14.25" spans="1:8">
      <c r="A3145" s="3" t="str">
        <f>"12104522506"</f>
        <v>12104522506</v>
      </c>
      <c r="B3145" s="3">
        <v>5</v>
      </c>
      <c r="C3145" s="3">
        <v>225</v>
      </c>
      <c r="D3145" s="3">
        <v>6</v>
      </c>
      <c r="E3145" s="3" t="s">
        <v>9</v>
      </c>
      <c r="F3145" s="4">
        <v>72</v>
      </c>
      <c r="G3145" s="4"/>
      <c r="H3145" s="4">
        <f t="shared" si="312"/>
        <v>72</v>
      </c>
    </row>
    <row r="3146" ht="14.25" spans="1:8">
      <c r="A3146" s="3" t="str">
        <f>"12104522507"</f>
        <v>12104522507</v>
      </c>
      <c r="B3146" s="3">
        <v>5</v>
      </c>
      <c r="C3146" s="3">
        <v>225</v>
      </c>
      <c r="D3146" s="3">
        <v>7</v>
      </c>
      <c r="E3146" s="3" t="s">
        <v>9</v>
      </c>
      <c r="F3146" s="4">
        <v>72</v>
      </c>
      <c r="G3146" s="4"/>
      <c r="H3146" s="4">
        <f t="shared" si="312"/>
        <v>72</v>
      </c>
    </row>
    <row r="3147" ht="14.25" spans="1:8">
      <c r="A3147" s="3" t="str">
        <f>"12104522508"</f>
        <v>12104522508</v>
      </c>
      <c r="B3147" s="3">
        <v>5</v>
      </c>
      <c r="C3147" s="3">
        <v>225</v>
      </c>
      <c r="D3147" s="3">
        <v>8</v>
      </c>
      <c r="E3147" s="3" t="s">
        <v>9</v>
      </c>
      <c r="F3147" s="4">
        <v>60</v>
      </c>
      <c r="G3147" s="4"/>
      <c r="H3147" s="4">
        <f t="shared" si="312"/>
        <v>60</v>
      </c>
    </row>
    <row r="3148" ht="14.25" spans="1:8">
      <c r="A3148" s="3" t="str">
        <f>"12104522509"</f>
        <v>12104522509</v>
      </c>
      <c r="B3148" s="3">
        <v>5</v>
      </c>
      <c r="C3148" s="3">
        <v>225</v>
      </c>
      <c r="D3148" s="3">
        <v>9</v>
      </c>
      <c r="E3148" s="3" t="s">
        <v>9</v>
      </c>
      <c r="F3148" s="4">
        <v>67.5</v>
      </c>
      <c r="G3148" s="4"/>
      <c r="H3148" s="4">
        <f t="shared" si="312"/>
        <v>67.5</v>
      </c>
    </row>
    <row r="3149" ht="14.25" spans="1:8">
      <c r="A3149" s="3" t="str">
        <f>"12104522510"</f>
        <v>12104522510</v>
      </c>
      <c r="B3149" s="3">
        <v>5</v>
      </c>
      <c r="C3149" s="3">
        <v>225</v>
      </c>
      <c r="D3149" s="3">
        <v>10</v>
      </c>
      <c r="E3149" s="3" t="s">
        <v>9</v>
      </c>
      <c r="F3149" s="4">
        <v>47</v>
      </c>
      <c r="G3149" s="4"/>
      <c r="H3149" s="4">
        <f t="shared" si="312"/>
        <v>47</v>
      </c>
    </row>
    <row r="3150" ht="14.25" spans="1:8">
      <c r="A3150" s="3" t="str">
        <f>"12104522511"</f>
        <v>12104522511</v>
      </c>
      <c r="B3150" s="3">
        <v>5</v>
      </c>
      <c r="C3150" s="3">
        <v>225</v>
      </c>
      <c r="D3150" s="3">
        <v>11</v>
      </c>
      <c r="E3150" s="3" t="s">
        <v>9</v>
      </c>
      <c r="F3150" s="4">
        <v>64</v>
      </c>
      <c r="G3150" s="4"/>
      <c r="H3150" s="4">
        <f t="shared" si="312"/>
        <v>64</v>
      </c>
    </row>
    <row r="3151" ht="14.25" spans="1:8">
      <c r="A3151" s="3" t="str">
        <f>"12104522512"</f>
        <v>12104522512</v>
      </c>
      <c r="B3151" s="3">
        <v>5</v>
      </c>
      <c r="C3151" s="3">
        <v>225</v>
      </c>
      <c r="D3151" s="3">
        <v>12</v>
      </c>
      <c r="E3151" s="3" t="s">
        <v>9</v>
      </c>
      <c r="F3151" s="4">
        <v>66.5</v>
      </c>
      <c r="G3151" s="4"/>
      <c r="H3151" s="4">
        <f t="shared" si="312"/>
        <v>66.5</v>
      </c>
    </row>
    <row r="3152" ht="14.25" spans="1:8">
      <c r="A3152" s="3" t="str">
        <f>"12104522513"</f>
        <v>12104522513</v>
      </c>
      <c r="B3152" s="3">
        <v>5</v>
      </c>
      <c r="C3152" s="3">
        <v>225</v>
      </c>
      <c r="D3152" s="3">
        <v>13</v>
      </c>
      <c r="E3152" s="3" t="s">
        <v>9</v>
      </c>
      <c r="F3152" s="4">
        <v>65.5</v>
      </c>
      <c r="G3152" s="4"/>
      <c r="H3152" s="4">
        <f t="shared" si="312"/>
        <v>65.5</v>
      </c>
    </row>
    <row r="3153" ht="14.25" spans="1:8">
      <c r="A3153" s="3" t="str">
        <f>"12201210419"</f>
        <v>12201210419</v>
      </c>
      <c r="B3153" s="3">
        <v>2</v>
      </c>
      <c r="C3153" s="3">
        <v>104</v>
      </c>
      <c r="D3153" s="3">
        <v>19</v>
      </c>
      <c r="E3153" s="3" t="s">
        <v>10</v>
      </c>
      <c r="F3153" s="4">
        <v>67</v>
      </c>
      <c r="G3153" s="4"/>
      <c r="H3153" s="4">
        <f t="shared" si="312"/>
        <v>67</v>
      </c>
    </row>
    <row r="3154" ht="14.25" spans="1:8">
      <c r="A3154" s="3" t="str">
        <f>"12201210420"</f>
        <v>12201210420</v>
      </c>
      <c r="B3154" s="3">
        <v>2</v>
      </c>
      <c r="C3154" s="3">
        <v>104</v>
      </c>
      <c r="D3154" s="3">
        <v>20</v>
      </c>
      <c r="E3154" s="3" t="s">
        <v>10</v>
      </c>
      <c r="F3154" s="3">
        <v>0</v>
      </c>
      <c r="G3154" s="4"/>
      <c r="H3154" s="3">
        <v>0</v>
      </c>
    </row>
    <row r="3155" ht="14.25" spans="1:8">
      <c r="A3155" s="3" t="str">
        <f>"12201210421"</f>
        <v>12201210421</v>
      </c>
      <c r="B3155" s="3">
        <v>2</v>
      </c>
      <c r="C3155" s="3">
        <v>104</v>
      </c>
      <c r="D3155" s="3">
        <v>21</v>
      </c>
      <c r="E3155" s="3" t="s">
        <v>10</v>
      </c>
      <c r="F3155" s="3">
        <v>0</v>
      </c>
      <c r="G3155" s="4"/>
      <c r="H3155" s="3">
        <v>0</v>
      </c>
    </row>
    <row r="3156" ht="14.25" spans="1:8">
      <c r="A3156" s="3" t="str">
        <f>"12201210422"</f>
        <v>12201210422</v>
      </c>
      <c r="B3156" s="3">
        <v>2</v>
      </c>
      <c r="C3156" s="3">
        <v>104</v>
      </c>
      <c r="D3156" s="3">
        <v>22</v>
      </c>
      <c r="E3156" s="3" t="s">
        <v>10</v>
      </c>
      <c r="F3156" s="4">
        <v>81.5</v>
      </c>
      <c r="G3156" s="4"/>
      <c r="H3156" s="4">
        <f t="shared" ref="H3156:H3171" si="313">F3156+G3156</f>
        <v>81.5</v>
      </c>
    </row>
    <row r="3157" ht="14.25" spans="1:8">
      <c r="A3157" s="3" t="str">
        <f>"12201210423"</f>
        <v>12201210423</v>
      </c>
      <c r="B3157" s="3">
        <v>2</v>
      </c>
      <c r="C3157" s="3">
        <v>104</v>
      </c>
      <c r="D3157" s="3">
        <v>23</v>
      </c>
      <c r="E3157" s="3" t="s">
        <v>10</v>
      </c>
      <c r="F3157" s="4">
        <v>82</v>
      </c>
      <c r="G3157" s="4"/>
      <c r="H3157" s="4">
        <f t="shared" si="313"/>
        <v>82</v>
      </c>
    </row>
    <row r="3158" ht="14.25" spans="1:8">
      <c r="A3158" s="3" t="str">
        <f>"12201210424"</f>
        <v>12201210424</v>
      </c>
      <c r="B3158" s="3">
        <v>2</v>
      </c>
      <c r="C3158" s="3">
        <v>104</v>
      </c>
      <c r="D3158" s="3">
        <v>24</v>
      </c>
      <c r="E3158" s="3" t="s">
        <v>10</v>
      </c>
      <c r="F3158" s="4">
        <v>68.5</v>
      </c>
      <c r="G3158" s="4"/>
      <c r="H3158" s="4">
        <f t="shared" si="313"/>
        <v>68.5</v>
      </c>
    </row>
    <row r="3159" ht="14.25" spans="1:8">
      <c r="A3159" s="3" t="str">
        <f>"12201210425"</f>
        <v>12201210425</v>
      </c>
      <c r="B3159" s="3">
        <v>2</v>
      </c>
      <c r="C3159" s="3">
        <v>104</v>
      </c>
      <c r="D3159" s="3">
        <v>25</v>
      </c>
      <c r="E3159" s="3" t="s">
        <v>10</v>
      </c>
      <c r="F3159" s="4">
        <v>83.5</v>
      </c>
      <c r="G3159" s="4"/>
      <c r="H3159" s="4">
        <f t="shared" si="313"/>
        <v>83.5</v>
      </c>
    </row>
    <row r="3160" ht="14.25" spans="1:8">
      <c r="A3160" s="3" t="str">
        <f>"12201210426"</f>
        <v>12201210426</v>
      </c>
      <c r="B3160" s="3">
        <v>2</v>
      </c>
      <c r="C3160" s="3">
        <v>104</v>
      </c>
      <c r="D3160" s="3">
        <v>26</v>
      </c>
      <c r="E3160" s="3" t="s">
        <v>10</v>
      </c>
      <c r="F3160" s="4">
        <v>78</v>
      </c>
      <c r="G3160" s="4"/>
      <c r="H3160" s="4">
        <f t="shared" si="313"/>
        <v>78</v>
      </c>
    </row>
    <row r="3161" ht="14.25" spans="1:8">
      <c r="A3161" s="3" t="str">
        <f>"12201210427"</f>
        <v>12201210427</v>
      </c>
      <c r="B3161" s="3">
        <v>2</v>
      </c>
      <c r="C3161" s="3">
        <v>104</v>
      </c>
      <c r="D3161" s="3">
        <v>27</v>
      </c>
      <c r="E3161" s="3" t="s">
        <v>10</v>
      </c>
      <c r="F3161" s="4">
        <v>72.5</v>
      </c>
      <c r="G3161" s="4"/>
      <c r="H3161" s="4">
        <f t="shared" si="313"/>
        <v>72.5</v>
      </c>
    </row>
    <row r="3162" ht="14.25" spans="1:8">
      <c r="A3162" s="3" t="str">
        <f>"12201210428"</f>
        <v>12201210428</v>
      </c>
      <c r="B3162" s="3">
        <v>2</v>
      </c>
      <c r="C3162" s="3">
        <v>104</v>
      </c>
      <c r="D3162" s="3">
        <v>28</v>
      </c>
      <c r="E3162" s="3" t="s">
        <v>10</v>
      </c>
      <c r="F3162" s="4">
        <v>51</v>
      </c>
      <c r="G3162" s="4"/>
      <c r="H3162" s="4">
        <f t="shared" si="313"/>
        <v>51</v>
      </c>
    </row>
    <row r="3163" ht="14.25" spans="1:8">
      <c r="A3163" s="3" t="str">
        <f>"12201210429"</f>
        <v>12201210429</v>
      </c>
      <c r="B3163" s="3">
        <v>2</v>
      </c>
      <c r="C3163" s="3">
        <v>104</v>
      </c>
      <c r="D3163" s="3">
        <v>29</v>
      </c>
      <c r="E3163" s="3" t="s">
        <v>10</v>
      </c>
      <c r="F3163" s="4">
        <v>72.5</v>
      </c>
      <c r="G3163" s="4"/>
      <c r="H3163" s="4">
        <f t="shared" si="313"/>
        <v>72.5</v>
      </c>
    </row>
    <row r="3164" ht="14.25" spans="1:8">
      <c r="A3164" s="3" t="str">
        <f>"12201210430"</f>
        <v>12201210430</v>
      </c>
      <c r="B3164" s="3">
        <v>2</v>
      </c>
      <c r="C3164" s="3">
        <v>104</v>
      </c>
      <c r="D3164" s="3">
        <v>30</v>
      </c>
      <c r="E3164" s="3" t="s">
        <v>10</v>
      </c>
      <c r="F3164" s="4">
        <v>76.5</v>
      </c>
      <c r="G3164" s="4"/>
      <c r="H3164" s="4">
        <f t="shared" si="313"/>
        <v>76.5</v>
      </c>
    </row>
    <row r="3165" ht="14.25" spans="1:8">
      <c r="A3165" s="3" t="str">
        <f>"12201210501"</f>
        <v>12201210501</v>
      </c>
      <c r="B3165" s="3">
        <v>2</v>
      </c>
      <c r="C3165" s="3">
        <v>105</v>
      </c>
      <c r="D3165" s="3">
        <v>1</v>
      </c>
      <c r="E3165" s="3" t="s">
        <v>10</v>
      </c>
      <c r="F3165" s="4">
        <v>65</v>
      </c>
      <c r="G3165" s="4"/>
      <c r="H3165" s="4">
        <f t="shared" si="313"/>
        <v>65</v>
      </c>
    </row>
    <row r="3166" ht="14.25" spans="1:8">
      <c r="A3166" s="3" t="str">
        <f>"12201210502"</f>
        <v>12201210502</v>
      </c>
      <c r="B3166" s="3">
        <v>2</v>
      </c>
      <c r="C3166" s="3">
        <v>105</v>
      </c>
      <c r="D3166" s="3">
        <v>2</v>
      </c>
      <c r="E3166" s="3" t="s">
        <v>10</v>
      </c>
      <c r="F3166" s="4">
        <v>67</v>
      </c>
      <c r="G3166" s="4"/>
      <c r="H3166" s="4">
        <f t="shared" si="313"/>
        <v>67</v>
      </c>
    </row>
    <row r="3167" ht="14.25" spans="1:8">
      <c r="A3167" s="3" t="str">
        <f>"12201210503"</f>
        <v>12201210503</v>
      </c>
      <c r="B3167" s="3">
        <v>2</v>
      </c>
      <c r="C3167" s="3">
        <v>105</v>
      </c>
      <c r="D3167" s="3">
        <v>3</v>
      </c>
      <c r="E3167" s="3" t="s">
        <v>10</v>
      </c>
      <c r="F3167" s="4">
        <v>66.5</v>
      </c>
      <c r="G3167" s="4"/>
      <c r="H3167" s="4">
        <f t="shared" si="313"/>
        <v>66.5</v>
      </c>
    </row>
    <row r="3168" ht="14.25" spans="1:8">
      <c r="A3168" s="3" t="str">
        <f>"12201210504"</f>
        <v>12201210504</v>
      </c>
      <c r="B3168" s="3">
        <v>2</v>
      </c>
      <c r="C3168" s="3">
        <v>105</v>
      </c>
      <c r="D3168" s="3">
        <v>4</v>
      </c>
      <c r="E3168" s="3" t="s">
        <v>10</v>
      </c>
      <c r="F3168" s="4">
        <v>69</v>
      </c>
      <c r="G3168" s="4"/>
      <c r="H3168" s="4">
        <f t="shared" si="313"/>
        <v>69</v>
      </c>
    </row>
    <row r="3169" ht="14.25" spans="1:8">
      <c r="A3169" s="3" t="str">
        <f>"12201210505"</f>
        <v>12201210505</v>
      </c>
      <c r="B3169" s="3">
        <v>2</v>
      </c>
      <c r="C3169" s="3">
        <v>105</v>
      </c>
      <c r="D3169" s="3">
        <v>5</v>
      </c>
      <c r="E3169" s="3" t="s">
        <v>10</v>
      </c>
      <c r="F3169" s="4">
        <v>56.5</v>
      </c>
      <c r="G3169" s="4"/>
      <c r="H3169" s="4">
        <f t="shared" si="313"/>
        <v>56.5</v>
      </c>
    </row>
    <row r="3170" ht="14.25" spans="1:8">
      <c r="A3170" s="3" t="str">
        <f>"12201210506"</f>
        <v>12201210506</v>
      </c>
      <c r="B3170" s="3">
        <v>2</v>
      </c>
      <c r="C3170" s="3">
        <v>105</v>
      </c>
      <c r="D3170" s="3">
        <v>6</v>
      </c>
      <c r="E3170" s="3" t="s">
        <v>10</v>
      </c>
      <c r="F3170" s="4">
        <v>79</v>
      </c>
      <c r="G3170" s="4"/>
      <c r="H3170" s="4">
        <f t="shared" si="313"/>
        <v>79</v>
      </c>
    </row>
    <row r="3171" ht="14.25" spans="1:8">
      <c r="A3171" s="3" t="str">
        <f>"12201210507"</f>
        <v>12201210507</v>
      </c>
      <c r="B3171" s="3">
        <v>2</v>
      </c>
      <c r="C3171" s="3">
        <v>105</v>
      </c>
      <c r="D3171" s="3">
        <v>7</v>
      </c>
      <c r="E3171" s="3" t="s">
        <v>10</v>
      </c>
      <c r="F3171" s="4">
        <v>64</v>
      </c>
      <c r="G3171" s="4"/>
      <c r="H3171" s="4">
        <f t="shared" si="313"/>
        <v>64</v>
      </c>
    </row>
    <row r="3172" ht="14.25" spans="1:8">
      <c r="A3172" s="3" t="str">
        <f>"12201210508"</f>
        <v>12201210508</v>
      </c>
      <c r="B3172" s="3">
        <v>2</v>
      </c>
      <c r="C3172" s="3">
        <v>105</v>
      </c>
      <c r="D3172" s="3">
        <v>8</v>
      </c>
      <c r="E3172" s="3" t="s">
        <v>10</v>
      </c>
      <c r="F3172" s="3">
        <v>0</v>
      </c>
      <c r="G3172" s="4"/>
      <c r="H3172" s="3">
        <v>0</v>
      </c>
    </row>
    <row r="3173" ht="14.25" spans="1:8">
      <c r="A3173" s="3" t="str">
        <f>"12202210509"</f>
        <v>12202210509</v>
      </c>
      <c r="B3173" s="3">
        <v>2</v>
      </c>
      <c r="C3173" s="3">
        <v>105</v>
      </c>
      <c r="D3173" s="3">
        <v>9</v>
      </c>
      <c r="E3173" s="3" t="s">
        <v>10</v>
      </c>
      <c r="F3173" s="4">
        <v>74</v>
      </c>
      <c r="G3173" s="4"/>
      <c r="H3173" s="4">
        <f t="shared" ref="H3173:H3178" si="314">F3173+G3173</f>
        <v>74</v>
      </c>
    </row>
    <row r="3174" ht="14.25" spans="1:8">
      <c r="A3174" s="3" t="str">
        <f>"12202210510"</f>
        <v>12202210510</v>
      </c>
      <c r="B3174" s="3">
        <v>2</v>
      </c>
      <c r="C3174" s="3">
        <v>105</v>
      </c>
      <c r="D3174" s="3">
        <v>10</v>
      </c>
      <c r="E3174" s="3" t="s">
        <v>10</v>
      </c>
      <c r="F3174" s="4">
        <v>65</v>
      </c>
      <c r="G3174" s="4"/>
      <c r="H3174" s="4">
        <f t="shared" si="314"/>
        <v>65</v>
      </c>
    </row>
    <row r="3175" ht="14.25" spans="1:8">
      <c r="A3175" s="3" t="str">
        <f>"12202210511"</f>
        <v>12202210511</v>
      </c>
      <c r="B3175" s="3">
        <v>2</v>
      </c>
      <c r="C3175" s="3">
        <v>105</v>
      </c>
      <c r="D3175" s="3">
        <v>11</v>
      </c>
      <c r="E3175" s="3" t="s">
        <v>10</v>
      </c>
      <c r="F3175" s="4">
        <v>81</v>
      </c>
      <c r="G3175" s="4"/>
      <c r="H3175" s="4">
        <f t="shared" si="314"/>
        <v>81</v>
      </c>
    </row>
    <row r="3176" ht="14.25" spans="1:8">
      <c r="A3176" s="3" t="str">
        <f>"12202210512"</f>
        <v>12202210512</v>
      </c>
      <c r="B3176" s="3">
        <v>2</v>
      </c>
      <c r="C3176" s="3">
        <v>105</v>
      </c>
      <c r="D3176" s="3">
        <v>12</v>
      </c>
      <c r="E3176" s="3" t="s">
        <v>10</v>
      </c>
      <c r="F3176" s="4">
        <v>79.5</v>
      </c>
      <c r="G3176" s="4"/>
      <c r="H3176" s="4">
        <f t="shared" si="314"/>
        <v>79.5</v>
      </c>
    </row>
    <row r="3177" ht="14.25" spans="1:8">
      <c r="A3177" s="3" t="str">
        <f>"12202210513"</f>
        <v>12202210513</v>
      </c>
      <c r="B3177" s="3">
        <v>2</v>
      </c>
      <c r="C3177" s="3">
        <v>105</v>
      </c>
      <c r="D3177" s="3">
        <v>13</v>
      </c>
      <c r="E3177" s="3" t="s">
        <v>10</v>
      </c>
      <c r="F3177" s="4">
        <v>71.5</v>
      </c>
      <c r="G3177" s="4"/>
      <c r="H3177" s="4">
        <f t="shared" si="314"/>
        <v>71.5</v>
      </c>
    </row>
    <row r="3178" ht="14.25" spans="1:8">
      <c r="A3178" s="3" t="str">
        <f>"12202210514"</f>
        <v>12202210514</v>
      </c>
      <c r="B3178" s="3">
        <v>2</v>
      </c>
      <c r="C3178" s="3">
        <v>105</v>
      </c>
      <c r="D3178" s="3">
        <v>14</v>
      </c>
      <c r="E3178" s="3" t="s">
        <v>10</v>
      </c>
      <c r="F3178" s="4">
        <v>66.5</v>
      </c>
      <c r="G3178" s="4"/>
      <c r="H3178" s="4">
        <f t="shared" si="314"/>
        <v>66.5</v>
      </c>
    </row>
    <row r="3179" ht="14.25" spans="1:8">
      <c r="A3179" s="3" t="str">
        <f>"12202210515"</f>
        <v>12202210515</v>
      </c>
      <c r="B3179" s="3">
        <v>2</v>
      </c>
      <c r="C3179" s="3">
        <v>105</v>
      </c>
      <c r="D3179" s="3">
        <v>15</v>
      </c>
      <c r="E3179" s="3" t="s">
        <v>10</v>
      </c>
      <c r="F3179" s="3">
        <v>0</v>
      </c>
      <c r="G3179" s="4"/>
      <c r="H3179" s="3">
        <v>0</v>
      </c>
    </row>
    <row r="3180" ht="14.25" spans="1:8">
      <c r="A3180" s="3" t="str">
        <f>"12202210516"</f>
        <v>12202210516</v>
      </c>
      <c r="B3180" s="3">
        <v>2</v>
      </c>
      <c r="C3180" s="3">
        <v>105</v>
      </c>
      <c r="D3180" s="3">
        <v>16</v>
      </c>
      <c r="E3180" s="3" t="s">
        <v>10</v>
      </c>
      <c r="F3180" s="4">
        <v>89</v>
      </c>
      <c r="G3180" s="4"/>
      <c r="H3180" s="4">
        <f t="shared" ref="H3180:H3184" si="315">F3180+G3180</f>
        <v>89</v>
      </c>
    </row>
    <row r="3181" ht="14.25" spans="1:8">
      <c r="A3181" s="3" t="str">
        <f>"12202210517"</f>
        <v>12202210517</v>
      </c>
      <c r="B3181" s="3">
        <v>2</v>
      </c>
      <c r="C3181" s="3">
        <v>105</v>
      </c>
      <c r="D3181" s="3">
        <v>17</v>
      </c>
      <c r="E3181" s="3" t="s">
        <v>10</v>
      </c>
      <c r="F3181" s="4">
        <v>84</v>
      </c>
      <c r="G3181" s="4"/>
      <c r="H3181" s="4">
        <f t="shared" si="315"/>
        <v>84</v>
      </c>
    </row>
    <row r="3182" ht="14.25" spans="1:8">
      <c r="A3182" s="3" t="str">
        <f>"12202210518"</f>
        <v>12202210518</v>
      </c>
      <c r="B3182" s="3">
        <v>2</v>
      </c>
      <c r="C3182" s="3">
        <v>105</v>
      </c>
      <c r="D3182" s="3">
        <v>18</v>
      </c>
      <c r="E3182" s="3" t="s">
        <v>10</v>
      </c>
      <c r="F3182" s="3">
        <v>0</v>
      </c>
      <c r="G3182" s="4"/>
      <c r="H3182" s="3">
        <v>0</v>
      </c>
    </row>
    <row r="3183" ht="14.25" spans="1:8">
      <c r="A3183" s="3" t="str">
        <f>"12202210519"</f>
        <v>12202210519</v>
      </c>
      <c r="B3183" s="3">
        <v>2</v>
      </c>
      <c r="C3183" s="3">
        <v>105</v>
      </c>
      <c r="D3183" s="3">
        <v>19</v>
      </c>
      <c r="E3183" s="3" t="s">
        <v>10</v>
      </c>
      <c r="F3183" s="3">
        <v>0</v>
      </c>
      <c r="G3183" s="4"/>
      <c r="H3183" s="3">
        <v>0</v>
      </c>
    </row>
    <row r="3184" ht="14.25" spans="1:8">
      <c r="A3184" s="3" t="str">
        <f>"12202210520"</f>
        <v>12202210520</v>
      </c>
      <c r="B3184" s="3">
        <v>2</v>
      </c>
      <c r="C3184" s="3">
        <v>105</v>
      </c>
      <c r="D3184" s="3">
        <v>20</v>
      </c>
      <c r="E3184" s="3" t="s">
        <v>10</v>
      </c>
      <c r="F3184" s="4">
        <v>81.5</v>
      </c>
      <c r="G3184" s="4"/>
      <c r="H3184" s="4">
        <f t="shared" si="315"/>
        <v>81.5</v>
      </c>
    </row>
    <row r="3185" ht="14.25" spans="1:8">
      <c r="A3185" s="3" t="str">
        <f>"12202210521"</f>
        <v>12202210521</v>
      </c>
      <c r="B3185" s="3">
        <v>2</v>
      </c>
      <c r="C3185" s="3">
        <v>105</v>
      </c>
      <c r="D3185" s="3">
        <v>21</v>
      </c>
      <c r="E3185" s="3" t="s">
        <v>10</v>
      </c>
      <c r="F3185" s="3">
        <v>0</v>
      </c>
      <c r="G3185" s="4"/>
      <c r="H3185" s="3">
        <v>0</v>
      </c>
    </row>
    <row r="3186" ht="14.25" spans="1:8">
      <c r="A3186" s="3" t="str">
        <f>"12202210522"</f>
        <v>12202210522</v>
      </c>
      <c r="B3186" s="3">
        <v>2</v>
      </c>
      <c r="C3186" s="3">
        <v>105</v>
      </c>
      <c r="D3186" s="3">
        <v>22</v>
      </c>
      <c r="E3186" s="3" t="s">
        <v>10</v>
      </c>
      <c r="F3186" s="4">
        <v>81</v>
      </c>
      <c r="G3186" s="4"/>
      <c r="H3186" s="4">
        <f t="shared" ref="H3186:H3191" si="316">F3186+G3186</f>
        <v>81</v>
      </c>
    </row>
    <row r="3187" ht="14.25" spans="1:8">
      <c r="A3187" s="3" t="str">
        <f>"12202210523"</f>
        <v>12202210523</v>
      </c>
      <c r="B3187" s="3">
        <v>2</v>
      </c>
      <c r="C3187" s="3">
        <v>105</v>
      </c>
      <c r="D3187" s="3">
        <v>23</v>
      </c>
      <c r="E3187" s="3" t="s">
        <v>10</v>
      </c>
      <c r="F3187" s="4">
        <v>57</v>
      </c>
      <c r="G3187" s="4"/>
      <c r="H3187" s="4">
        <f t="shared" si="316"/>
        <v>57</v>
      </c>
    </row>
    <row r="3188" ht="14.25" spans="1:8">
      <c r="A3188" s="3" t="str">
        <f>"12203210524"</f>
        <v>12203210524</v>
      </c>
      <c r="B3188" s="3">
        <v>2</v>
      </c>
      <c r="C3188" s="3">
        <v>105</v>
      </c>
      <c r="D3188" s="3">
        <v>24</v>
      </c>
      <c r="E3188" s="3" t="s">
        <v>10</v>
      </c>
      <c r="F3188" s="4">
        <v>81.5</v>
      </c>
      <c r="G3188" s="4"/>
      <c r="H3188" s="4">
        <f t="shared" si="316"/>
        <v>81.5</v>
      </c>
    </row>
    <row r="3189" ht="14.25" spans="1:8">
      <c r="A3189" s="3" t="str">
        <f>"12203210525"</f>
        <v>12203210525</v>
      </c>
      <c r="B3189" s="3">
        <v>2</v>
      </c>
      <c r="C3189" s="3">
        <v>105</v>
      </c>
      <c r="D3189" s="3">
        <v>25</v>
      </c>
      <c r="E3189" s="3" t="s">
        <v>10</v>
      </c>
      <c r="F3189" s="4">
        <v>78</v>
      </c>
      <c r="G3189" s="4"/>
      <c r="H3189" s="4">
        <f t="shared" si="316"/>
        <v>78</v>
      </c>
    </row>
    <row r="3190" ht="14.25" spans="1:8">
      <c r="A3190" s="3" t="str">
        <f>"12203210526"</f>
        <v>12203210526</v>
      </c>
      <c r="B3190" s="3">
        <v>2</v>
      </c>
      <c r="C3190" s="3">
        <v>105</v>
      </c>
      <c r="D3190" s="3">
        <v>26</v>
      </c>
      <c r="E3190" s="3" t="s">
        <v>10</v>
      </c>
      <c r="F3190" s="4">
        <v>88.5</v>
      </c>
      <c r="G3190" s="4"/>
      <c r="H3190" s="4">
        <f t="shared" si="316"/>
        <v>88.5</v>
      </c>
    </row>
    <row r="3191" ht="14.25" spans="1:8">
      <c r="A3191" s="3" t="str">
        <f>"12203210527"</f>
        <v>12203210527</v>
      </c>
      <c r="B3191" s="3">
        <v>2</v>
      </c>
      <c r="C3191" s="3">
        <v>105</v>
      </c>
      <c r="D3191" s="3">
        <v>27</v>
      </c>
      <c r="E3191" s="3" t="s">
        <v>10</v>
      </c>
      <c r="F3191" s="4">
        <v>84</v>
      </c>
      <c r="G3191" s="4"/>
      <c r="H3191" s="4">
        <f t="shared" si="316"/>
        <v>84</v>
      </c>
    </row>
    <row r="3192" ht="14.25" spans="1:8">
      <c r="A3192" s="3" t="str">
        <f>"12203210528"</f>
        <v>12203210528</v>
      </c>
      <c r="B3192" s="3">
        <v>2</v>
      </c>
      <c r="C3192" s="3">
        <v>105</v>
      </c>
      <c r="D3192" s="3">
        <v>28</v>
      </c>
      <c r="E3192" s="3" t="s">
        <v>10</v>
      </c>
      <c r="F3192" s="3">
        <v>0</v>
      </c>
      <c r="G3192" s="4"/>
      <c r="H3192" s="3">
        <v>0</v>
      </c>
    </row>
    <row r="3193" ht="14.25" spans="1:8">
      <c r="A3193" s="3" t="str">
        <f>"12203210529"</f>
        <v>12203210529</v>
      </c>
      <c r="B3193" s="3">
        <v>2</v>
      </c>
      <c r="C3193" s="3">
        <v>105</v>
      </c>
      <c r="D3193" s="3">
        <v>29</v>
      </c>
      <c r="E3193" s="3" t="s">
        <v>10</v>
      </c>
      <c r="F3193" s="4">
        <v>80.5</v>
      </c>
      <c r="G3193" s="4"/>
      <c r="H3193" s="4">
        <f t="shared" ref="H3193:H3199" si="317">F3193+G3193</f>
        <v>80.5</v>
      </c>
    </row>
    <row r="3194" ht="14.25" spans="1:8">
      <c r="A3194" s="3" t="str">
        <f>"12203210530"</f>
        <v>12203210530</v>
      </c>
      <c r="B3194" s="3">
        <v>2</v>
      </c>
      <c r="C3194" s="3">
        <v>105</v>
      </c>
      <c r="D3194" s="3">
        <v>30</v>
      </c>
      <c r="E3194" s="3" t="s">
        <v>10</v>
      </c>
      <c r="F3194" s="4">
        <v>52</v>
      </c>
      <c r="G3194" s="4"/>
      <c r="H3194" s="4">
        <f t="shared" si="317"/>
        <v>52</v>
      </c>
    </row>
    <row r="3195" ht="14.25" spans="1:8">
      <c r="A3195" s="3" t="str">
        <f>"12203210601"</f>
        <v>12203210601</v>
      </c>
      <c r="B3195" s="3">
        <v>2</v>
      </c>
      <c r="C3195" s="3">
        <v>106</v>
      </c>
      <c r="D3195" s="3">
        <v>1</v>
      </c>
      <c r="E3195" s="3" t="s">
        <v>10</v>
      </c>
      <c r="F3195" s="4">
        <v>83</v>
      </c>
      <c r="G3195" s="4"/>
      <c r="H3195" s="4">
        <f t="shared" si="317"/>
        <v>83</v>
      </c>
    </row>
    <row r="3196" ht="14.25" spans="1:8">
      <c r="A3196" s="3" t="str">
        <f>"12203210602"</f>
        <v>12203210602</v>
      </c>
      <c r="B3196" s="3">
        <v>2</v>
      </c>
      <c r="C3196" s="3">
        <v>106</v>
      </c>
      <c r="D3196" s="3">
        <v>2</v>
      </c>
      <c r="E3196" s="3" t="s">
        <v>10</v>
      </c>
      <c r="F3196" s="4">
        <v>78.5</v>
      </c>
      <c r="G3196" s="4"/>
      <c r="H3196" s="4">
        <f t="shared" si="317"/>
        <v>78.5</v>
      </c>
    </row>
    <row r="3197" ht="14.25" spans="1:8">
      <c r="A3197" s="3" t="str">
        <f>"12203210603"</f>
        <v>12203210603</v>
      </c>
      <c r="B3197" s="3">
        <v>2</v>
      </c>
      <c r="C3197" s="3">
        <v>106</v>
      </c>
      <c r="D3197" s="3">
        <v>3</v>
      </c>
      <c r="E3197" s="3" t="s">
        <v>10</v>
      </c>
      <c r="F3197" s="4">
        <v>67.5</v>
      </c>
      <c r="G3197" s="4"/>
      <c r="H3197" s="4">
        <f t="shared" si="317"/>
        <v>67.5</v>
      </c>
    </row>
    <row r="3198" ht="14.25" spans="1:8">
      <c r="A3198" s="3" t="str">
        <f>"12203210604"</f>
        <v>12203210604</v>
      </c>
      <c r="B3198" s="3">
        <v>2</v>
      </c>
      <c r="C3198" s="3">
        <v>106</v>
      </c>
      <c r="D3198" s="3">
        <v>4</v>
      </c>
      <c r="E3198" s="3" t="s">
        <v>10</v>
      </c>
      <c r="F3198" s="4">
        <v>78</v>
      </c>
      <c r="G3198" s="4"/>
      <c r="H3198" s="4">
        <f t="shared" si="317"/>
        <v>78</v>
      </c>
    </row>
    <row r="3199" ht="14.25" spans="1:8">
      <c r="A3199" s="3" t="str">
        <f>"12203210605"</f>
        <v>12203210605</v>
      </c>
      <c r="B3199" s="3">
        <v>2</v>
      </c>
      <c r="C3199" s="3">
        <v>106</v>
      </c>
      <c r="D3199" s="3">
        <v>5</v>
      </c>
      <c r="E3199" s="3" t="s">
        <v>10</v>
      </c>
      <c r="F3199" s="4">
        <v>64</v>
      </c>
      <c r="G3199" s="4"/>
      <c r="H3199" s="4">
        <f t="shared" si="317"/>
        <v>64</v>
      </c>
    </row>
    <row r="3200" ht="14.25" spans="1:8">
      <c r="A3200" s="3" t="str">
        <f>"12203210606"</f>
        <v>12203210606</v>
      </c>
      <c r="B3200" s="3">
        <v>2</v>
      </c>
      <c r="C3200" s="3">
        <v>106</v>
      </c>
      <c r="D3200" s="3">
        <v>6</v>
      </c>
      <c r="E3200" s="3" t="s">
        <v>10</v>
      </c>
      <c r="F3200" s="3">
        <v>0</v>
      </c>
      <c r="G3200" s="4"/>
      <c r="H3200" s="3">
        <v>0</v>
      </c>
    </row>
    <row r="3201" ht="14.25" spans="1:8">
      <c r="A3201" s="3" t="str">
        <f>"12203210607"</f>
        <v>12203210607</v>
      </c>
      <c r="B3201" s="3">
        <v>2</v>
      </c>
      <c r="C3201" s="3">
        <v>106</v>
      </c>
      <c r="D3201" s="3">
        <v>7</v>
      </c>
      <c r="E3201" s="3" t="s">
        <v>10</v>
      </c>
      <c r="F3201" s="3">
        <v>0</v>
      </c>
      <c r="G3201" s="4"/>
      <c r="H3201" s="3">
        <v>0</v>
      </c>
    </row>
    <row r="3202" ht="14.25" spans="1:8">
      <c r="A3202" s="3" t="str">
        <f>"12203210608"</f>
        <v>12203210608</v>
      </c>
      <c r="B3202" s="3">
        <v>2</v>
      </c>
      <c r="C3202" s="3">
        <v>106</v>
      </c>
      <c r="D3202" s="3">
        <v>8</v>
      </c>
      <c r="E3202" s="3" t="s">
        <v>10</v>
      </c>
      <c r="F3202" s="3">
        <v>0</v>
      </c>
      <c r="G3202" s="4"/>
      <c r="H3202" s="3">
        <v>0</v>
      </c>
    </row>
    <row r="3203" ht="14.25" spans="1:8">
      <c r="A3203" s="3" t="str">
        <f>"12203210609"</f>
        <v>12203210609</v>
      </c>
      <c r="B3203" s="3">
        <v>2</v>
      </c>
      <c r="C3203" s="3">
        <v>106</v>
      </c>
      <c r="D3203" s="3">
        <v>9</v>
      </c>
      <c r="E3203" s="3" t="s">
        <v>10</v>
      </c>
      <c r="F3203" s="4">
        <v>79.5</v>
      </c>
      <c r="G3203" s="4"/>
      <c r="H3203" s="4">
        <f t="shared" ref="H3203:H3221" si="318">F3203+G3203</f>
        <v>79.5</v>
      </c>
    </row>
    <row r="3204" ht="14.25" spans="1:8">
      <c r="A3204" s="3" t="str">
        <f>"12203210610"</f>
        <v>12203210610</v>
      </c>
      <c r="B3204" s="3">
        <v>2</v>
      </c>
      <c r="C3204" s="3">
        <v>106</v>
      </c>
      <c r="D3204" s="3">
        <v>10</v>
      </c>
      <c r="E3204" s="3" t="s">
        <v>10</v>
      </c>
      <c r="F3204" s="4">
        <v>68.5</v>
      </c>
      <c r="G3204" s="4"/>
      <c r="H3204" s="4">
        <f t="shared" si="318"/>
        <v>68.5</v>
      </c>
    </row>
    <row r="3205" ht="14.25" spans="1:8">
      <c r="A3205" s="3" t="str">
        <f>"12205210611"</f>
        <v>12205210611</v>
      </c>
      <c r="B3205" s="3">
        <v>2</v>
      </c>
      <c r="C3205" s="3">
        <v>106</v>
      </c>
      <c r="D3205" s="3">
        <v>11</v>
      </c>
      <c r="E3205" s="3" t="s">
        <v>10</v>
      </c>
      <c r="F3205" s="4">
        <v>78</v>
      </c>
      <c r="G3205" s="4"/>
      <c r="H3205" s="4">
        <f t="shared" si="318"/>
        <v>78</v>
      </c>
    </row>
    <row r="3206" ht="14.25" spans="1:8">
      <c r="A3206" s="3" t="str">
        <f>"12205210612"</f>
        <v>12205210612</v>
      </c>
      <c r="B3206" s="3">
        <v>2</v>
      </c>
      <c r="C3206" s="3">
        <v>106</v>
      </c>
      <c r="D3206" s="3">
        <v>12</v>
      </c>
      <c r="E3206" s="3" t="s">
        <v>10</v>
      </c>
      <c r="F3206" s="4">
        <v>68.5</v>
      </c>
      <c r="G3206" s="4"/>
      <c r="H3206" s="4">
        <f t="shared" si="318"/>
        <v>68.5</v>
      </c>
    </row>
    <row r="3207" ht="14.25" spans="1:8">
      <c r="A3207" s="3" t="str">
        <f>"12205210613"</f>
        <v>12205210613</v>
      </c>
      <c r="B3207" s="3">
        <v>2</v>
      </c>
      <c r="C3207" s="3">
        <v>106</v>
      </c>
      <c r="D3207" s="3">
        <v>13</v>
      </c>
      <c r="E3207" s="3" t="s">
        <v>10</v>
      </c>
      <c r="F3207" s="4">
        <v>78</v>
      </c>
      <c r="G3207" s="4"/>
      <c r="H3207" s="4">
        <f t="shared" si="318"/>
        <v>78</v>
      </c>
    </row>
    <row r="3208" ht="14.25" spans="1:8">
      <c r="A3208" s="3" t="str">
        <f>"12205210614"</f>
        <v>12205210614</v>
      </c>
      <c r="B3208" s="3">
        <v>2</v>
      </c>
      <c r="C3208" s="3">
        <v>106</v>
      </c>
      <c r="D3208" s="3">
        <v>14</v>
      </c>
      <c r="E3208" s="3" t="s">
        <v>10</v>
      </c>
      <c r="F3208" s="4">
        <v>64</v>
      </c>
      <c r="G3208" s="4"/>
      <c r="H3208" s="4">
        <f t="shared" si="318"/>
        <v>64</v>
      </c>
    </row>
    <row r="3209" ht="14.25" spans="1:8">
      <c r="A3209" s="3" t="str">
        <f>"12205210615"</f>
        <v>12205210615</v>
      </c>
      <c r="B3209" s="3">
        <v>2</v>
      </c>
      <c r="C3209" s="3">
        <v>106</v>
      </c>
      <c r="D3209" s="3">
        <v>15</v>
      </c>
      <c r="E3209" s="3" t="s">
        <v>10</v>
      </c>
      <c r="F3209" s="4">
        <v>75</v>
      </c>
      <c r="G3209" s="4"/>
      <c r="H3209" s="4">
        <f t="shared" si="318"/>
        <v>75</v>
      </c>
    </row>
    <row r="3210" ht="14.25" spans="1:8">
      <c r="A3210" s="3" t="str">
        <f>"12205210616"</f>
        <v>12205210616</v>
      </c>
      <c r="B3210" s="3">
        <v>2</v>
      </c>
      <c r="C3210" s="3">
        <v>106</v>
      </c>
      <c r="D3210" s="3">
        <v>16</v>
      </c>
      <c r="E3210" s="3" t="s">
        <v>10</v>
      </c>
      <c r="F3210" s="4">
        <v>67</v>
      </c>
      <c r="G3210" s="4"/>
      <c r="H3210" s="4">
        <f t="shared" si="318"/>
        <v>67</v>
      </c>
    </row>
    <row r="3211" ht="14.25" spans="1:8">
      <c r="A3211" s="3" t="str">
        <f>"12301210617"</f>
        <v>12301210617</v>
      </c>
      <c r="B3211" s="3">
        <v>2</v>
      </c>
      <c r="C3211" s="3">
        <v>106</v>
      </c>
      <c r="D3211" s="3">
        <v>17</v>
      </c>
      <c r="E3211" s="3" t="s">
        <v>10</v>
      </c>
      <c r="F3211" s="4">
        <v>71</v>
      </c>
      <c r="G3211" s="4"/>
      <c r="H3211" s="4">
        <f t="shared" si="318"/>
        <v>71</v>
      </c>
    </row>
    <row r="3212" ht="14.25" spans="1:8">
      <c r="A3212" s="3" t="str">
        <f>"12301210618"</f>
        <v>12301210618</v>
      </c>
      <c r="B3212" s="3">
        <v>2</v>
      </c>
      <c r="C3212" s="3">
        <v>106</v>
      </c>
      <c r="D3212" s="3">
        <v>18</v>
      </c>
      <c r="E3212" s="3" t="s">
        <v>10</v>
      </c>
      <c r="F3212" s="4">
        <v>83</v>
      </c>
      <c r="G3212" s="4"/>
      <c r="H3212" s="4">
        <f t="shared" si="318"/>
        <v>83</v>
      </c>
    </row>
    <row r="3213" ht="14.25" spans="1:8">
      <c r="A3213" s="3" t="str">
        <f>"12301210619"</f>
        <v>12301210619</v>
      </c>
      <c r="B3213" s="3">
        <v>2</v>
      </c>
      <c r="C3213" s="3">
        <v>106</v>
      </c>
      <c r="D3213" s="3">
        <v>19</v>
      </c>
      <c r="E3213" s="3" t="s">
        <v>10</v>
      </c>
      <c r="F3213" s="4">
        <v>73.5</v>
      </c>
      <c r="G3213" s="4"/>
      <c r="H3213" s="4">
        <f t="shared" si="318"/>
        <v>73.5</v>
      </c>
    </row>
    <row r="3214" ht="14.25" spans="1:8">
      <c r="A3214" s="3" t="str">
        <f>"12301210620"</f>
        <v>12301210620</v>
      </c>
      <c r="B3214" s="3">
        <v>2</v>
      </c>
      <c r="C3214" s="3">
        <v>106</v>
      </c>
      <c r="D3214" s="3">
        <v>20</v>
      </c>
      <c r="E3214" s="3" t="s">
        <v>10</v>
      </c>
      <c r="F3214" s="4">
        <v>70.5</v>
      </c>
      <c r="G3214" s="4"/>
      <c r="H3214" s="4">
        <f t="shared" si="318"/>
        <v>70.5</v>
      </c>
    </row>
    <row r="3215" ht="14.25" spans="1:8">
      <c r="A3215" s="3" t="str">
        <f>"12301210621"</f>
        <v>12301210621</v>
      </c>
      <c r="B3215" s="3">
        <v>2</v>
      </c>
      <c r="C3215" s="3">
        <v>106</v>
      </c>
      <c r="D3215" s="3">
        <v>21</v>
      </c>
      <c r="E3215" s="3" t="s">
        <v>10</v>
      </c>
      <c r="F3215" s="4">
        <v>80.5</v>
      </c>
      <c r="G3215" s="4"/>
      <c r="H3215" s="4">
        <f t="shared" si="318"/>
        <v>80.5</v>
      </c>
    </row>
    <row r="3216" ht="14.25" spans="1:8">
      <c r="A3216" s="3" t="str">
        <f>"12301210622"</f>
        <v>12301210622</v>
      </c>
      <c r="B3216" s="3">
        <v>2</v>
      </c>
      <c r="C3216" s="3">
        <v>106</v>
      </c>
      <c r="D3216" s="3">
        <v>22</v>
      </c>
      <c r="E3216" s="3" t="s">
        <v>10</v>
      </c>
      <c r="F3216" s="4">
        <v>73</v>
      </c>
      <c r="G3216" s="4"/>
      <c r="H3216" s="4">
        <f t="shared" si="318"/>
        <v>73</v>
      </c>
    </row>
    <row r="3217" ht="14.25" spans="1:8">
      <c r="A3217" s="3" t="str">
        <f>"12301210623"</f>
        <v>12301210623</v>
      </c>
      <c r="B3217" s="3">
        <v>2</v>
      </c>
      <c r="C3217" s="3">
        <v>106</v>
      </c>
      <c r="D3217" s="3">
        <v>23</v>
      </c>
      <c r="E3217" s="3" t="s">
        <v>10</v>
      </c>
      <c r="F3217" s="4">
        <v>71.5</v>
      </c>
      <c r="G3217" s="4"/>
      <c r="H3217" s="4">
        <f t="shared" si="318"/>
        <v>71.5</v>
      </c>
    </row>
    <row r="3218" ht="14.25" spans="1:8">
      <c r="A3218" s="3" t="str">
        <f>"12301210624"</f>
        <v>12301210624</v>
      </c>
      <c r="B3218" s="3">
        <v>2</v>
      </c>
      <c r="C3218" s="3">
        <v>106</v>
      </c>
      <c r="D3218" s="3">
        <v>24</v>
      </c>
      <c r="E3218" s="3" t="s">
        <v>10</v>
      </c>
      <c r="F3218" s="4">
        <v>80</v>
      </c>
      <c r="G3218" s="4"/>
      <c r="H3218" s="4">
        <f t="shared" si="318"/>
        <v>80</v>
      </c>
    </row>
    <row r="3219" ht="14.25" spans="1:8">
      <c r="A3219" s="3" t="str">
        <f>"12301210625"</f>
        <v>12301210625</v>
      </c>
      <c r="B3219" s="3">
        <v>2</v>
      </c>
      <c r="C3219" s="3">
        <v>106</v>
      </c>
      <c r="D3219" s="3">
        <v>25</v>
      </c>
      <c r="E3219" s="3" t="s">
        <v>10</v>
      </c>
      <c r="F3219" s="4">
        <v>68.5</v>
      </c>
      <c r="G3219" s="4"/>
      <c r="H3219" s="4">
        <f t="shared" si="318"/>
        <v>68.5</v>
      </c>
    </row>
    <row r="3220" ht="14.25" spans="1:8">
      <c r="A3220" s="3" t="str">
        <f>"12301210626"</f>
        <v>12301210626</v>
      </c>
      <c r="B3220" s="3">
        <v>2</v>
      </c>
      <c r="C3220" s="3">
        <v>106</v>
      </c>
      <c r="D3220" s="3">
        <v>26</v>
      </c>
      <c r="E3220" s="3" t="s">
        <v>10</v>
      </c>
      <c r="F3220" s="4">
        <v>73</v>
      </c>
      <c r="G3220" s="4"/>
      <c r="H3220" s="4">
        <f t="shared" si="318"/>
        <v>73</v>
      </c>
    </row>
    <row r="3221" ht="14.25" spans="1:8">
      <c r="A3221" s="3" t="str">
        <f>"12301210627"</f>
        <v>12301210627</v>
      </c>
      <c r="B3221" s="3">
        <v>2</v>
      </c>
      <c r="C3221" s="3">
        <v>106</v>
      </c>
      <c r="D3221" s="3">
        <v>27</v>
      </c>
      <c r="E3221" s="3" t="s">
        <v>10</v>
      </c>
      <c r="F3221" s="4">
        <v>74</v>
      </c>
      <c r="G3221" s="4"/>
      <c r="H3221" s="4">
        <f t="shared" si="318"/>
        <v>74</v>
      </c>
    </row>
    <row r="3222" ht="14.25" spans="1:8">
      <c r="A3222" s="3" t="str">
        <f>"12301210628"</f>
        <v>12301210628</v>
      </c>
      <c r="B3222" s="3">
        <v>2</v>
      </c>
      <c r="C3222" s="3">
        <v>106</v>
      </c>
      <c r="D3222" s="3">
        <v>28</v>
      </c>
      <c r="E3222" s="3" t="s">
        <v>10</v>
      </c>
      <c r="F3222" s="3">
        <v>0</v>
      </c>
      <c r="G3222" s="4"/>
      <c r="H3222" s="3">
        <v>0</v>
      </c>
    </row>
    <row r="3223" ht="14.25" spans="1:8">
      <c r="A3223" s="3" t="str">
        <f>"12301210629"</f>
        <v>12301210629</v>
      </c>
      <c r="B3223" s="3">
        <v>2</v>
      </c>
      <c r="C3223" s="3">
        <v>106</v>
      </c>
      <c r="D3223" s="3">
        <v>29</v>
      </c>
      <c r="E3223" s="3" t="s">
        <v>10</v>
      </c>
      <c r="F3223" s="4">
        <v>54</v>
      </c>
      <c r="G3223" s="4"/>
      <c r="H3223" s="4">
        <f t="shared" ref="H3223:H3227" si="319">F3223+G3223</f>
        <v>54</v>
      </c>
    </row>
    <row r="3224" ht="14.25" spans="1:8">
      <c r="A3224" s="3" t="str">
        <f>"12301210630"</f>
        <v>12301210630</v>
      </c>
      <c r="B3224" s="3">
        <v>2</v>
      </c>
      <c r="C3224" s="3">
        <v>106</v>
      </c>
      <c r="D3224" s="3">
        <v>30</v>
      </c>
      <c r="E3224" s="3" t="s">
        <v>10</v>
      </c>
      <c r="F3224" s="3">
        <v>0</v>
      </c>
      <c r="G3224" s="4"/>
      <c r="H3224" s="3">
        <v>0</v>
      </c>
    </row>
    <row r="3225" ht="14.25" spans="1:8">
      <c r="A3225" s="3" t="str">
        <f>"12301210701"</f>
        <v>12301210701</v>
      </c>
      <c r="B3225" s="3">
        <v>2</v>
      </c>
      <c r="C3225" s="3">
        <v>107</v>
      </c>
      <c r="D3225" s="3">
        <v>1</v>
      </c>
      <c r="E3225" s="3" t="s">
        <v>10</v>
      </c>
      <c r="F3225" s="3">
        <v>0</v>
      </c>
      <c r="G3225" s="4"/>
      <c r="H3225" s="3">
        <v>0</v>
      </c>
    </row>
    <row r="3226" ht="14.25" spans="1:8">
      <c r="A3226" s="3" t="str">
        <f>"12301210702"</f>
        <v>12301210702</v>
      </c>
      <c r="B3226" s="3">
        <v>2</v>
      </c>
      <c r="C3226" s="3">
        <v>107</v>
      </c>
      <c r="D3226" s="3">
        <v>2</v>
      </c>
      <c r="E3226" s="3" t="s">
        <v>10</v>
      </c>
      <c r="F3226" s="4">
        <v>80.5</v>
      </c>
      <c r="G3226" s="4"/>
      <c r="H3226" s="4">
        <f t="shared" si="319"/>
        <v>80.5</v>
      </c>
    </row>
    <row r="3227" ht="14.25" spans="1:8">
      <c r="A3227" s="3" t="str">
        <f>"12301210703"</f>
        <v>12301210703</v>
      </c>
      <c r="B3227" s="3">
        <v>2</v>
      </c>
      <c r="C3227" s="3">
        <v>107</v>
      </c>
      <c r="D3227" s="3">
        <v>3</v>
      </c>
      <c r="E3227" s="3" t="s">
        <v>10</v>
      </c>
      <c r="F3227" s="4">
        <v>72</v>
      </c>
      <c r="G3227" s="4"/>
      <c r="H3227" s="4">
        <f t="shared" si="319"/>
        <v>72</v>
      </c>
    </row>
    <row r="3228" ht="14.25" spans="1:8">
      <c r="A3228" s="3" t="str">
        <f>"12301210704"</f>
        <v>12301210704</v>
      </c>
      <c r="B3228" s="3">
        <v>2</v>
      </c>
      <c r="C3228" s="3">
        <v>107</v>
      </c>
      <c r="D3228" s="3">
        <v>4</v>
      </c>
      <c r="E3228" s="3" t="s">
        <v>10</v>
      </c>
      <c r="F3228" s="3">
        <v>0</v>
      </c>
      <c r="G3228" s="4"/>
      <c r="H3228" s="3">
        <v>0</v>
      </c>
    </row>
    <row r="3229" ht="14.25" spans="1:8">
      <c r="A3229" s="3" t="str">
        <f>"12301210705"</f>
        <v>12301210705</v>
      </c>
      <c r="B3229" s="3">
        <v>2</v>
      </c>
      <c r="C3229" s="3">
        <v>107</v>
      </c>
      <c r="D3229" s="3">
        <v>5</v>
      </c>
      <c r="E3229" s="3" t="s">
        <v>10</v>
      </c>
      <c r="F3229" s="4">
        <v>70.5</v>
      </c>
      <c r="G3229" s="4"/>
      <c r="H3229" s="4">
        <f t="shared" ref="H3229:H3232" si="320">F3229+G3229</f>
        <v>70.5</v>
      </c>
    </row>
    <row r="3230" ht="14.25" spans="1:8">
      <c r="A3230" s="3" t="str">
        <f>"12301210706"</f>
        <v>12301210706</v>
      </c>
      <c r="B3230" s="3">
        <v>2</v>
      </c>
      <c r="C3230" s="3">
        <v>107</v>
      </c>
      <c r="D3230" s="3">
        <v>6</v>
      </c>
      <c r="E3230" s="3" t="s">
        <v>10</v>
      </c>
      <c r="F3230" s="4">
        <v>52.5</v>
      </c>
      <c r="G3230" s="4"/>
      <c r="H3230" s="4">
        <f t="shared" si="320"/>
        <v>52.5</v>
      </c>
    </row>
    <row r="3231" ht="14.25" spans="1:8">
      <c r="A3231" s="3" t="str">
        <f>"12301210707"</f>
        <v>12301210707</v>
      </c>
      <c r="B3231" s="3">
        <v>2</v>
      </c>
      <c r="C3231" s="3">
        <v>107</v>
      </c>
      <c r="D3231" s="3">
        <v>7</v>
      </c>
      <c r="E3231" s="3" t="s">
        <v>10</v>
      </c>
      <c r="F3231" s="4">
        <v>58.5</v>
      </c>
      <c r="G3231" s="4"/>
      <c r="H3231" s="4">
        <f t="shared" si="320"/>
        <v>58.5</v>
      </c>
    </row>
    <row r="3232" ht="14.25" spans="1:8">
      <c r="A3232" s="3" t="str">
        <f>"12301210708"</f>
        <v>12301210708</v>
      </c>
      <c r="B3232" s="3">
        <v>2</v>
      </c>
      <c r="C3232" s="3">
        <v>107</v>
      </c>
      <c r="D3232" s="3">
        <v>8</v>
      </c>
      <c r="E3232" s="3" t="s">
        <v>10</v>
      </c>
      <c r="F3232" s="4">
        <v>76</v>
      </c>
      <c r="G3232" s="4"/>
      <c r="H3232" s="4">
        <f t="shared" si="320"/>
        <v>76</v>
      </c>
    </row>
    <row r="3233" ht="14.25" spans="1:8">
      <c r="A3233" s="3" t="str">
        <f>"12301210709"</f>
        <v>12301210709</v>
      </c>
      <c r="B3233" s="3">
        <v>2</v>
      </c>
      <c r="C3233" s="3">
        <v>107</v>
      </c>
      <c r="D3233" s="3">
        <v>9</v>
      </c>
      <c r="E3233" s="3" t="s">
        <v>10</v>
      </c>
      <c r="F3233" s="3">
        <v>0</v>
      </c>
      <c r="G3233" s="4"/>
      <c r="H3233" s="3">
        <v>0</v>
      </c>
    </row>
    <row r="3234" ht="14.25" spans="1:8">
      <c r="A3234" s="3" t="str">
        <f>"12301210710"</f>
        <v>12301210710</v>
      </c>
      <c r="B3234" s="3">
        <v>2</v>
      </c>
      <c r="C3234" s="3">
        <v>107</v>
      </c>
      <c r="D3234" s="3">
        <v>10</v>
      </c>
      <c r="E3234" s="3" t="s">
        <v>10</v>
      </c>
      <c r="F3234" s="4">
        <v>83.5</v>
      </c>
      <c r="G3234" s="4"/>
      <c r="H3234" s="4">
        <f t="shared" ref="H3234:H3243" si="321">F3234+G3234</f>
        <v>83.5</v>
      </c>
    </row>
    <row r="3235" ht="14.25" spans="1:8">
      <c r="A3235" s="3" t="str">
        <f>"12301210711"</f>
        <v>12301210711</v>
      </c>
      <c r="B3235" s="3">
        <v>2</v>
      </c>
      <c r="C3235" s="3">
        <v>107</v>
      </c>
      <c r="D3235" s="3">
        <v>11</v>
      </c>
      <c r="E3235" s="3" t="s">
        <v>10</v>
      </c>
      <c r="F3235" s="4">
        <v>72</v>
      </c>
      <c r="G3235" s="4"/>
      <c r="H3235" s="4">
        <f t="shared" si="321"/>
        <v>72</v>
      </c>
    </row>
    <row r="3236" ht="14.25" spans="1:8">
      <c r="A3236" s="3" t="str">
        <f>"12301210712"</f>
        <v>12301210712</v>
      </c>
      <c r="B3236" s="3">
        <v>2</v>
      </c>
      <c r="C3236" s="3">
        <v>107</v>
      </c>
      <c r="D3236" s="3">
        <v>12</v>
      </c>
      <c r="E3236" s="3" t="s">
        <v>10</v>
      </c>
      <c r="F3236" s="4">
        <v>72</v>
      </c>
      <c r="G3236" s="4"/>
      <c r="H3236" s="4">
        <f t="shared" si="321"/>
        <v>72</v>
      </c>
    </row>
    <row r="3237" ht="14.25" spans="1:8">
      <c r="A3237" s="3" t="str">
        <f>"12301210713"</f>
        <v>12301210713</v>
      </c>
      <c r="B3237" s="3">
        <v>2</v>
      </c>
      <c r="C3237" s="3">
        <v>107</v>
      </c>
      <c r="D3237" s="3">
        <v>13</v>
      </c>
      <c r="E3237" s="3" t="s">
        <v>10</v>
      </c>
      <c r="F3237" s="4">
        <v>78.5</v>
      </c>
      <c r="G3237" s="4"/>
      <c r="H3237" s="4">
        <f t="shared" si="321"/>
        <v>78.5</v>
      </c>
    </row>
    <row r="3238" ht="14.25" spans="1:8">
      <c r="A3238" s="3" t="str">
        <f>"12301210714"</f>
        <v>12301210714</v>
      </c>
      <c r="B3238" s="3">
        <v>2</v>
      </c>
      <c r="C3238" s="3">
        <v>107</v>
      </c>
      <c r="D3238" s="3">
        <v>14</v>
      </c>
      <c r="E3238" s="3" t="s">
        <v>10</v>
      </c>
      <c r="F3238" s="4">
        <v>58</v>
      </c>
      <c r="G3238" s="4"/>
      <c r="H3238" s="4">
        <f t="shared" si="321"/>
        <v>58</v>
      </c>
    </row>
    <row r="3239" ht="14.25" spans="1:8">
      <c r="A3239" s="3" t="str">
        <f>"12301210715"</f>
        <v>12301210715</v>
      </c>
      <c r="B3239" s="3">
        <v>2</v>
      </c>
      <c r="C3239" s="3">
        <v>107</v>
      </c>
      <c r="D3239" s="3">
        <v>15</v>
      </c>
      <c r="E3239" s="3" t="s">
        <v>10</v>
      </c>
      <c r="F3239" s="4">
        <v>81</v>
      </c>
      <c r="G3239" s="4"/>
      <c r="H3239" s="4">
        <f t="shared" si="321"/>
        <v>81</v>
      </c>
    </row>
    <row r="3240" ht="14.25" spans="1:8">
      <c r="A3240" s="3" t="str">
        <f>"12301210716"</f>
        <v>12301210716</v>
      </c>
      <c r="B3240" s="3">
        <v>2</v>
      </c>
      <c r="C3240" s="3">
        <v>107</v>
      </c>
      <c r="D3240" s="3">
        <v>16</v>
      </c>
      <c r="E3240" s="3" t="s">
        <v>10</v>
      </c>
      <c r="F3240" s="4">
        <v>77.5</v>
      </c>
      <c r="G3240" s="4"/>
      <c r="H3240" s="4">
        <f t="shared" si="321"/>
        <v>77.5</v>
      </c>
    </row>
    <row r="3241" ht="14.25" spans="1:8">
      <c r="A3241" s="3" t="str">
        <f>"12301210717"</f>
        <v>12301210717</v>
      </c>
      <c r="B3241" s="3">
        <v>2</v>
      </c>
      <c r="C3241" s="3">
        <v>107</v>
      </c>
      <c r="D3241" s="3">
        <v>17</v>
      </c>
      <c r="E3241" s="3" t="s">
        <v>10</v>
      </c>
      <c r="F3241" s="4">
        <v>66.5</v>
      </c>
      <c r="G3241" s="4"/>
      <c r="H3241" s="4">
        <f t="shared" si="321"/>
        <v>66.5</v>
      </c>
    </row>
    <row r="3242" ht="14.25" spans="1:8">
      <c r="A3242" s="3" t="str">
        <f>"12301210718"</f>
        <v>12301210718</v>
      </c>
      <c r="B3242" s="3">
        <v>2</v>
      </c>
      <c r="C3242" s="3">
        <v>107</v>
      </c>
      <c r="D3242" s="3">
        <v>18</v>
      </c>
      <c r="E3242" s="3" t="s">
        <v>10</v>
      </c>
      <c r="F3242" s="4">
        <v>55</v>
      </c>
      <c r="G3242" s="4"/>
      <c r="H3242" s="4">
        <f t="shared" si="321"/>
        <v>55</v>
      </c>
    </row>
    <row r="3243" ht="14.25" spans="1:8">
      <c r="A3243" s="3" t="str">
        <f>"12301210719"</f>
        <v>12301210719</v>
      </c>
      <c r="B3243" s="3">
        <v>2</v>
      </c>
      <c r="C3243" s="3">
        <v>107</v>
      </c>
      <c r="D3243" s="3">
        <v>19</v>
      </c>
      <c r="E3243" s="3" t="s">
        <v>10</v>
      </c>
      <c r="F3243" s="4">
        <v>80</v>
      </c>
      <c r="G3243" s="4"/>
      <c r="H3243" s="4">
        <f t="shared" si="321"/>
        <v>80</v>
      </c>
    </row>
    <row r="3244" ht="14.25" spans="1:8">
      <c r="A3244" s="3" t="str">
        <f>"12301210720"</f>
        <v>12301210720</v>
      </c>
      <c r="B3244" s="3">
        <v>2</v>
      </c>
      <c r="C3244" s="3">
        <v>107</v>
      </c>
      <c r="D3244" s="3">
        <v>20</v>
      </c>
      <c r="E3244" s="3" t="s">
        <v>10</v>
      </c>
      <c r="F3244" s="3">
        <v>0</v>
      </c>
      <c r="G3244" s="4"/>
      <c r="H3244" s="3">
        <v>0</v>
      </c>
    </row>
    <row r="3245" ht="14.25" spans="1:8">
      <c r="A3245" s="3" t="str">
        <f>"12301210721"</f>
        <v>12301210721</v>
      </c>
      <c r="B3245" s="3">
        <v>2</v>
      </c>
      <c r="C3245" s="3">
        <v>107</v>
      </c>
      <c r="D3245" s="3">
        <v>21</v>
      </c>
      <c r="E3245" s="3" t="s">
        <v>10</v>
      </c>
      <c r="F3245" s="4">
        <v>61</v>
      </c>
      <c r="G3245" s="4"/>
      <c r="H3245" s="4">
        <f t="shared" ref="H3245:H3294" si="322">F3245+G3245</f>
        <v>61</v>
      </c>
    </row>
    <row r="3246" ht="14.25" spans="1:8">
      <c r="A3246" s="3" t="str">
        <f>"12301210722"</f>
        <v>12301210722</v>
      </c>
      <c r="B3246" s="3">
        <v>2</v>
      </c>
      <c r="C3246" s="3">
        <v>107</v>
      </c>
      <c r="D3246" s="3">
        <v>22</v>
      </c>
      <c r="E3246" s="3" t="s">
        <v>10</v>
      </c>
      <c r="F3246" s="3">
        <v>0</v>
      </c>
      <c r="G3246" s="4"/>
      <c r="H3246" s="3">
        <v>0</v>
      </c>
    </row>
    <row r="3247" ht="14.25" spans="1:8">
      <c r="A3247" s="3" t="str">
        <f>"12301210723"</f>
        <v>12301210723</v>
      </c>
      <c r="B3247" s="3">
        <v>2</v>
      </c>
      <c r="C3247" s="3">
        <v>107</v>
      </c>
      <c r="D3247" s="3">
        <v>23</v>
      </c>
      <c r="E3247" s="3" t="s">
        <v>10</v>
      </c>
      <c r="F3247" s="4">
        <v>71.5</v>
      </c>
      <c r="G3247" s="4"/>
      <c r="H3247" s="4">
        <f t="shared" si="322"/>
        <v>71.5</v>
      </c>
    </row>
    <row r="3248" ht="14.25" spans="1:8">
      <c r="A3248" s="3" t="str">
        <f>"12301210724"</f>
        <v>12301210724</v>
      </c>
      <c r="B3248" s="3">
        <v>2</v>
      </c>
      <c r="C3248" s="3">
        <v>107</v>
      </c>
      <c r="D3248" s="3">
        <v>24</v>
      </c>
      <c r="E3248" s="3" t="s">
        <v>10</v>
      </c>
      <c r="F3248" s="3">
        <v>0</v>
      </c>
      <c r="G3248" s="4"/>
      <c r="H3248" s="3">
        <v>0</v>
      </c>
    </row>
    <row r="3249" ht="14.25" spans="1:8">
      <c r="A3249" s="3" t="str">
        <f>"12301210725"</f>
        <v>12301210725</v>
      </c>
      <c r="B3249" s="3">
        <v>2</v>
      </c>
      <c r="C3249" s="3">
        <v>107</v>
      </c>
      <c r="D3249" s="3">
        <v>25</v>
      </c>
      <c r="E3249" s="3" t="s">
        <v>10</v>
      </c>
      <c r="F3249" s="4">
        <v>56</v>
      </c>
      <c r="G3249" s="4"/>
      <c r="H3249" s="4">
        <f t="shared" si="322"/>
        <v>56</v>
      </c>
    </row>
    <row r="3250" ht="14.25" spans="1:8">
      <c r="A3250" s="3" t="str">
        <f>"12301210726"</f>
        <v>12301210726</v>
      </c>
      <c r="B3250" s="3">
        <v>2</v>
      </c>
      <c r="C3250" s="3">
        <v>107</v>
      </c>
      <c r="D3250" s="3">
        <v>26</v>
      </c>
      <c r="E3250" s="3" t="s">
        <v>10</v>
      </c>
      <c r="F3250" s="4">
        <v>75</v>
      </c>
      <c r="G3250" s="4"/>
      <c r="H3250" s="4">
        <f t="shared" si="322"/>
        <v>75</v>
      </c>
    </row>
    <row r="3251" ht="14.25" spans="1:8">
      <c r="A3251" s="3" t="str">
        <f>"12301210727"</f>
        <v>12301210727</v>
      </c>
      <c r="B3251" s="3">
        <v>2</v>
      </c>
      <c r="C3251" s="3">
        <v>107</v>
      </c>
      <c r="D3251" s="3">
        <v>27</v>
      </c>
      <c r="E3251" s="3" t="s">
        <v>10</v>
      </c>
      <c r="F3251" s="4">
        <v>73</v>
      </c>
      <c r="G3251" s="4"/>
      <c r="H3251" s="4">
        <f t="shared" si="322"/>
        <v>73</v>
      </c>
    </row>
    <row r="3252" ht="14.25" spans="1:8">
      <c r="A3252" s="3" t="str">
        <f>"12301210728"</f>
        <v>12301210728</v>
      </c>
      <c r="B3252" s="3">
        <v>2</v>
      </c>
      <c r="C3252" s="3">
        <v>107</v>
      </c>
      <c r="D3252" s="3">
        <v>28</v>
      </c>
      <c r="E3252" s="3" t="s">
        <v>10</v>
      </c>
      <c r="F3252" s="4">
        <v>64.5</v>
      </c>
      <c r="G3252" s="4"/>
      <c r="H3252" s="4">
        <f t="shared" si="322"/>
        <v>64.5</v>
      </c>
    </row>
    <row r="3253" ht="14.25" spans="1:8">
      <c r="A3253" s="3" t="str">
        <f>"12301210729"</f>
        <v>12301210729</v>
      </c>
      <c r="B3253" s="3">
        <v>2</v>
      </c>
      <c r="C3253" s="3">
        <v>107</v>
      </c>
      <c r="D3253" s="3">
        <v>29</v>
      </c>
      <c r="E3253" s="3" t="s">
        <v>10</v>
      </c>
      <c r="F3253" s="4">
        <v>67</v>
      </c>
      <c r="G3253" s="4"/>
      <c r="H3253" s="4">
        <f t="shared" si="322"/>
        <v>67</v>
      </c>
    </row>
    <row r="3254" ht="14.25" spans="1:8">
      <c r="A3254" s="3" t="str">
        <f>"12301210730"</f>
        <v>12301210730</v>
      </c>
      <c r="B3254" s="3">
        <v>2</v>
      </c>
      <c r="C3254" s="3">
        <v>107</v>
      </c>
      <c r="D3254" s="3">
        <v>30</v>
      </c>
      <c r="E3254" s="3" t="s">
        <v>10</v>
      </c>
      <c r="F3254" s="4">
        <v>62.5</v>
      </c>
      <c r="G3254" s="4"/>
      <c r="H3254" s="4">
        <f t="shared" si="322"/>
        <v>62.5</v>
      </c>
    </row>
    <row r="3255" ht="14.25" spans="1:8">
      <c r="A3255" s="3" t="str">
        <f>"12301210801"</f>
        <v>12301210801</v>
      </c>
      <c r="B3255" s="3">
        <v>2</v>
      </c>
      <c r="C3255" s="3">
        <v>108</v>
      </c>
      <c r="D3255" s="3">
        <v>1</v>
      </c>
      <c r="E3255" s="3" t="s">
        <v>10</v>
      </c>
      <c r="F3255" s="4">
        <v>64.5</v>
      </c>
      <c r="G3255" s="4"/>
      <c r="H3255" s="4">
        <f t="shared" si="322"/>
        <v>64.5</v>
      </c>
    </row>
    <row r="3256" ht="14.25" spans="1:8">
      <c r="A3256" s="3" t="str">
        <f>"12301210802"</f>
        <v>12301210802</v>
      </c>
      <c r="B3256" s="3">
        <v>2</v>
      </c>
      <c r="C3256" s="3">
        <v>108</v>
      </c>
      <c r="D3256" s="3">
        <v>2</v>
      </c>
      <c r="E3256" s="3" t="s">
        <v>10</v>
      </c>
      <c r="F3256" s="4">
        <v>80.5</v>
      </c>
      <c r="G3256" s="4"/>
      <c r="H3256" s="4">
        <f t="shared" si="322"/>
        <v>80.5</v>
      </c>
    </row>
    <row r="3257" ht="14.25" spans="1:8">
      <c r="A3257" s="3" t="str">
        <f>"12301210803"</f>
        <v>12301210803</v>
      </c>
      <c r="B3257" s="3">
        <v>2</v>
      </c>
      <c r="C3257" s="3">
        <v>108</v>
      </c>
      <c r="D3257" s="3">
        <v>3</v>
      </c>
      <c r="E3257" s="3" t="s">
        <v>10</v>
      </c>
      <c r="F3257" s="4">
        <v>67</v>
      </c>
      <c r="G3257" s="4"/>
      <c r="H3257" s="4">
        <f t="shared" si="322"/>
        <v>67</v>
      </c>
    </row>
    <row r="3258" ht="14.25" spans="1:8">
      <c r="A3258" s="3" t="str">
        <f>"12301210804"</f>
        <v>12301210804</v>
      </c>
      <c r="B3258" s="3">
        <v>2</v>
      </c>
      <c r="C3258" s="3">
        <v>108</v>
      </c>
      <c r="D3258" s="3">
        <v>4</v>
      </c>
      <c r="E3258" s="3" t="s">
        <v>10</v>
      </c>
      <c r="F3258" s="4">
        <v>80</v>
      </c>
      <c r="G3258" s="4"/>
      <c r="H3258" s="4">
        <f t="shared" si="322"/>
        <v>80</v>
      </c>
    </row>
    <row r="3259" ht="14.25" spans="1:8">
      <c r="A3259" s="3" t="str">
        <f>"12301210805"</f>
        <v>12301210805</v>
      </c>
      <c r="B3259" s="3">
        <v>2</v>
      </c>
      <c r="C3259" s="3">
        <v>108</v>
      </c>
      <c r="D3259" s="3">
        <v>5</v>
      </c>
      <c r="E3259" s="3" t="s">
        <v>10</v>
      </c>
      <c r="F3259" s="4">
        <v>55</v>
      </c>
      <c r="G3259" s="4"/>
      <c r="H3259" s="4">
        <f t="shared" si="322"/>
        <v>55</v>
      </c>
    </row>
    <row r="3260" ht="14.25" spans="1:8">
      <c r="A3260" s="3" t="str">
        <f>"12301210806"</f>
        <v>12301210806</v>
      </c>
      <c r="B3260" s="3">
        <v>2</v>
      </c>
      <c r="C3260" s="3">
        <v>108</v>
      </c>
      <c r="D3260" s="3">
        <v>6</v>
      </c>
      <c r="E3260" s="3" t="s">
        <v>10</v>
      </c>
      <c r="F3260" s="4">
        <v>73.5</v>
      </c>
      <c r="G3260" s="4"/>
      <c r="H3260" s="4">
        <f t="shared" si="322"/>
        <v>73.5</v>
      </c>
    </row>
    <row r="3261" ht="14.25" spans="1:8">
      <c r="A3261" s="3" t="str">
        <f>"12301210807"</f>
        <v>12301210807</v>
      </c>
      <c r="B3261" s="3">
        <v>2</v>
      </c>
      <c r="C3261" s="3">
        <v>108</v>
      </c>
      <c r="D3261" s="3">
        <v>7</v>
      </c>
      <c r="E3261" s="3" t="s">
        <v>10</v>
      </c>
      <c r="F3261" s="4">
        <v>84.5</v>
      </c>
      <c r="G3261" s="4"/>
      <c r="H3261" s="4">
        <f t="shared" si="322"/>
        <v>84.5</v>
      </c>
    </row>
    <row r="3262" ht="14.25" spans="1:8">
      <c r="A3262" s="3" t="str">
        <f>"12301210808"</f>
        <v>12301210808</v>
      </c>
      <c r="B3262" s="3">
        <v>2</v>
      </c>
      <c r="C3262" s="3">
        <v>108</v>
      </c>
      <c r="D3262" s="3">
        <v>8</v>
      </c>
      <c r="E3262" s="3" t="s">
        <v>10</v>
      </c>
      <c r="F3262" s="4">
        <v>75</v>
      </c>
      <c r="G3262" s="4"/>
      <c r="H3262" s="4">
        <f t="shared" si="322"/>
        <v>75</v>
      </c>
    </row>
    <row r="3263" ht="14.25" spans="1:8">
      <c r="A3263" s="3" t="str">
        <f>"12301210809"</f>
        <v>12301210809</v>
      </c>
      <c r="B3263" s="3">
        <v>2</v>
      </c>
      <c r="C3263" s="3">
        <v>108</v>
      </c>
      <c r="D3263" s="3">
        <v>9</v>
      </c>
      <c r="E3263" s="3" t="s">
        <v>10</v>
      </c>
      <c r="F3263" s="4">
        <v>78</v>
      </c>
      <c r="G3263" s="4"/>
      <c r="H3263" s="4">
        <f t="shared" si="322"/>
        <v>78</v>
      </c>
    </row>
    <row r="3264" ht="14.25" spans="1:8">
      <c r="A3264" s="3" t="str">
        <f>"12301210810"</f>
        <v>12301210810</v>
      </c>
      <c r="B3264" s="3">
        <v>2</v>
      </c>
      <c r="C3264" s="3">
        <v>108</v>
      </c>
      <c r="D3264" s="3">
        <v>10</v>
      </c>
      <c r="E3264" s="3" t="s">
        <v>10</v>
      </c>
      <c r="F3264" s="4">
        <v>81.5</v>
      </c>
      <c r="G3264" s="4"/>
      <c r="H3264" s="4">
        <f t="shared" si="322"/>
        <v>81.5</v>
      </c>
    </row>
    <row r="3265" ht="14.25" spans="1:8">
      <c r="A3265" s="3" t="str">
        <f>"12301210811"</f>
        <v>12301210811</v>
      </c>
      <c r="B3265" s="3">
        <v>2</v>
      </c>
      <c r="C3265" s="3">
        <v>108</v>
      </c>
      <c r="D3265" s="3">
        <v>11</v>
      </c>
      <c r="E3265" s="3" t="s">
        <v>10</v>
      </c>
      <c r="F3265" s="4">
        <v>86</v>
      </c>
      <c r="G3265" s="4"/>
      <c r="H3265" s="4">
        <f t="shared" si="322"/>
        <v>86</v>
      </c>
    </row>
    <row r="3266" ht="14.25" spans="1:8">
      <c r="A3266" s="3" t="str">
        <f>"12301210812"</f>
        <v>12301210812</v>
      </c>
      <c r="B3266" s="3">
        <v>2</v>
      </c>
      <c r="C3266" s="3">
        <v>108</v>
      </c>
      <c r="D3266" s="3">
        <v>12</v>
      </c>
      <c r="E3266" s="3" t="s">
        <v>10</v>
      </c>
      <c r="F3266" s="4">
        <v>52.5</v>
      </c>
      <c r="G3266" s="4"/>
      <c r="H3266" s="4">
        <f t="shared" si="322"/>
        <v>52.5</v>
      </c>
    </row>
    <row r="3267" ht="14.25" spans="1:8">
      <c r="A3267" s="3" t="str">
        <f>"12301210813"</f>
        <v>12301210813</v>
      </c>
      <c r="B3267" s="3">
        <v>2</v>
      </c>
      <c r="C3267" s="3">
        <v>108</v>
      </c>
      <c r="D3267" s="3">
        <v>13</v>
      </c>
      <c r="E3267" s="3" t="s">
        <v>10</v>
      </c>
      <c r="F3267" s="4">
        <v>81</v>
      </c>
      <c r="G3267" s="4"/>
      <c r="H3267" s="4">
        <f t="shared" si="322"/>
        <v>81</v>
      </c>
    </row>
    <row r="3268" ht="14.25" spans="1:8">
      <c r="A3268" s="3" t="str">
        <f>"12301210814"</f>
        <v>12301210814</v>
      </c>
      <c r="B3268" s="3">
        <v>2</v>
      </c>
      <c r="C3268" s="3">
        <v>108</v>
      </c>
      <c r="D3268" s="3">
        <v>14</v>
      </c>
      <c r="E3268" s="3" t="s">
        <v>10</v>
      </c>
      <c r="F3268" s="4">
        <v>66</v>
      </c>
      <c r="G3268" s="4"/>
      <c r="H3268" s="4">
        <f t="shared" si="322"/>
        <v>66</v>
      </c>
    </row>
    <row r="3269" ht="14.25" spans="1:8">
      <c r="A3269" s="3" t="str">
        <f>"12301210815"</f>
        <v>12301210815</v>
      </c>
      <c r="B3269" s="3">
        <v>2</v>
      </c>
      <c r="C3269" s="3">
        <v>108</v>
      </c>
      <c r="D3269" s="3">
        <v>15</v>
      </c>
      <c r="E3269" s="3" t="s">
        <v>10</v>
      </c>
      <c r="F3269" s="4">
        <v>71</v>
      </c>
      <c r="G3269" s="4"/>
      <c r="H3269" s="4">
        <f t="shared" si="322"/>
        <v>71</v>
      </c>
    </row>
    <row r="3270" ht="14.25" spans="1:8">
      <c r="A3270" s="3" t="str">
        <f>"12301210816"</f>
        <v>12301210816</v>
      </c>
      <c r="B3270" s="3">
        <v>2</v>
      </c>
      <c r="C3270" s="3">
        <v>108</v>
      </c>
      <c r="D3270" s="3">
        <v>16</v>
      </c>
      <c r="E3270" s="3" t="s">
        <v>10</v>
      </c>
      <c r="F3270" s="4">
        <v>67</v>
      </c>
      <c r="G3270" s="4"/>
      <c r="H3270" s="4">
        <f t="shared" si="322"/>
        <v>67</v>
      </c>
    </row>
    <row r="3271" ht="14.25" spans="1:8">
      <c r="A3271" s="3" t="str">
        <f>"12301210817"</f>
        <v>12301210817</v>
      </c>
      <c r="B3271" s="3">
        <v>2</v>
      </c>
      <c r="C3271" s="3">
        <v>108</v>
      </c>
      <c r="D3271" s="3">
        <v>17</v>
      </c>
      <c r="E3271" s="3" t="s">
        <v>10</v>
      </c>
      <c r="F3271" s="4">
        <v>55.5</v>
      </c>
      <c r="G3271" s="4"/>
      <c r="H3271" s="4">
        <f t="shared" si="322"/>
        <v>55.5</v>
      </c>
    </row>
    <row r="3272" ht="14.25" spans="1:8">
      <c r="A3272" s="3" t="str">
        <f>"12301210818"</f>
        <v>12301210818</v>
      </c>
      <c r="B3272" s="3">
        <v>2</v>
      </c>
      <c r="C3272" s="3">
        <v>108</v>
      </c>
      <c r="D3272" s="3">
        <v>18</v>
      </c>
      <c r="E3272" s="3" t="s">
        <v>10</v>
      </c>
      <c r="F3272" s="4">
        <v>51</v>
      </c>
      <c r="G3272" s="4"/>
      <c r="H3272" s="4">
        <f t="shared" si="322"/>
        <v>51</v>
      </c>
    </row>
    <row r="3273" ht="14.25" spans="1:8">
      <c r="A3273" s="3" t="str">
        <f>"12301210819"</f>
        <v>12301210819</v>
      </c>
      <c r="B3273" s="3">
        <v>2</v>
      </c>
      <c r="C3273" s="3">
        <v>108</v>
      </c>
      <c r="D3273" s="3">
        <v>19</v>
      </c>
      <c r="E3273" s="3" t="s">
        <v>10</v>
      </c>
      <c r="F3273" s="4">
        <v>76.5</v>
      </c>
      <c r="G3273" s="4"/>
      <c r="H3273" s="4">
        <f t="shared" si="322"/>
        <v>76.5</v>
      </c>
    </row>
    <row r="3274" ht="14.25" spans="1:8">
      <c r="A3274" s="3" t="str">
        <f>"12301210820"</f>
        <v>12301210820</v>
      </c>
      <c r="B3274" s="3">
        <v>2</v>
      </c>
      <c r="C3274" s="3">
        <v>108</v>
      </c>
      <c r="D3274" s="3">
        <v>20</v>
      </c>
      <c r="E3274" s="3" t="s">
        <v>10</v>
      </c>
      <c r="F3274" s="4">
        <v>68.5</v>
      </c>
      <c r="G3274" s="4"/>
      <c r="H3274" s="4">
        <f t="shared" si="322"/>
        <v>68.5</v>
      </c>
    </row>
    <row r="3275" ht="14.25" spans="1:8">
      <c r="A3275" s="3" t="str">
        <f>"12301210821"</f>
        <v>12301210821</v>
      </c>
      <c r="B3275" s="3">
        <v>2</v>
      </c>
      <c r="C3275" s="3">
        <v>108</v>
      </c>
      <c r="D3275" s="3">
        <v>21</v>
      </c>
      <c r="E3275" s="3" t="s">
        <v>10</v>
      </c>
      <c r="F3275" s="4">
        <v>74</v>
      </c>
      <c r="G3275" s="4"/>
      <c r="H3275" s="4">
        <f t="shared" si="322"/>
        <v>74</v>
      </c>
    </row>
    <row r="3276" ht="14.25" spans="1:8">
      <c r="A3276" s="3" t="str">
        <f>"12301210822"</f>
        <v>12301210822</v>
      </c>
      <c r="B3276" s="3">
        <v>2</v>
      </c>
      <c r="C3276" s="3">
        <v>108</v>
      </c>
      <c r="D3276" s="3">
        <v>22</v>
      </c>
      <c r="E3276" s="3" t="s">
        <v>10</v>
      </c>
      <c r="F3276" s="4">
        <v>56</v>
      </c>
      <c r="G3276" s="4"/>
      <c r="H3276" s="4">
        <f t="shared" si="322"/>
        <v>56</v>
      </c>
    </row>
    <row r="3277" ht="14.25" spans="1:8">
      <c r="A3277" s="3" t="str">
        <f>"12301210823"</f>
        <v>12301210823</v>
      </c>
      <c r="B3277" s="3">
        <v>2</v>
      </c>
      <c r="C3277" s="3">
        <v>108</v>
      </c>
      <c r="D3277" s="3">
        <v>23</v>
      </c>
      <c r="E3277" s="3" t="s">
        <v>10</v>
      </c>
      <c r="F3277" s="4">
        <v>66</v>
      </c>
      <c r="G3277" s="4"/>
      <c r="H3277" s="4">
        <f t="shared" si="322"/>
        <v>66</v>
      </c>
    </row>
    <row r="3278" ht="14.25" spans="1:8">
      <c r="A3278" s="3" t="str">
        <f>"12301210824"</f>
        <v>12301210824</v>
      </c>
      <c r="B3278" s="3">
        <v>2</v>
      </c>
      <c r="C3278" s="3">
        <v>108</v>
      </c>
      <c r="D3278" s="3">
        <v>24</v>
      </c>
      <c r="E3278" s="3" t="s">
        <v>10</v>
      </c>
      <c r="F3278" s="4">
        <v>55.5</v>
      </c>
      <c r="G3278" s="4"/>
      <c r="H3278" s="4">
        <f t="shared" si="322"/>
        <v>55.5</v>
      </c>
    </row>
    <row r="3279" ht="14.25" spans="1:8">
      <c r="A3279" s="3" t="str">
        <f>"12301210825"</f>
        <v>12301210825</v>
      </c>
      <c r="B3279" s="3">
        <v>2</v>
      </c>
      <c r="C3279" s="3">
        <v>108</v>
      </c>
      <c r="D3279" s="3">
        <v>25</v>
      </c>
      <c r="E3279" s="3" t="s">
        <v>10</v>
      </c>
      <c r="F3279" s="4">
        <v>63.5</v>
      </c>
      <c r="G3279" s="4"/>
      <c r="H3279" s="4">
        <f t="shared" si="322"/>
        <v>63.5</v>
      </c>
    </row>
    <row r="3280" ht="14.25" spans="1:8">
      <c r="A3280" s="3" t="str">
        <f>"12301210826"</f>
        <v>12301210826</v>
      </c>
      <c r="B3280" s="3">
        <v>2</v>
      </c>
      <c r="C3280" s="3">
        <v>108</v>
      </c>
      <c r="D3280" s="3">
        <v>26</v>
      </c>
      <c r="E3280" s="3" t="s">
        <v>10</v>
      </c>
      <c r="F3280" s="4">
        <v>58.5</v>
      </c>
      <c r="G3280" s="4"/>
      <c r="H3280" s="4">
        <f t="shared" si="322"/>
        <v>58.5</v>
      </c>
    </row>
    <row r="3281" ht="14.25" spans="1:8">
      <c r="A3281" s="3" t="str">
        <f>"12301210827"</f>
        <v>12301210827</v>
      </c>
      <c r="B3281" s="3">
        <v>2</v>
      </c>
      <c r="C3281" s="3">
        <v>108</v>
      </c>
      <c r="D3281" s="3">
        <v>27</v>
      </c>
      <c r="E3281" s="3" t="s">
        <v>10</v>
      </c>
      <c r="F3281" s="4">
        <v>87.5</v>
      </c>
      <c r="G3281" s="4"/>
      <c r="H3281" s="4">
        <f t="shared" si="322"/>
        <v>87.5</v>
      </c>
    </row>
    <row r="3282" ht="14.25" spans="1:8">
      <c r="A3282" s="3" t="str">
        <f>"12301210828"</f>
        <v>12301210828</v>
      </c>
      <c r="B3282" s="3">
        <v>2</v>
      </c>
      <c r="C3282" s="3">
        <v>108</v>
      </c>
      <c r="D3282" s="3">
        <v>28</v>
      </c>
      <c r="E3282" s="3" t="s">
        <v>10</v>
      </c>
      <c r="F3282" s="4">
        <v>53</v>
      </c>
      <c r="G3282" s="4"/>
      <c r="H3282" s="4">
        <f t="shared" si="322"/>
        <v>53</v>
      </c>
    </row>
    <row r="3283" ht="14.25" spans="1:8">
      <c r="A3283" s="3" t="str">
        <f>"12302210829"</f>
        <v>12302210829</v>
      </c>
      <c r="B3283" s="3">
        <v>2</v>
      </c>
      <c r="C3283" s="3">
        <v>108</v>
      </c>
      <c r="D3283" s="3">
        <v>29</v>
      </c>
      <c r="E3283" s="3" t="s">
        <v>10</v>
      </c>
      <c r="F3283" s="4">
        <v>54</v>
      </c>
      <c r="G3283" s="4"/>
      <c r="H3283" s="4">
        <f t="shared" si="322"/>
        <v>54</v>
      </c>
    </row>
    <row r="3284" ht="14.25" spans="1:8">
      <c r="A3284" s="3" t="str">
        <f>"12302210830"</f>
        <v>12302210830</v>
      </c>
      <c r="B3284" s="3">
        <v>2</v>
      </c>
      <c r="C3284" s="3">
        <v>108</v>
      </c>
      <c r="D3284" s="3">
        <v>30</v>
      </c>
      <c r="E3284" s="3" t="s">
        <v>10</v>
      </c>
      <c r="F3284" s="4">
        <v>62.5</v>
      </c>
      <c r="G3284" s="4"/>
      <c r="H3284" s="4">
        <f t="shared" si="322"/>
        <v>62.5</v>
      </c>
    </row>
    <row r="3285" ht="14.25" spans="1:8">
      <c r="A3285" s="3" t="str">
        <f>"12302210901"</f>
        <v>12302210901</v>
      </c>
      <c r="B3285" s="3">
        <v>2</v>
      </c>
      <c r="C3285" s="3">
        <v>109</v>
      </c>
      <c r="D3285" s="3">
        <v>1</v>
      </c>
      <c r="E3285" s="3" t="s">
        <v>10</v>
      </c>
      <c r="F3285" s="4">
        <v>85.5</v>
      </c>
      <c r="G3285" s="4"/>
      <c r="H3285" s="4">
        <f t="shared" si="322"/>
        <v>85.5</v>
      </c>
    </row>
    <row r="3286" ht="14.25" spans="1:8">
      <c r="A3286" s="3" t="str">
        <f>"12302210902"</f>
        <v>12302210902</v>
      </c>
      <c r="B3286" s="3">
        <v>2</v>
      </c>
      <c r="C3286" s="3">
        <v>109</v>
      </c>
      <c r="D3286" s="3">
        <v>2</v>
      </c>
      <c r="E3286" s="3" t="s">
        <v>10</v>
      </c>
      <c r="F3286" s="4">
        <v>81</v>
      </c>
      <c r="G3286" s="4"/>
      <c r="H3286" s="4">
        <f t="shared" si="322"/>
        <v>81</v>
      </c>
    </row>
    <row r="3287" ht="14.25" spans="1:8">
      <c r="A3287" s="3" t="str">
        <f>"12302210903"</f>
        <v>12302210903</v>
      </c>
      <c r="B3287" s="3">
        <v>2</v>
      </c>
      <c r="C3287" s="3">
        <v>109</v>
      </c>
      <c r="D3287" s="3">
        <v>3</v>
      </c>
      <c r="E3287" s="3" t="s">
        <v>10</v>
      </c>
      <c r="F3287" s="4">
        <v>78.5</v>
      </c>
      <c r="G3287" s="4"/>
      <c r="H3287" s="4">
        <f t="shared" si="322"/>
        <v>78.5</v>
      </c>
    </row>
    <row r="3288" ht="14.25" spans="1:8">
      <c r="A3288" s="3" t="str">
        <f>"12302210904"</f>
        <v>12302210904</v>
      </c>
      <c r="B3288" s="3">
        <v>2</v>
      </c>
      <c r="C3288" s="3">
        <v>109</v>
      </c>
      <c r="D3288" s="3">
        <v>4</v>
      </c>
      <c r="E3288" s="3" t="s">
        <v>10</v>
      </c>
      <c r="F3288" s="4">
        <v>69</v>
      </c>
      <c r="G3288" s="4"/>
      <c r="H3288" s="4">
        <f t="shared" si="322"/>
        <v>69</v>
      </c>
    </row>
    <row r="3289" ht="14.25" spans="1:8">
      <c r="A3289" s="3" t="str">
        <f>"12302210905"</f>
        <v>12302210905</v>
      </c>
      <c r="B3289" s="3">
        <v>2</v>
      </c>
      <c r="C3289" s="3">
        <v>109</v>
      </c>
      <c r="D3289" s="3">
        <v>5</v>
      </c>
      <c r="E3289" s="3" t="s">
        <v>10</v>
      </c>
      <c r="F3289" s="4">
        <v>85</v>
      </c>
      <c r="G3289" s="4"/>
      <c r="H3289" s="4">
        <f t="shared" si="322"/>
        <v>85</v>
      </c>
    </row>
    <row r="3290" ht="14.25" spans="1:8">
      <c r="A3290" s="3" t="str">
        <f>"12302210906"</f>
        <v>12302210906</v>
      </c>
      <c r="B3290" s="3">
        <v>2</v>
      </c>
      <c r="C3290" s="3">
        <v>109</v>
      </c>
      <c r="D3290" s="3">
        <v>6</v>
      </c>
      <c r="E3290" s="3" t="s">
        <v>10</v>
      </c>
      <c r="F3290" s="4">
        <v>81</v>
      </c>
      <c r="G3290" s="4"/>
      <c r="H3290" s="4">
        <f t="shared" si="322"/>
        <v>81</v>
      </c>
    </row>
    <row r="3291" ht="14.25" spans="1:8">
      <c r="A3291" s="3" t="str">
        <f>"12302210907"</f>
        <v>12302210907</v>
      </c>
      <c r="B3291" s="3">
        <v>2</v>
      </c>
      <c r="C3291" s="3">
        <v>109</v>
      </c>
      <c r="D3291" s="3">
        <v>7</v>
      </c>
      <c r="E3291" s="3" t="s">
        <v>10</v>
      </c>
      <c r="F3291" s="4">
        <v>78.5</v>
      </c>
      <c r="G3291" s="4"/>
      <c r="H3291" s="4">
        <f t="shared" si="322"/>
        <v>78.5</v>
      </c>
    </row>
    <row r="3292" ht="14.25" spans="1:8">
      <c r="A3292" s="3" t="str">
        <f>"12302210908"</f>
        <v>12302210908</v>
      </c>
      <c r="B3292" s="3">
        <v>2</v>
      </c>
      <c r="C3292" s="3">
        <v>109</v>
      </c>
      <c r="D3292" s="3">
        <v>8</v>
      </c>
      <c r="E3292" s="3" t="s">
        <v>10</v>
      </c>
      <c r="F3292" s="4">
        <v>65.5</v>
      </c>
      <c r="G3292" s="4"/>
      <c r="H3292" s="4">
        <f t="shared" si="322"/>
        <v>65.5</v>
      </c>
    </row>
    <row r="3293" ht="14.25" spans="1:8">
      <c r="A3293" s="3" t="str">
        <f>"12302210909"</f>
        <v>12302210909</v>
      </c>
      <c r="B3293" s="3">
        <v>2</v>
      </c>
      <c r="C3293" s="3">
        <v>109</v>
      </c>
      <c r="D3293" s="3">
        <v>9</v>
      </c>
      <c r="E3293" s="3" t="s">
        <v>10</v>
      </c>
      <c r="F3293" s="4">
        <v>82.5</v>
      </c>
      <c r="G3293" s="4"/>
      <c r="H3293" s="4">
        <f t="shared" si="322"/>
        <v>82.5</v>
      </c>
    </row>
    <row r="3294" ht="14.25" spans="1:8">
      <c r="A3294" s="3" t="str">
        <f>"12302210910"</f>
        <v>12302210910</v>
      </c>
      <c r="B3294" s="3">
        <v>2</v>
      </c>
      <c r="C3294" s="3">
        <v>109</v>
      </c>
      <c r="D3294" s="3">
        <v>10</v>
      </c>
      <c r="E3294" s="3" t="s">
        <v>10</v>
      </c>
      <c r="F3294" s="4">
        <v>64</v>
      </c>
      <c r="G3294" s="4"/>
      <c r="H3294" s="4">
        <f t="shared" si="322"/>
        <v>64</v>
      </c>
    </row>
    <row r="3295" ht="14.25" spans="1:8">
      <c r="A3295" s="3" t="str">
        <f>"12302210911"</f>
        <v>12302210911</v>
      </c>
      <c r="B3295" s="3">
        <v>2</v>
      </c>
      <c r="C3295" s="3">
        <v>109</v>
      </c>
      <c r="D3295" s="3">
        <v>11</v>
      </c>
      <c r="E3295" s="3" t="s">
        <v>10</v>
      </c>
      <c r="F3295" s="3">
        <v>0</v>
      </c>
      <c r="G3295" s="4"/>
      <c r="H3295" s="3">
        <v>0</v>
      </c>
    </row>
    <row r="3296" ht="14.25" spans="1:8">
      <c r="A3296" s="3" t="str">
        <f>"12302210912"</f>
        <v>12302210912</v>
      </c>
      <c r="B3296" s="3">
        <v>2</v>
      </c>
      <c r="C3296" s="3">
        <v>109</v>
      </c>
      <c r="D3296" s="3">
        <v>12</v>
      </c>
      <c r="E3296" s="3" t="s">
        <v>10</v>
      </c>
      <c r="F3296" s="4">
        <v>67</v>
      </c>
      <c r="G3296" s="4"/>
      <c r="H3296" s="4">
        <f t="shared" ref="H3296:H3310" si="323">F3296+G3296</f>
        <v>67</v>
      </c>
    </row>
    <row r="3297" ht="14.25" spans="1:8">
      <c r="A3297" s="3" t="str">
        <f>"12302210913"</f>
        <v>12302210913</v>
      </c>
      <c r="B3297" s="3">
        <v>2</v>
      </c>
      <c r="C3297" s="3">
        <v>109</v>
      </c>
      <c r="D3297" s="3">
        <v>13</v>
      </c>
      <c r="E3297" s="3" t="s">
        <v>10</v>
      </c>
      <c r="F3297" s="4">
        <v>60.5</v>
      </c>
      <c r="G3297" s="4"/>
      <c r="H3297" s="4">
        <f t="shared" si="323"/>
        <v>60.5</v>
      </c>
    </row>
    <row r="3298" ht="14.25" spans="1:8">
      <c r="A3298" s="3" t="str">
        <f>"12302210914"</f>
        <v>12302210914</v>
      </c>
      <c r="B3298" s="3">
        <v>2</v>
      </c>
      <c r="C3298" s="3">
        <v>109</v>
      </c>
      <c r="D3298" s="3">
        <v>14</v>
      </c>
      <c r="E3298" s="3" t="s">
        <v>10</v>
      </c>
      <c r="F3298" s="4">
        <v>82.5</v>
      </c>
      <c r="G3298" s="4"/>
      <c r="H3298" s="4">
        <f t="shared" si="323"/>
        <v>82.5</v>
      </c>
    </row>
    <row r="3299" ht="14.25" spans="1:8">
      <c r="A3299" s="3" t="str">
        <f>"12302210915"</f>
        <v>12302210915</v>
      </c>
      <c r="B3299" s="3">
        <v>2</v>
      </c>
      <c r="C3299" s="3">
        <v>109</v>
      </c>
      <c r="D3299" s="3">
        <v>15</v>
      </c>
      <c r="E3299" s="3" t="s">
        <v>10</v>
      </c>
      <c r="F3299" s="4">
        <v>79.5</v>
      </c>
      <c r="G3299" s="4"/>
      <c r="H3299" s="4">
        <f t="shared" si="323"/>
        <v>79.5</v>
      </c>
    </row>
    <row r="3300" ht="14.25" spans="1:8">
      <c r="A3300" s="3" t="str">
        <f>"12302210916"</f>
        <v>12302210916</v>
      </c>
      <c r="B3300" s="3">
        <v>2</v>
      </c>
      <c r="C3300" s="3">
        <v>109</v>
      </c>
      <c r="D3300" s="3">
        <v>16</v>
      </c>
      <c r="E3300" s="3" t="s">
        <v>10</v>
      </c>
      <c r="F3300" s="4">
        <v>71</v>
      </c>
      <c r="G3300" s="4"/>
      <c r="H3300" s="4">
        <f t="shared" si="323"/>
        <v>71</v>
      </c>
    </row>
    <row r="3301" ht="14.25" spans="1:8">
      <c r="A3301" s="3" t="str">
        <f>"12302210917"</f>
        <v>12302210917</v>
      </c>
      <c r="B3301" s="3">
        <v>2</v>
      </c>
      <c r="C3301" s="3">
        <v>109</v>
      </c>
      <c r="D3301" s="3">
        <v>17</v>
      </c>
      <c r="E3301" s="3" t="s">
        <v>10</v>
      </c>
      <c r="F3301" s="4">
        <v>67</v>
      </c>
      <c r="G3301" s="4"/>
      <c r="H3301" s="4">
        <f t="shared" si="323"/>
        <v>67</v>
      </c>
    </row>
    <row r="3302" ht="14.25" spans="1:8">
      <c r="A3302" s="3" t="str">
        <f>"12302210918"</f>
        <v>12302210918</v>
      </c>
      <c r="B3302" s="3">
        <v>2</v>
      </c>
      <c r="C3302" s="3">
        <v>109</v>
      </c>
      <c r="D3302" s="3">
        <v>18</v>
      </c>
      <c r="E3302" s="3" t="s">
        <v>10</v>
      </c>
      <c r="F3302" s="4">
        <v>52.5</v>
      </c>
      <c r="G3302" s="4"/>
      <c r="H3302" s="4">
        <f t="shared" si="323"/>
        <v>52.5</v>
      </c>
    </row>
    <row r="3303" ht="14.25" spans="1:8">
      <c r="A3303" s="3" t="str">
        <f>"12302210919"</f>
        <v>12302210919</v>
      </c>
      <c r="B3303" s="3">
        <v>2</v>
      </c>
      <c r="C3303" s="3">
        <v>109</v>
      </c>
      <c r="D3303" s="3">
        <v>19</v>
      </c>
      <c r="E3303" s="3" t="s">
        <v>10</v>
      </c>
      <c r="F3303" s="4">
        <v>71.5</v>
      </c>
      <c r="G3303" s="4"/>
      <c r="H3303" s="4">
        <f t="shared" si="323"/>
        <v>71.5</v>
      </c>
    </row>
    <row r="3304" ht="14.25" spans="1:8">
      <c r="A3304" s="3" t="str">
        <f>"12302210920"</f>
        <v>12302210920</v>
      </c>
      <c r="B3304" s="3">
        <v>2</v>
      </c>
      <c r="C3304" s="3">
        <v>109</v>
      </c>
      <c r="D3304" s="3">
        <v>20</v>
      </c>
      <c r="E3304" s="3" t="s">
        <v>10</v>
      </c>
      <c r="F3304" s="4">
        <v>56.5</v>
      </c>
      <c r="G3304" s="4"/>
      <c r="H3304" s="4">
        <f t="shared" si="323"/>
        <v>56.5</v>
      </c>
    </row>
    <row r="3305" ht="14.25" spans="1:8">
      <c r="A3305" s="3" t="str">
        <f>"12302210921"</f>
        <v>12302210921</v>
      </c>
      <c r="B3305" s="3">
        <v>2</v>
      </c>
      <c r="C3305" s="3">
        <v>109</v>
      </c>
      <c r="D3305" s="3">
        <v>21</v>
      </c>
      <c r="E3305" s="3" t="s">
        <v>10</v>
      </c>
      <c r="F3305" s="4">
        <v>71</v>
      </c>
      <c r="G3305" s="4"/>
      <c r="H3305" s="4">
        <f t="shared" si="323"/>
        <v>71</v>
      </c>
    </row>
    <row r="3306" ht="14.25" spans="1:8">
      <c r="A3306" s="3" t="str">
        <f>"12302210922"</f>
        <v>12302210922</v>
      </c>
      <c r="B3306" s="3">
        <v>2</v>
      </c>
      <c r="C3306" s="3">
        <v>109</v>
      </c>
      <c r="D3306" s="3">
        <v>22</v>
      </c>
      <c r="E3306" s="3" t="s">
        <v>10</v>
      </c>
      <c r="F3306" s="4">
        <v>49.5</v>
      </c>
      <c r="G3306" s="4"/>
      <c r="H3306" s="4">
        <f t="shared" si="323"/>
        <v>49.5</v>
      </c>
    </row>
    <row r="3307" ht="14.25" spans="1:8">
      <c r="A3307" s="3" t="str">
        <f>"12302210923"</f>
        <v>12302210923</v>
      </c>
      <c r="B3307" s="3">
        <v>2</v>
      </c>
      <c r="C3307" s="3">
        <v>109</v>
      </c>
      <c r="D3307" s="3">
        <v>23</v>
      </c>
      <c r="E3307" s="3" t="s">
        <v>10</v>
      </c>
      <c r="F3307" s="4">
        <v>45</v>
      </c>
      <c r="G3307" s="4"/>
      <c r="H3307" s="4">
        <f t="shared" si="323"/>
        <v>45</v>
      </c>
    </row>
    <row r="3308" ht="14.25" spans="1:8">
      <c r="A3308" s="3" t="str">
        <f>"12302210924"</f>
        <v>12302210924</v>
      </c>
      <c r="B3308" s="3">
        <v>2</v>
      </c>
      <c r="C3308" s="3">
        <v>109</v>
      </c>
      <c r="D3308" s="3">
        <v>24</v>
      </c>
      <c r="E3308" s="3" t="s">
        <v>10</v>
      </c>
      <c r="F3308" s="4">
        <v>83</v>
      </c>
      <c r="G3308" s="4"/>
      <c r="H3308" s="4">
        <f t="shared" si="323"/>
        <v>83</v>
      </c>
    </row>
    <row r="3309" ht="14.25" spans="1:8">
      <c r="A3309" s="3" t="str">
        <f>"12302210925"</f>
        <v>12302210925</v>
      </c>
      <c r="B3309" s="3">
        <v>2</v>
      </c>
      <c r="C3309" s="3">
        <v>109</v>
      </c>
      <c r="D3309" s="3">
        <v>25</v>
      </c>
      <c r="E3309" s="3" t="s">
        <v>10</v>
      </c>
      <c r="F3309" s="4">
        <v>54</v>
      </c>
      <c r="G3309" s="4"/>
      <c r="H3309" s="4">
        <f t="shared" si="323"/>
        <v>54</v>
      </c>
    </row>
    <row r="3310" ht="14.25" spans="1:8">
      <c r="A3310" s="3" t="str">
        <f>"12302210926"</f>
        <v>12302210926</v>
      </c>
      <c r="B3310" s="3">
        <v>2</v>
      </c>
      <c r="C3310" s="3">
        <v>109</v>
      </c>
      <c r="D3310" s="3">
        <v>26</v>
      </c>
      <c r="E3310" s="3" t="s">
        <v>10</v>
      </c>
      <c r="F3310" s="4">
        <v>74</v>
      </c>
      <c r="G3310" s="4"/>
      <c r="H3310" s="4">
        <f t="shared" si="323"/>
        <v>74</v>
      </c>
    </row>
    <row r="3311" ht="14.25" spans="1:8">
      <c r="A3311" s="3" t="str">
        <f>"12302210927"</f>
        <v>12302210927</v>
      </c>
      <c r="B3311" s="3">
        <v>2</v>
      </c>
      <c r="C3311" s="3">
        <v>109</v>
      </c>
      <c r="D3311" s="3">
        <v>27</v>
      </c>
      <c r="E3311" s="3" t="s">
        <v>10</v>
      </c>
      <c r="F3311" s="3">
        <v>0</v>
      </c>
      <c r="G3311" s="4"/>
      <c r="H3311" s="3">
        <v>0</v>
      </c>
    </row>
    <row r="3312" ht="14.25" spans="1:8">
      <c r="A3312" s="3" t="str">
        <f>"12302210928"</f>
        <v>12302210928</v>
      </c>
      <c r="B3312" s="3">
        <v>2</v>
      </c>
      <c r="C3312" s="3">
        <v>109</v>
      </c>
      <c r="D3312" s="3">
        <v>28</v>
      </c>
      <c r="E3312" s="3" t="s">
        <v>10</v>
      </c>
      <c r="F3312" s="4">
        <v>80</v>
      </c>
      <c r="G3312" s="4"/>
      <c r="H3312" s="4">
        <f t="shared" ref="H3312:H3346" si="324">F3312+G3312</f>
        <v>80</v>
      </c>
    </row>
    <row r="3313" ht="14.25" spans="1:8">
      <c r="A3313" s="3" t="str">
        <f>"12302210929"</f>
        <v>12302210929</v>
      </c>
      <c r="B3313" s="3">
        <v>2</v>
      </c>
      <c r="C3313" s="3">
        <v>109</v>
      </c>
      <c r="D3313" s="3">
        <v>29</v>
      </c>
      <c r="E3313" s="3" t="s">
        <v>10</v>
      </c>
      <c r="F3313" s="4">
        <v>66</v>
      </c>
      <c r="G3313" s="4"/>
      <c r="H3313" s="4">
        <f t="shared" si="324"/>
        <v>66</v>
      </c>
    </row>
    <row r="3314" ht="14.25" spans="1:8">
      <c r="A3314" s="3" t="str">
        <f>"12302210930"</f>
        <v>12302210930</v>
      </c>
      <c r="B3314" s="3">
        <v>2</v>
      </c>
      <c r="C3314" s="3">
        <v>109</v>
      </c>
      <c r="D3314" s="3">
        <v>30</v>
      </c>
      <c r="E3314" s="3" t="s">
        <v>10</v>
      </c>
      <c r="F3314" s="4">
        <v>65.5</v>
      </c>
      <c r="G3314" s="4"/>
      <c r="H3314" s="4">
        <f t="shared" si="324"/>
        <v>65.5</v>
      </c>
    </row>
    <row r="3315" ht="14.25" spans="1:8">
      <c r="A3315" s="3" t="str">
        <f>"12302211001"</f>
        <v>12302211001</v>
      </c>
      <c r="B3315" s="3">
        <v>2</v>
      </c>
      <c r="C3315" s="3">
        <v>110</v>
      </c>
      <c r="D3315" s="3">
        <v>1</v>
      </c>
      <c r="E3315" s="3" t="s">
        <v>10</v>
      </c>
      <c r="F3315" s="4">
        <v>53</v>
      </c>
      <c r="G3315" s="4"/>
      <c r="H3315" s="4">
        <f t="shared" si="324"/>
        <v>53</v>
      </c>
    </row>
    <row r="3316" ht="14.25" spans="1:8">
      <c r="A3316" s="3" t="str">
        <f>"12302211002"</f>
        <v>12302211002</v>
      </c>
      <c r="B3316" s="3">
        <v>2</v>
      </c>
      <c r="C3316" s="3">
        <v>110</v>
      </c>
      <c r="D3316" s="3">
        <v>2</v>
      </c>
      <c r="E3316" s="3" t="s">
        <v>10</v>
      </c>
      <c r="F3316" s="4">
        <v>74</v>
      </c>
      <c r="G3316" s="4"/>
      <c r="H3316" s="4">
        <f t="shared" si="324"/>
        <v>74</v>
      </c>
    </row>
    <row r="3317" ht="14.25" spans="1:8">
      <c r="A3317" s="3" t="str">
        <f>"12302211003"</f>
        <v>12302211003</v>
      </c>
      <c r="B3317" s="3">
        <v>2</v>
      </c>
      <c r="C3317" s="3">
        <v>110</v>
      </c>
      <c r="D3317" s="3">
        <v>3</v>
      </c>
      <c r="E3317" s="3" t="s">
        <v>10</v>
      </c>
      <c r="F3317" s="4">
        <v>54.5</v>
      </c>
      <c r="G3317" s="4"/>
      <c r="H3317" s="4">
        <f t="shared" si="324"/>
        <v>54.5</v>
      </c>
    </row>
    <row r="3318" ht="14.25" spans="1:8">
      <c r="A3318" s="3" t="str">
        <f>"12302211004"</f>
        <v>12302211004</v>
      </c>
      <c r="B3318" s="3">
        <v>2</v>
      </c>
      <c r="C3318" s="3">
        <v>110</v>
      </c>
      <c r="D3318" s="3">
        <v>4</v>
      </c>
      <c r="E3318" s="3" t="s">
        <v>10</v>
      </c>
      <c r="F3318" s="4">
        <v>58.5</v>
      </c>
      <c r="G3318" s="4"/>
      <c r="H3318" s="4">
        <f t="shared" si="324"/>
        <v>58.5</v>
      </c>
    </row>
    <row r="3319" ht="14.25" spans="1:8">
      <c r="A3319" s="3" t="str">
        <f>"12302211005"</f>
        <v>12302211005</v>
      </c>
      <c r="B3319" s="3">
        <v>2</v>
      </c>
      <c r="C3319" s="3">
        <v>110</v>
      </c>
      <c r="D3319" s="3">
        <v>5</v>
      </c>
      <c r="E3319" s="3" t="s">
        <v>10</v>
      </c>
      <c r="F3319" s="4">
        <v>77</v>
      </c>
      <c r="G3319" s="4"/>
      <c r="H3319" s="4">
        <f t="shared" si="324"/>
        <v>77</v>
      </c>
    </row>
    <row r="3320" ht="14.25" spans="1:8">
      <c r="A3320" s="3" t="str">
        <f>"12302211006"</f>
        <v>12302211006</v>
      </c>
      <c r="B3320" s="3">
        <v>2</v>
      </c>
      <c r="C3320" s="3">
        <v>110</v>
      </c>
      <c r="D3320" s="3">
        <v>6</v>
      </c>
      <c r="E3320" s="3" t="s">
        <v>10</v>
      </c>
      <c r="F3320" s="4">
        <v>63.5</v>
      </c>
      <c r="G3320" s="4"/>
      <c r="H3320" s="4">
        <f t="shared" si="324"/>
        <v>63.5</v>
      </c>
    </row>
    <row r="3321" ht="14.25" spans="1:8">
      <c r="A3321" s="3" t="str">
        <f>"12302211007"</f>
        <v>12302211007</v>
      </c>
      <c r="B3321" s="3">
        <v>2</v>
      </c>
      <c r="C3321" s="3">
        <v>110</v>
      </c>
      <c r="D3321" s="3">
        <v>7</v>
      </c>
      <c r="E3321" s="3" t="s">
        <v>10</v>
      </c>
      <c r="F3321" s="4">
        <v>75</v>
      </c>
      <c r="G3321" s="4"/>
      <c r="H3321" s="4">
        <f t="shared" si="324"/>
        <v>75</v>
      </c>
    </row>
    <row r="3322" ht="14.25" spans="1:8">
      <c r="A3322" s="3" t="str">
        <f>"12302211008"</f>
        <v>12302211008</v>
      </c>
      <c r="B3322" s="3">
        <v>2</v>
      </c>
      <c r="C3322" s="3">
        <v>110</v>
      </c>
      <c r="D3322" s="3">
        <v>8</v>
      </c>
      <c r="E3322" s="3" t="s">
        <v>10</v>
      </c>
      <c r="F3322" s="4">
        <v>72.5</v>
      </c>
      <c r="G3322" s="4"/>
      <c r="H3322" s="4">
        <f t="shared" si="324"/>
        <v>72.5</v>
      </c>
    </row>
    <row r="3323" ht="14.25" spans="1:8">
      <c r="A3323" s="3" t="str">
        <f>"12302211009"</f>
        <v>12302211009</v>
      </c>
      <c r="B3323" s="3">
        <v>2</v>
      </c>
      <c r="C3323" s="3">
        <v>110</v>
      </c>
      <c r="D3323" s="3">
        <v>9</v>
      </c>
      <c r="E3323" s="3" t="s">
        <v>10</v>
      </c>
      <c r="F3323" s="4">
        <v>71.5</v>
      </c>
      <c r="G3323" s="4"/>
      <c r="H3323" s="4">
        <f t="shared" si="324"/>
        <v>71.5</v>
      </c>
    </row>
    <row r="3324" ht="14.25" spans="1:8">
      <c r="A3324" s="3" t="str">
        <f>"12302211010"</f>
        <v>12302211010</v>
      </c>
      <c r="B3324" s="3">
        <v>2</v>
      </c>
      <c r="C3324" s="3">
        <v>110</v>
      </c>
      <c r="D3324" s="3">
        <v>10</v>
      </c>
      <c r="E3324" s="3" t="s">
        <v>10</v>
      </c>
      <c r="F3324" s="4">
        <v>85</v>
      </c>
      <c r="G3324" s="4"/>
      <c r="H3324" s="4">
        <f t="shared" si="324"/>
        <v>85</v>
      </c>
    </row>
    <row r="3325" ht="14.25" spans="1:8">
      <c r="A3325" s="3" t="str">
        <f>"12302211011"</f>
        <v>12302211011</v>
      </c>
      <c r="B3325" s="3">
        <v>2</v>
      </c>
      <c r="C3325" s="3">
        <v>110</v>
      </c>
      <c r="D3325" s="3">
        <v>11</v>
      </c>
      <c r="E3325" s="3" t="s">
        <v>10</v>
      </c>
      <c r="F3325" s="4">
        <v>67</v>
      </c>
      <c r="G3325" s="4"/>
      <c r="H3325" s="4">
        <f t="shared" si="324"/>
        <v>67</v>
      </c>
    </row>
    <row r="3326" ht="14.25" spans="1:8">
      <c r="A3326" s="3" t="str">
        <f>"12302211012"</f>
        <v>12302211012</v>
      </c>
      <c r="B3326" s="3">
        <v>2</v>
      </c>
      <c r="C3326" s="3">
        <v>110</v>
      </c>
      <c r="D3326" s="3">
        <v>12</v>
      </c>
      <c r="E3326" s="3" t="s">
        <v>10</v>
      </c>
      <c r="F3326" s="4">
        <v>75.5</v>
      </c>
      <c r="G3326" s="4"/>
      <c r="H3326" s="4">
        <f t="shared" si="324"/>
        <v>75.5</v>
      </c>
    </row>
    <row r="3327" ht="14.25" spans="1:8">
      <c r="A3327" s="3" t="str">
        <f>"12302211013"</f>
        <v>12302211013</v>
      </c>
      <c r="B3327" s="3">
        <v>2</v>
      </c>
      <c r="C3327" s="3">
        <v>110</v>
      </c>
      <c r="D3327" s="3">
        <v>13</v>
      </c>
      <c r="E3327" s="3" t="s">
        <v>10</v>
      </c>
      <c r="F3327" s="4">
        <v>80</v>
      </c>
      <c r="G3327" s="4"/>
      <c r="H3327" s="4">
        <f t="shared" si="324"/>
        <v>80</v>
      </c>
    </row>
    <row r="3328" ht="14.25" spans="1:8">
      <c r="A3328" s="3" t="str">
        <f>"12302211014"</f>
        <v>12302211014</v>
      </c>
      <c r="B3328" s="3">
        <v>2</v>
      </c>
      <c r="C3328" s="3">
        <v>110</v>
      </c>
      <c r="D3328" s="3">
        <v>14</v>
      </c>
      <c r="E3328" s="3" t="s">
        <v>10</v>
      </c>
      <c r="F3328" s="4">
        <v>69.5</v>
      </c>
      <c r="G3328" s="4"/>
      <c r="H3328" s="4">
        <f t="shared" si="324"/>
        <v>69.5</v>
      </c>
    </row>
    <row r="3329" ht="14.25" spans="1:8">
      <c r="A3329" s="3" t="str">
        <f>"12302211015"</f>
        <v>12302211015</v>
      </c>
      <c r="B3329" s="3">
        <v>2</v>
      </c>
      <c r="C3329" s="3">
        <v>110</v>
      </c>
      <c r="D3329" s="3">
        <v>15</v>
      </c>
      <c r="E3329" s="3" t="s">
        <v>10</v>
      </c>
      <c r="F3329" s="4">
        <v>82</v>
      </c>
      <c r="G3329" s="4"/>
      <c r="H3329" s="4">
        <f t="shared" si="324"/>
        <v>82</v>
      </c>
    </row>
    <row r="3330" ht="14.25" spans="1:8">
      <c r="A3330" s="3" t="str">
        <f>"12302211016"</f>
        <v>12302211016</v>
      </c>
      <c r="B3330" s="3">
        <v>2</v>
      </c>
      <c r="C3330" s="3">
        <v>110</v>
      </c>
      <c r="D3330" s="3">
        <v>16</v>
      </c>
      <c r="E3330" s="3" t="s">
        <v>10</v>
      </c>
      <c r="F3330" s="4">
        <v>64.5</v>
      </c>
      <c r="G3330" s="4"/>
      <c r="H3330" s="4">
        <f t="shared" si="324"/>
        <v>64.5</v>
      </c>
    </row>
    <row r="3331" ht="14.25" spans="1:8">
      <c r="A3331" s="3" t="str">
        <f>"12302211017"</f>
        <v>12302211017</v>
      </c>
      <c r="B3331" s="3">
        <v>2</v>
      </c>
      <c r="C3331" s="3">
        <v>110</v>
      </c>
      <c r="D3331" s="3">
        <v>17</v>
      </c>
      <c r="E3331" s="3" t="s">
        <v>10</v>
      </c>
      <c r="F3331" s="4">
        <v>68.5</v>
      </c>
      <c r="G3331" s="4"/>
      <c r="H3331" s="4">
        <f t="shared" si="324"/>
        <v>68.5</v>
      </c>
    </row>
    <row r="3332" ht="14.25" spans="1:8">
      <c r="A3332" s="3" t="str">
        <f>"12302211018"</f>
        <v>12302211018</v>
      </c>
      <c r="B3332" s="3">
        <v>2</v>
      </c>
      <c r="C3332" s="3">
        <v>110</v>
      </c>
      <c r="D3332" s="3">
        <v>18</v>
      </c>
      <c r="E3332" s="3" t="s">
        <v>10</v>
      </c>
      <c r="F3332" s="4">
        <v>63.5</v>
      </c>
      <c r="G3332" s="4"/>
      <c r="H3332" s="4">
        <f t="shared" si="324"/>
        <v>63.5</v>
      </c>
    </row>
    <row r="3333" ht="14.25" spans="1:8">
      <c r="A3333" s="3" t="str">
        <f>"12302211019"</f>
        <v>12302211019</v>
      </c>
      <c r="B3333" s="3">
        <v>2</v>
      </c>
      <c r="C3333" s="3">
        <v>110</v>
      </c>
      <c r="D3333" s="3">
        <v>19</v>
      </c>
      <c r="E3333" s="3" t="s">
        <v>10</v>
      </c>
      <c r="F3333" s="4">
        <v>77.5</v>
      </c>
      <c r="G3333" s="4"/>
      <c r="H3333" s="4">
        <f t="shared" si="324"/>
        <v>77.5</v>
      </c>
    </row>
    <row r="3334" ht="14.25" spans="1:8">
      <c r="A3334" s="3" t="str">
        <f>"12302211020"</f>
        <v>12302211020</v>
      </c>
      <c r="B3334" s="3">
        <v>2</v>
      </c>
      <c r="C3334" s="3">
        <v>110</v>
      </c>
      <c r="D3334" s="3">
        <v>20</v>
      </c>
      <c r="E3334" s="3" t="s">
        <v>10</v>
      </c>
      <c r="F3334" s="4">
        <v>82</v>
      </c>
      <c r="G3334" s="4"/>
      <c r="H3334" s="4">
        <f t="shared" si="324"/>
        <v>82</v>
      </c>
    </row>
    <row r="3335" ht="14.25" spans="1:8">
      <c r="A3335" s="3" t="str">
        <f>"12302211021"</f>
        <v>12302211021</v>
      </c>
      <c r="B3335" s="3">
        <v>2</v>
      </c>
      <c r="C3335" s="3">
        <v>110</v>
      </c>
      <c r="D3335" s="3">
        <v>21</v>
      </c>
      <c r="E3335" s="3" t="s">
        <v>10</v>
      </c>
      <c r="F3335" s="4">
        <v>74</v>
      </c>
      <c r="G3335" s="4"/>
      <c r="H3335" s="4">
        <f t="shared" si="324"/>
        <v>74</v>
      </c>
    </row>
    <row r="3336" ht="14.25" spans="1:8">
      <c r="A3336" s="3" t="str">
        <f>"12302211022"</f>
        <v>12302211022</v>
      </c>
      <c r="B3336" s="3">
        <v>2</v>
      </c>
      <c r="C3336" s="3">
        <v>110</v>
      </c>
      <c r="D3336" s="3">
        <v>22</v>
      </c>
      <c r="E3336" s="3" t="s">
        <v>10</v>
      </c>
      <c r="F3336" s="4">
        <v>73.5</v>
      </c>
      <c r="G3336" s="4"/>
      <c r="H3336" s="4">
        <f t="shared" si="324"/>
        <v>73.5</v>
      </c>
    </row>
    <row r="3337" ht="14.25" spans="1:8">
      <c r="A3337" s="3" t="str">
        <f>"12302211023"</f>
        <v>12302211023</v>
      </c>
      <c r="B3337" s="3">
        <v>2</v>
      </c>
      <c r="C3337" s="3">
        <v>110</v>
      </c>
      <c r="D3337" s="3">
        <v>23</v>
      </c>
      <c r="E3337" s="3" t="s">
        <v>10</v>
      </c>
      <c r="F3337" s="4">
        <v>80.5</v>
      </c>
      <c r="G3337" s="4"/>
      <c r="H3337" s="4">
        <f t="shared" si="324"/>
        <v>80.5</v>
      </c>
    </row>
    <row r="3338" ht="14.25" spans="1:8">
      <c r="A3338" s="3" t="str">
        <f>"12302211024"</f>
        <v>12302211024</v>
      </c>
      <c r="B3338" s="3">
        <v>2</v>
      </c>
      <c r="C3338" s="3">
        <v>110</v>
      </c>
      <c r="D3338" s="3">
        <v>24</v>
      </c>
      <c r="E3338" s="3" t="s">
        <v>10</v>
      </c>
      <c r="F3338" s="4">
        <v>83</v>
      </c>
      <c r="G3338" s="4"/>
      <c r="H3338" s="4">
        <f t="shared" si="324"/>
        <v>83</v>
      </c>
    </row>
    <row r="3339" ht="14.25" spans="1:8">
      <c r="A3339" s="3" t="str">
        <f>"12302211025"</f>
        <v>12302211025</v>
      </c>
      <c r="B3339" s="3">
        <v>2</v>
      </c>
      <c r="C3339" s="3">
        <v>110</v>
      </c>
      <c r="D3339" s="3">
        <v>25</v>
      </c>
      <c r="E3339" s="3" t="s">
        <v>10</v>
      </c>
      <c r="F3339" s="4">
        <v>70.5</v>
      </c>
      <c r="G3339" s="4"/>
      <c r="H3339" s="4">
        <f t="shared" si="324"/>
        <v>70.5</v>
      </c>
    </row>
    <row r="3340" ht="14.25" spans="1:8">
      <c r="A3340" s="3" t="str">
        <f>"12302211026"</f>
        <v>12302211026</v>
      </c>
      <c r="B3340" s="3">
        <v>2</v>
      </c>
      <c r="C3340" s="3">
        <v>110</v>
      </c>
      <c r="D3340" s="3">
        <v>26</v>
      </c>
      <c r="E3340" s="3" t="s">
        <v>10</v>
      </c>
      <c r="F3340" s="4">
        <v>53</v>
      </c>
      <c r="G3340" s="4"/>
      <c r="H3340" s="4">
        <f t="shared" si="324"/>
        <v>53</v>
      </c>
    </row>
    <row r="3341" ht="14.25" spans="1:8">
      <c r="A3341" s="3" t="str">
        <f>"12302211027"</f>
        <v>12302211027</v>
      </c>
      <c r="B3341" s="3">
        <v>2</v>
      </c>
      <c r="C3341" s="3">
        <v>110</v>
      </c>
      <c r="D3341" s="3">
        <v>27</v>
      </c>
      <c r="E3341" s="3" t="s">
        <v>10</v>
      </c>
      <c r="F3341" s="4">
        <v>80</v>
      </c>
      <c r="G3341" s="4"/>
      <c r="H3341" s="4">
        <f t="shared" si="324"/>
        <v>80</v>
      </c>
    </row>
    <row r="3342" ht="14.25" spans="1:8">
      <c r="A3342" s="3" t="str">
        <f>"12302211028"</f>
        <v>12302211028</v>
      </c>
      <c r="B3342" s="3">
        <v>2</v>
      </c>
      <c r="C3342" s="3">
        <v>110</v>
      </c>
      <c r="D3342" s="3">
        <v>28</v>
      </c>
      <c r="E3342" s="3" t="s">
        <v>10</v>
      </c>
      <c r="F3342" s="4">
        <v>68.5</v>
      </c>
      <c r="G3342" s="4"/>
      <c r="H3342" s="4">
        <f t="shared" si="324"/>
        <v>68.5</v>
      </c>
    </row>
    <row r="3343" ht="14.25" spans="1:8">
      <c r="A3343" s="3" t="str">
        <f>"12302211029"</f>
        <v>12302211029</v>
      </c>
      <c r="B3343" s="3">
        <v>2</v>
      </c>
      <c r="C3343" s="3">
        <v>110</v>
      </c>
      <c r="D3343" s="3">
        <v>29</v>
      </c>
      <c r="E3343" s="3" t="s">
        <v>10</v>
      </c>
      <c r="F3343" s="4">
        <v>86</v>
      </c>
      <c r="G3343" s="4"/>
      <c r="H3343" s="4">
        <f t="shared" si="324"/>
        <v>86</v>
      </c>
    </row>
    <row r="3344" ht="14.25" spans="1:8">
      <c r="A3344" s="3" t="str">
        <f>"12302211030"</f>
        <v>12302211030</v>
      </c>
      <c r="B3344" s="3">
        <v>2</v>
      </c>
      <c r="C3344" s="3">
        <v>110</v>
      </c>
      <c r="D3344" s="3">
        <v>30</v>
      </c>
      <c r="E3344" s="3" t="s">
        <v>10</v>
      </c>
      <c r="F3344" s="4">
        <v>74</v>
      </c>
      <c r="G3344" s="4"/>
      <c r="H3344" s="4">
        <f t="shared" si="324"/>
        <v>74</v>
      </c>
    </row>
    <row r="3345" ht="14.25" spans="1:8">
      <c r="A3345" s="3" t="str">
        <f>"12401211101"</f>
        <v>12401211101</v>
      </c>
      <c r="B3345" s="3">
        <v>2</v>
      </c>
      <c r="C3345" s="3">
        <v>111</v>
      </c>
      <c r="D3345" s="3">
        <v>1</v>
      </c>
      <c r="E3345" s="3" t="s">
        <v>10</v>
      </c>
      <c r="F3345" s="4">
        <v>86.5</v>
      </c>
      <c r="G3345" s="4"/>
      <c r="H3345" s="4">
        <f t="shared" si="324"/>
        <v>86.5</v>
      </c>
    </row>
    <row r="3346" ht="14.25" spans="1:8">
      <c r="A3346" s="3" t="str">
        <f>"12401211102"</f>
        <v>12401211102</v>
      </c>
      <c r="B3346" s="3">
        <v>2</v>
      </c>
      <c r="C3346" s="3">
        <v>111</v>
      </c>
      <c r="D3346" s="3">
        <v>2</v>
      </c>
      <c r="E3346" s="3" t="s">
        <v>10</v>
      </c>
      <c r="F3346" s="4">
        <v>60.5</v>
      </c>
      <c r="G3346" s="4"/>
      <c r="H3346" s="4">
        <f t="shared" si="324"/>
        <v>60.5</v>
      </c>
    </row>
    <row r="3347" ht="14.25" spans="1:8">
      <c r="A3347" s="3" t="str">
        <f>"12401211103"</f>
        <v>12401211103</v>
      </c>
      <c r="B3347" s="3">
        <v>2</v>
      </c>
      <c r="C3347" s="3">
        <v>111</v>
      </c>
      <c r="D3347" s="3">
        <v>3</v>
      </c>
      <c r="E3347" s="3" t="s">
        <v>10</v>
      </c>
      <c r="F3347" s="3">
        <v>0</v>
      </c>
      <c r="G3347" s="4"/>
      <c r="H3347" s="3">
        <v>0</v>
      </c>
    </row>
    <row r="3348" ht="14.25" spans="1:8">
      <c r="A3348" s="3" t="str">
        <f>"12401211104"</f>
        <v>12401211104</v>
      </c>
      <c r="B3348" s="3">
        <v>2</v>
      </c>
      <c r="C3348" s="3">
        <v>111</v>
      </c>
      <c r="D3348" s="3">
        <v>4</v>
      </c>
      <c r="E3348" s="3" t="s">
        <v>10</v>
      </c>
      <c r="F3348" s="3">
        <v>0</v>
      </c>
      <c r="G3348" s="4"/>
      <c r="H3348" s="3">
        <v>0</v>
      </c>
    </row>
    <row r="3349" ht="14.25" spans="1:8">
      <c r="A3349" s="3" t="str">
        <f>"12401211105"</f>
        <v>12401211105</v>
      </c>
      <c r="B3349" s="3">
        <v>2</v>
      </c>
      <c r="C3349" s="3">
        <v>111</v>
      </c>
      <c r="D3349" s="3">
        <v>5</v>
      </c>
      <c r="E3349" s="3" t="s">
        <v>10</v>
      </c>
      <c r="F3349" s="4">
        <v>74</v>
      </c>
      <c r="G3349" s="4"/>
      <c r="H3349" s="4">
        <f t="shared" ref="H3349:H3357" si="325">F3349+G3349</f>
        <v>74</v>
      </c>
    </row>
    <row r="3350" ht="14.25" spans="1:8">
      <c r="A3350" s="3" t="str">
        <f>"12401211106"</f>
        <v>12401211106</v>
      </c>
      <c r="B3350" s="3">
        <v>2</v>
      </c>
      <c r="C3350" s="3">
        <v>111</v>
      </c>
      <c r="D3350" s="3">
        <v>6</v>
      </c>
      <c r="E3350" s="3" t="s">
        <v>10</v>
      </c>
      <c r="F3350" s="4">
        <v>78</v>
      </c>
      <c r="G3350" s="4"/>
      <c r="H3350" s="4">
        <f t="shared" si="325"/>
        <v>78</v>
      </c>
    </row>
    <row r="3351" ht="14.25" spans="1:8">
      <c r="A3351" s="3" t="str">
        <f>"12401211107"</f>
        <v>12401211107</v>
      </c>
      <c r="B3351" s="3">
        <v>2</v>
      </c>
      <c r="C3351" s="3">
        <v>111</v>
      </c>
      <c r="D3351" s="3">
        <v>7</v>
      </c>
      <c r="E3351" s="3" t="s">
        <v>10</v>
      </c>
      <c r="F3351" s="4">
        <v>68</v>
      </c>
      <c r="G3351" s="4"/>
      <c r="H3351" s="4">
        <f t="shared" si="325"/>
        <v>68</v>
      </c>
    </row>
    <row r="3352" ht="14.25" spans="1:8">
      <c r="A3352" s="3" t="str">
        <f>"12401211108"</f>
        <v>12401211108</v>
      </c>
      <c r="B3352" s="3">
        <v>2</v>
      </c>
      <c r="C3352" s="3">
        <v>111</v>
      </c>
      <c r="D3352" s="3">
        <v>8</v>
      </c>
      <c r="E3352" s="3" t="s">
        <v>10</v>
      </c>
      <c r="F3352" s="4">
        <v>76.5</v>
      </c>
      <c r="G3352" s="4"/>
      <c r="H3352" s="4">
        <f t="shared" si="325"/>
        <v>76.5</v>
      </c>
    </row>
    <row r="3353" ht="14.25" spans="1:8">
      <c r="A3353" s="3" t="str">
        <f>"12401211109"</f>
        <v>12401211109</v>
      </c>
      <c r="B3353" s="3">
        <v>2</v>
      </c>
      <c r="C3353" s="3">
        <v>111</v>
      </c>
      <c r="D3353" s="3">
        <v>9</v>
      </c>
      <c r="E3353" s="3" t="s">
        <v>10</v>
      </c>
      <c r="F3353" s="4">
        <v>75</v>
      </c>
      <c r="G3353" s="4"/>
      <c r="H3353" s="4">
        <f t="shared" si="325"/>
        <v>75</v>
      </c>
    </row>
    <row r="3354" ht="14.25" spans="1:8">
      <c r="A3354" s="3" t="str">
        <f>"12401211110"</f>
        <v>12401211110</v>
      </c>
      <c r="B3354" s="3">
        <v>2</v>
      </c>
      <c r="C3354" s="3">
        <v>111</v>
      </c>
      <c r="D3354" s="3">
        <v>10</v>
      </c>
      <c r="E3354" s="3" t="s">
        <v>10</v>
      </c>
      <c r="F3354" s="4">
        <v>74</v>
      </c>
      <c r="G3354" s="4"/>
      <c r="H3354" s="4">
        <f t="shared" si="325"/>
        <v>74</v>
      </c>
    </row>
    <row r="3355" ht="14.25" spans="1:8">
      <c r="A3355" s="3" t="str">
        <f>"12401211111"</f>
        <v>12401211111</v>
      </c>
      <c r="B3355" s="3">
        <v>2</v>
      </c>
      <c r="C3355" s="3">
        <v>111</v>
      </c>
      <c r="D3355" s="3">
        <v>11</v>
      </c>
      <c r="E3355" s="3" t="s">
        <v>10</v>
      </c>
      <c r="F3355" s="4">
        <v>54.5</v>
      </c>
      <c r="G3355" s="4"/>
      <c r="H3355" s="4">
        <f t="shared" si="325"/>
        <v>54.5</v>
      </c>
    </row>
    <row r="3356" ht="14.25" spans="1:8">
      <c r="A3356" s="3" t="str">
        <f>"12401211112"</f>
        <v>12401211112</v>
      </c>
      <c r="B3356" s="3">
        <v>2</v>
      </c>
      <c r="C3356" s="3">
        <v>111</v>
      </c>
      <c r="D3356" s="3">
        <v>12</v>
      </c>
      <c r="E3356" s="3" t="s">
        <v>10</v>
      </c>
      <c r="F3356" s="4">
        <v>77.5</v>
      </c>
      <c r="G3356" s="4"/>
      <c r="H3356" s="4">
        <f t="shared" si="325"/>
        <v>77.5</v>
      </c>
    </row>
    <row r="3357" ht="14.25" spans="1:8">
      <c r="A3357" s="3" t="str">
        <f>"12401211113"</f>
        <v>12401211113</v>
      </c>
      <c r="B3357" s="3">
        <v>2</v>
      </c>
      <c r="C3357" s="3">
        <v>111</v>
      </c>
      <c r="D3357" s="3">
        <v>13</v>
      </c>
      <c r="E3357" s="3" t="s">
        <v>10</v>
      </c>
      <c r="F3357" s="4">
        <v>64</v>
      </c>
      <c r="G3357" s="4"/>
      <c r="H3357" s="4">
        <f t="shared" si="325"/>
        <v>64</v>
      </c>
    </row>
    <row r="3358" ht="14.25" spans="1:8">
      <c r="A3358" s="3" t="str">
        <f>"12401211114"</f>
        <v>12401211114</v>
      </c>
      <c r="B3358" s="3">
        <v>2</v>
      </c>
      <c r="C3358" s="3">
        <v>111</v>
      </c>
      <c r="D3358" s="3">
        <v>14</v>
      </c>
      <c r="E3358" s="3" t="s">
        <v>10</v>
      </c>
      <c r="F3358" s="3">
        <v>0</v>
      </c>
      <c r="G3358" s="4"/>
      <c r="H3358" s="3">
        <v>0</v>
      </c>
    </row>
    <row r="3359" ht="14.25" spans="1:8">
      <c r="A3359" s="3" t="str">
        <f>"12401211115"</f>
        <v>12401211115</v>
      </c>
      <c r="B3359" s="3">
        <v>2</v>
      </c>
      <c r="C3359" s="3">
        <v>111</v>
      </c>
      <c r="D3359" s="3">
        <v>15</v>
      </c>
      <c r="E3359" s="3" t="s">
        <v>10</v>
      </c>
      <c r="F3359" s="3">
        <v>0</v>
      </c>
      <c r="G3359" s="4"/>
      <c r="H3359" s="3">
        <v>0</v>
      </c>
    </row>
    <row r="3360" ht="14.25" spans="1:8">
      <c r="A3360" s="3" t="str">
        <f>"12401211116"</f>
        <v>12401211116</v>
      </c>
      <c r="B3360" s="3">
        <v>2</v>
      </c>
      <c r="C3360" s="3">
        <v>111</v>
      </c>
      <c r="D3360" s="3">
        <v>16</v>
      </c>
      <c r="E3360" s="3" t="s">
        <v>10</v>
      </c>
      <c r="F3360" s="4">
        <v>77.5</v>
      </c>
      <c r="G3360" s="4"/>
      <c r="H3360" s="4">
        <f t="shared" ref="H3360:H3365" si="326">F3360+G3360</f>
        <v>77.5</v>
      </c>
    </row>
    <row r="3361" ht="14.25" spans="1:8">
      <c r="A3361" s="3" t="str">
        <f>"12401211117"</f>
        <v>12401211117</v>
      </c>
      <c r="B3361" s="3">
        <v>2</v>
      </c>
      <c r="C3361" s="3">
        <v>111</v>
      </c>
      <c r="D3361" s="3">
        <v>17</v>
      </c>
      <c r="E3361" s="3" t="s">
        <v>10</v>
      </c>
      <c r="F3361" s="3">
        <v>0</v>
      </c>
      <c r="G3361" s="4"/>
      <c r="H3361" s="3">
        <v>0</v>
      </c>
    </row>
    <row r="3362" ht="14.25" spans="1:8">
      <c r="A3362" s="3" t="str">
        <f>"12402211118"</f>
        <v>12402211118</v>
      </c>
      <c r="B3362" s="3">
        <v>2</v>
      </c>
      <c r="C3362" s="3">
        <v>111</v>
      </c>
      <c r="D3362" s="3">
        <v>18</v>
      </c>
      <c r="E3362" s="3" t="s">
        <v>10</v>
      </c>
      <c r="F3362" s="4">
        <v>57.5</v>
      </c>
      <c r="G3362" s="4"/>
      <c r="H3362" s="4">
        <f t="shared" si="326"/>
        <v>57.5</v>
      </c>
    </row>
    <row r="3363" ht="14.25" spans="1:8">
      <c r="A3363" s="3" t="str">
        <f>"12402211119"</f>
        <v>12402211119</v>
      </c>
      <c r="B3363" s="3">
        <v>2</v>
      </c>
      <c r="C3363" s="3">
        <v>111</v>
      </c>
      <c r="D3363" s="3">
        <v>19</v>
      </c>
      <c r="E3363" s="3" t="s">
        <v>10</v>
      </c>
      <c r="F3363" s="3">
        <v>0</v>
      </c>
      <c r="G3363" s="4"/>
      <c r="H3363" s="3">
        <v>0</v>
      </c>
    </row>
    <row r="3364" ht="14.25" spans="1:8">
      <c r="A3364" s="3" t="str">
        <f>"12402211120"</f>
        <v>12402211120</v>
      </c>
      <c r="B3364" s="3">
        <v>2</v>
      </c>
      <c r="C3364" s="3">
        <v>111</v>
      </c>
      <c r="D3364" s="3">
        <v>20</v>
      </c>
      <c r="E3364" s="3" t="s">
        <v>10</v>
      </c>
      <c r="F3364" s="3">
        <v>0</v>
      </c>
      <c r="G3364" s="4"/>
      <c r="H3364" s="3">
        <v>0</v>
      </c>
    </row>
    <row r="3365" ht="14.25" spans="1:8">
      <c r="A3365" s="3" t="str">
        <f>"12402211121"</f>
        <v>12402211121</v>
      </c>
      <c r="B3365" s="3">
        <v>2</v>
      </c>
      <c r="C3365" s="3">
        <v>111</v>
      </c>
      <c r="D3365" s="3">
        <v>21</v>
      </c>
      <c r="E3365" s="3" t="s">
        <v>10</v>
      </c>
      <c r="F3365" s="4">
        <v>60</v>
      </c>
      <c r="G3365" s="4"/>
      <c r="H3365" s="4">
        <f t="shared" si="326"/>
        <v>60</v>
      </c>
    </row>
    <row r="3366" ht="14.25" spans="1:8">
      <c r="A3366" s="3" t="str">
        <f>"12402211122"</f>
        <v>12402211122</v>
      </c>
      <c r="B3366" s="3">
        <v>2</v>
      </c>
      <c r="C3366" s="3">
        <v>111</v>
      </c>
      <c r="D3366" s="3">
        <v>22</v>
      </c>
      <c r="E3366" s="3" t="s">
        <v>10</v>
      </c>
      <c r="F3366" s="3">
        <v>0</v>
      </c>
      <c r="G3366" s="4"/>
      <c r="H3366" s="3">
        <v>0</v>
      </c>
    </row>
    <row r="3367" ht="14.25" spans="1:8">
      <c r="A3367" s="3" t="str">
        <f>"12402211123"</f>
        <v>12402211123</v>
      </c>
      <c r="B3367" s="3">
        <v>2</v>
      </c>
      <c r="C3367" s="3">
        <v>111</v>
      </c>
      <c r="D3367" s="3">
        <v>23</v>
      </c>
      <c r="E3367" s="3" t="s">
        <v>10</v>
      </c>
      <c r="F3367" s="3">
        <v>0</v>
      </c>
      <c r="G3367" s="4"/>
      <c r="H3367" s="3">
        <v>0</v>
      </c>
    </row>
    <row r="3368" ht="14.25" spans="1:8">
      <c r="A3368" s="3" t="str">
        <f>"12402211124"</f>
        <v>12402211124</v>
      </c>
      <c r="B3368" s="3">
        <v>2</v>
      </c>
      <c r="C3368" s="3">
        <v>111</v>
      </c>
      <c r="D3368" s="3">
        <v>24</v>
      </c>
      <c r="E3368" s="3" t="s">
        <v>10</v>
      </c>
      <c r="F3368" s="4">
        <v>77.5</v>
      </c>
      <c r="G3368" s="4"/>
      <c r="H3368" s="4">
        <f t="shared" ref="H3368:H3372" si="327">F3368+G3368</f>
        <v>77.5</v>
      </c>
    </row>
    <row r="3369" ht="14.25" spans="1:8">
      <c r="A3369" s="3" t="str">
        <f>"12402211125"</f>
        <v>12402211125</v>
      </c>
      <c r="B3369" s="3">
        <v>2</v>
      </c>
      <c r="C3369" s="3">
        <v>111</v>
      </c>
      <c r="D3369" s="3">
        <v>25</v>
      </c>
      <c r="E3369" s="3" t="s">
        <v>10</v>
      </c>
      <c r="F3369" s="4">
        <v>82</v>
      </c>
      <c r="G3369" s="4"/>
      <c r="H3369" s="4">
        <f t="shared" si="327"/>
        <v>82</v>
      </c>
    </row>
    <row r="3370" ht="14.25" spans="1:8">
      <c r="A3370" s="3" t="str">
        <f>"12403211126"</f>
        <v>12403211126</v>
      </c>
      <c r="B3370" s="3">
        <v>2</v>
      </c>
      <c r="C3370" s="3">
        <v>111</v>
      </c>
      <c r="D3370" s="3">
        <v>26</v>
      </c>
      <c r="E3370" s="3" t="s">
        <v>10</v>
      </c>
      <c r="F3370" s="4">
        <v>42.5</v>
      </c>
      <c r="G3370" s="4"/>
      <c r="H3370" s="4">
        <f t="shared" si="327"/>
        <v>42.5</v>
      </c>
    </row>
    <row r="3371" ht="14.25" spans="1:8">
      <c r="A3371" s="3" t="str">
        <f>"12403211127"</f>
        <v>12403211127</v>
      </c>
      <c r="B3371" s="3">
        <v>2</v>
      </c>
      <c r="C3371" s="3">
        <v>111</v>
      </c>
      <c r="D3371" s="3">
        <v>27</v>
      </c>
      <c r="E3371" s="3" t="s">
        <v>10</v>
      </c>
      <c r="F3371" s="4">
        <v>77</v>
      </c>
      <c r="G3371" s="4"/>
      <c r="H3371" s="4">
        <f t="shared" si="327"/>
        <v>77</v>
      </c>
    </row>
    <row r="3372" ht="14.25" spans="1:8">
      <c r="A3372" s="3" t="str">
        <f>"12403211128"</f>
        <v>12403211128</v>
      </c>
      <c r="B3372" s="3">
        <v>2</v>
      </c>
      <c r="C3372" s="3">
        <v>111</v>
      </c>
      <c r="D3372" s="3">
        <v>28</v>
      </c>
      <c r="E3372" s="3" t="s">
        <v>10</v>
      </c>
      <c r="F3372" s="4">
        <v>51</v>
      </c>
      <c r="G3372" s="4"/>
      <c r="H3372" s="4">
        <f t="shared" si="327"/>
        <v>51</v>
      </c>
    </row>
    <row r="3373" ht="14.25" spans="1:8">
      <c r="A3373" s="3" t="str">
        <f>"12403211129"</f>
        <v>12403211129</v>
      </c>
      <c r="B3373" s="3">
        <v>2</v>
      </c>
      <c r="C3373" s="3">
        <v>111</v>
      </c>
      <c r="D3373" s="3">
        <v>29</v>
      </c>
      <c r="E3373" s="3" t="s">
        <v>10</v>
      </c>
      <c r="F3373" s="3">
        <v>0</v>
      </c>
      <c r="G3373" s="4"/>
      <c r="H3373" s="3">
        <v>0</v>
      </c>
    </row>
    <row r="3374" ht="14.25" spans="1:8">
      <c r="A3374" s="3" t="str">
        <f>"12403211130"</f>
        <v>12403211130</v>
      </c>
      <c r="B3374" s="3">
        <v>2</v>
      </c>
      <c r="C3374" s="3">
        <v>111</v>
      </c>
      <c r="D3374" s="3">
        <v>30</v>
      </c>
      <c r="E3374" s="3" t="s">
        <v>10</v>
      </c>
      <c r="F3374" s="3">
        <v>0</v>
      </c>
      <c r="G3374" s="4"/>
      <c r="H3374" s="3">
        <v>0</v>
      </c>
    </row>
    <row r="3375" ht="14.25" spans="1:8">
      <c r="A3375" s="3" t="str">
        <f>"12403211201"</f>
        <v>12403211201</v>
      </c>
      <c r="B3375" s="3">
        <v>2</v>
      </c>
      <c r="C3375" s="3">
        <v>112</v>
      </c>
      <c r="D3375" s="3">
        <v>1</v>
      </c>
      <c r="E3375" s="3" t="s">
        <v>10</v>
      </c>
      <c r="F3375" s="4">
        <v>83.5</v>
      </c>
      <c r="G3375" s="4"/>
      <c r="H3375" s="4">
        <f t="shared" ref="H3375:H3377" si="328">F3375+G3375</f>
        <v>83.5</v>
      </c>
    </row>
    <row r="3376" ht="14.25" spans="1:8">
      <c r="A3376" s="3" t="str">
        <f>"12403211202"</f>
        <v>12403211202</v>
      </c>
      <c r="B3376" s="3">
        <v>2</v>
      </c>
      <c r="C3376" s="3">
        <v>112</v>
      </c>
      <c r="D3376" s="3">
        <v>2</v>
      </c>
      <c r="E3376" s="3" t="s">
        <v>10</v>
      </c>
      <c r="F3376" s="4">
        <v>75</v>
      </c>
      <c r="G3376" s="4"/>
      <c r="H3376" s="4">
        <f t="shared" si="328"/>
        <v>75</v>
      </c>
    </row>
    <row r="3377" ht="14.25" spans="1:8">
      <c r="A3377" s="3" t="str">
        <f>"12403211203"</f>
        <v>12403211203</v>
      </c>
      <c r="B3377" s="3">
        <v>2</v>
      </c>
      <c r="C3377" s="3">
        <v>112</v>
      </c>
      <c r="D3377" s="3">
        <v>3</v>
      </c>
      <c r="E3377" s="3" t="s">
        <v>10</v>
      </c>
      <c r="F3377" s="4">
        <v>74.5</v>
      </c>
      <c r="G3377" s="4"/>
      <c r="H3377" s="4">
        <f t="shared" si="328"/>
        <v>74.5</v>
      </c>
    </row>
    <row r="3378" ht="14.25" spans="1:8">
      <c r="A3378" s="3" t="str">
        <f>"12403211204"</f>
        <v>12403211204</v>
      </c>
      <c r="B3378" s="3">
        <v>2</v>
      </c>
      <c r="C3378" s="3">
        <v>112</v>
      </c>
      <c r="D3378" s="3">
        <v>4</v>
      </c>
      <c r="E3378" s="3" t="s">
        <v>10</v>
      </c>
      <c r="F3378" s="3">
        <v>0</v>
      </c>
      <c r="G3378" s="4"/>
      <c r="H3378" s="3">
        <v>0</v>
      </c>
    </row>
    <row r="3379" ht="14.25" spans="1:8">
      <c r="A3379" s="3" t="str">
        <f>"12403211205"</f>
        <v>12403211205</v>
      </c>
      <c r="B3379" s="3">
        <v>2</v>
      </c>
      <c r="C3379" s="3">
        <v>112</v>
      </c>
      <c r="D3379" s="3">
        <v>5</v>
      </c>
      <c r="E3379" s="3" t="s">
        <v>10</v>
      </c>
      <c r="F3379" s="4">
        <v>81.5</v>
      </c>
      <c r="G3379" s="4"/>
      <c r="H3379" s="4">
        <f t="shared" ref="H3379:H3387" si="329">F3379+G3379</f>
        <v>81.5</v>
      </c>
    </row>
    <row r="3380" ht="14.25" spans="1:8">
      <c r="A3380" s="3" t="str">
        <f>"12403211206"</f>
        <v>12403211206</v>
      </c>
      <c r="B3380" s="3">
        <v>2</v>
      </c>
      <c r="C3380" s="3">
        <v>112</v>
      </c>
      <c r="D3380" s="3">
        <v>6</v>
      </c>
      <c r="E3380" s="3" t="s">
        <v>10</v>
      </c>
      <c r="F3380" s="3">
        <v>0</v>
      </c>
      <c r="G3380" s="4"/>
      <c r="H3380" s="3">
        <v>0</v>
      </c>
    </row>
    <row r="3381" ht="14.25" spans="1:8">
      <c r="A3381" s="3" t="str">
        <f>"12403211207"</f>
        <v>12403211207</v>
      </c>
      <c r="B3381" s="3">
        <v>2</v>
      </c>
      <c r="C3381" s="3">
        <v>112</v>
      </c>
      <c r="D3381" s="3">
        <v>7</v>
      </c>
      <c r="E3381" s="3" t="s">
        <v>10</v>
      </c>
      <c r="F3381" s="4">
        <v>81.5</v>
      </c>
      <c r="G3381" s="4"/>
      <c r="H3381" s="4">
        <f t="shared" si="329"/>
        <v>81.5</v>
      </c>
    </row>
    <row r="3382" ht="14.25" spans="1:8">
      <c r="A3382" s="3" t="str">
        <f>"12404211208"</f>
        <v>12404211208</v>
      </c>
      <c r="B3382" s="3">
        <v>2</v>
      </c>
      <c r="C3382" s="3">
        <v>112</v>
      </c>
      <c r="D3382" s="3">
        <v>8</v>
      </c>
      <c r="E3382" s="3" t="s">
        <v>10</v>
      </c>
      <c r="F3382" s="4">
        <v>77</v>
      </c>
      <c r="G3382" s="4"/>
      <c r="H3382" s="4">
        <f t="shared" si="329"/>
        <v>77</v>
      </c>
    </row>
    <row r="3383" ht="14.25" spans="1:8">
      <c r="A3383" s="3" t="str">
        <f>"12404211209"</f>
        <v>12404211209</v>
      </c>
      <c r="B3383" s="3">
        <v>2</v>
      </c>
      <c r="C3383" s="3">
        <v>112</v>
      </c>
      <c r="D3383" s="3">
        <v>9</v>
      </c>
      <c r="E3383" s="3" t="s">
        <v>10</v>
      </c>
      <c r="F3383" s="4">
        <v>83.5</v>
      </c>
      <c r="G3383" s="4"/>
      <c r="H3383" s="4">
        <f t="shared" si="329"/>
        <v>83.5</v>
      </c>
    </row>
    <row r="3384" ht="14.25" spans="1:8">
      <c r="A3384" s="3" t="str">
        <f>"12404211210"</f>
        <v>12404211210</v>
      </c>
      <c r="B3384" s="3">
        <v>2</v>
      </c>
      <c r="C3384" s="3">
        <v>112</v>
      </c>
      <c r="D3384" s="3">
        <v>10</v>
      </c>
      <c r="E3384" s="3" t="s">
        <v>10</v>
      </c>
      <c r="F3384" s="4">
        <v>87</v>
      </c>
      <c r="G3384" s="4"/>
      <c r="H3384" s="4">
        <f t="shared" si="329"/>
        <v>87</v>
      </c>
    </row>
    <row r="3385" ht="14.25" spans="1:8">
      <c r="A3385" s="3" t="str">
        <f>"12404211211"</f>
        <v>12404211211</v>
      </c>
      <c r="B3385" s="3">
        <v>2</v>
      </c>
      <c r="C3385" s="3">
        <v>112</v>
      </c>
      <c r="D3385" s="3">
        <v>11</v>
      </c>
      <c r="E3385" s="3" t="s">
        <v>10</v>
      </c>
      <c r="F3385" s="4">
        <v>51.5</v>
      </c>
      <c r="G3385" s="4"/>
      <c r="H3385" s="4">
        <f t="shared" si="329"/>
        <v>51.5</v>
      </c>
    </row>
    <row r="3386" ht="14.25" spans="1:8">
      <c r="A3386" s="3" t="str">
        <f>"12405211212"</f>
        <v>12405211212</v>
      </c>
      <c r="B3386" s="3">
        <v>2</v>
      </c>
      <c r="C3386" s="3">
        <v>112</v>
      </c>
      <c r="D3386" s="3">
        <v>12</v>
      </c>
      <c r="E3386" s="3" t="s">
        <v>10</v>
      </c>
      <c r="F3386" s="4">
        <v>45</v>
      </c>
      <c r="G3386" s="4"/>
      <c r="H3386" s="4">
        <f t="shared" si="329"/>
        <v>45</v>
      </c>
    </row>
    <row r="3387" ht="14.25" spans="1:8">
      <c r="A3387" s="3" t="str">
        <f>"12405211213"</f>
        <v>12405211213</v>
      </c>
      <c r="B3387" s="3">
        <v>2</v>
      </c>
      <c r="C3387" s="3">
        <v>112</v>
      </c>
      <c r="D3387" s="3">
        <v>13</v>
      </c>
      <c r="E3387" s="3" t="s">
        <v>10</v>
      </c>
      <c r="F3387" s="4">
        <v>66</v>
      </c>
      <c r="G3387" s="4"/>
      <c r="H3387" s="4">
        <f t="shared" si="329"/>
        <v>66</v>
      </c>
    </row>
    <row r="3388" ht="14.25" spans="1:8">
      <c r="A3388" s="3" t="str">
        <f>"12405211214"</f>
        <v>12405211214</v>
      </c>
      <c r="B3388" s="3">
        <v>2</v>
      </c>
      <c r="C3388" s="3">
        <v>112</v>
      </c>
      <c r="D3388" s="3">
        <v>14</v>
      </c>
      <c r="E3388" s="3" t="s">
        <v>10</v>
      </c>
      <c r="F3388" s="3">
        <v>0</v>
      </c>
      <c r="G3388" s="4"/>
      <c r="H3388" s="3">
        <v>0</v>
      </c>
    </row>
    <row r="3389" ht="14.25" spans="1:8">
      <c r="A3389" s="3" t="str">
        <f>"12405211215"</f>
        <v>12405211215</v>
      </c>
      <c r="B3389" s="3">
        <v>2</v>
      </c>
      <c r="C3389" s="3">
        <v>112</v>
      </c>
      <c r="D3389" s="3">
        <v>15</v>
      </c>
      <c r="E3389" s="3" t="s">
        <v>10</v>
      </c>
      <c r="F3389" s="3">
        <v>0</v>
      </c>
      <c r="G3389" s="4"/>
      <c r="H3389" s="3">
        <v>0</v>
      </c>
    </row>
    <row r="3390" ht="14.25" spans="1:8">
      <c r="A3390" s="3" t="str">
        <f>"12405211216"</f>
        <v>12405211216</v>
      </c>
      <c r="B3390" s="3">
        <v>2</v>
      </c>
      <c r="C3390" s="3">
        <v>112</v>
      </c>
      <c r="D3390" s="3">
        <v>16</v>
      </c>
      <c r="E3390" s="3" t="s">
        <v>10</v>
      </c>
      <c r="F3390" s="4">
        <v>68.5</v>
      </c>
      <c r="G3390" s="4"/>
      <c r="H3390" s="4">
        <f t="shared" ref="H3390:H3392" si="330">F3390+G3390</f>
        <v>68.5</v>
      </c>
    </row>
    <row r="3391" ht="14.25" spans="1:8">
      <c r="A3391" s="3" t="str">
        <f>"12406211217"</f>
        <v>12406211217</v>
      </c>
      <c r="B3391" s="3">
        <v>2</v>
      </c>
      <c r="C3391" s="3">
        <v>112</v>
      </c>
      <c r="D3391" s="3">
        <v>17</v>
      </c>
      <c r="E3391" s="3" t="s">
        <v>10</v>
      </c>
      <c r="F3391" s="4">
        <v>58.5</v>
      </c>
      <c r="G3391" s="4"/>
      <c r="H3391" s="4">
        <f t="shared" si="330"/>
        <v>58.5</v>
      </c>
    </row>
    <row r="3392" ht="14.25" spans="1:8">
      <c r="A3392" s="3" t="str">
        <f>"12406211218"</f>
        <v>12406211218</v>
      </c>
      <c r="B3392" s="3">
        <v>2</v>
      </c>
      <c r="C3392" s="3">
        <v>112</v>
      </c>
      <c r="D3392" s="3">
        <v>18</v>
      </c>
      <c r="E3392" s="3" t="s">
        <v>10</v>
      </c>
      <c r="F3392" s="4">
        <v>70.5</v>
      </c>
      <c r="G3392" s="4"/>
      <c r="H3392" s="4">
        <f t="shared" si="330"/>
        <v>70.5</v>
      </c>
    </row>
    <row r="3393" ht="14.25" spans="1:8">
      <c r="A3393" s="3" t="str">
        <f>"12406211219"</f>
        <v>12406211219</v>
      </c>
      <c r="B3393" s="3">
        <v>2</v>
      </c>
      <c r="C3393" s="3">
        <v>112</v>
      </c>
      <c r="D3393" s="3">
        <v>19</v>
      </c>
      <c r="E3393" s="3" t="s">
        <v>10</v>
      </c>
      <c r="F3393" s="3">
        <v>0</v>
      </c>
      <c r="G3393" s="4"/>
      <c r="H3393" s="3">
        <v>0</v>
      </c>
    </row>
    <row r="3394" ht="14.25" spans="1:8">
      <c r="A3394" s="3" t="str">
        <f>"12406211220"</f>
        <v>12406211220</v>
      </c>
      <c r="B3394" s="3">
        <v>2</v>
      </c>
      <c r="C3394" s="3">
        <v>112</v>
      </c>
      <c r="D3394" s="3">
        <v>20</v>
      </c>
      <c r="E3394" s="3" t="s">
        <v>10</v>
      </c>
      <c r="F3394" s="3">
        <v>0</v>
      </c>
      <c r="G3394" s="4"/>
      <c r="H3394" s="3">
        <v>0</v>
      </c>
    </row>
    <row r="3395" ht="14.25" spans="1:8">
      <c r="A3395" s="3" t="str">
        <f>"12406211221"</f>
        <v>12406211221</v>
      </c>
      <c r="B3395" s="3">
        <v>2</v>
      </c>
      <c r="C3395" s="3">
        <v>112</v>
      </c>
      <c r="D3395" s="3">
        <v>21</v>
      </c>
      <c r="E3395" s="3" t="s">
        <v>10</v>
      </c>
      <c r="F3395" s="3">
        <v>0</v>
      </c>
      <c r="G3395" s="4"/>
      <c r="H3395" s="3">
        <v>0</v>
      </c>
    </row>
    <row r="3396" ht="14.25" spans="1:8">
      <c r="A3396" s="3" t="str">
        <f>"12406211222"</f>
        <v>12406211222</v>
      </c>
      <c r="B3396" s="3">
        <v>2</v>
      </c>
      <c r="C3396" s="3">
        <v>112</v>
      </c>
      <c r="D3396" s="3">
        <v>22</v>
      </c>
      <c r="E3396" s="3" t="s">
        <v>10</v>
      </c>
      <c r="F3396" s="4">
        <v>53</v>
      </c>
      <c r="G3396" s="4"/>
      <c r="H3396" s="4">
        <f t="shared" ref="H3396:H3401" si="331">F3396+G3396</f>
        <v>53</v>
      </c>
    </row>
    <row r="3397" ht="14.25" spans="1:8">
      <c r="A3397" s="3" t="str">
        <f>"12407211223"</f>
        <v>12407211223</v>
      </c>
      <c r="B3397" s="3">
        <v>2</v>
      </c>
      <c r="C3397" s="3">
        <v>112</v>
      </c>
      <c r="D3397" s="3">
        <v>23</v>
      </c>
      <c r="E3397" s="3" t="s">
        <v>10</v>
      </c>
      <c r="F3397" s="3">
        <v>0</v>
      </c>
      <c r="G3397" s="4"/>
      <c r="H3397" s="3">
        <v>0</v>
      </c>
    </row>
    <row r="3398" ht="14.25" spans="1:8">
      <c r="A3398" s="3" t="str">
        <f>"12407211224"</f>
        <v>12407211224</v>
      </c>
      <c r="B3398" s="3">
        <v>2</v>
      </c>
      <c r="C3398" s="3">
        <v>112</v>
      </c>
      <c r="D3398" s="3">
        <v>24</v>
      </c>
      <c r="E3398" s="3" t="s">
        <v>10</v>
      </c>
      <c r="F3398" s="3">
        <v>0</v>
      </c>
      <c r="G3398" s="4"/>
      <c r="H3398" s="3">
        <v>0</v>
      </c>
    </row>
    <row r="3399" ht="14.25" spans="1:8">
      <c r="A3399" s="3" t="str">
        <f>"12407211225"</f>
        <v>12407211225</v>
      </c>
      <c r="B3399" s="3">
        <v>2</v>
      </c>
      <c r="C3399" s="3">
        <v>112</v>
      </c>
      <c r="D3399" s="3">
        <v>25</v>
      </c>
      <c r="E3399" s="3" t="s">
        <v>10</v>
      </c>
      <c r="F3399" s="4">
        <v>77</v>
      </c>
      <c r="G3399" s="4"/>
      <c r="H3399" s="4">
        <f t="shared" si="331"/>
        <v>77</v>
      </c>
    </row>
    <row r="3400" ht="14.25" spans="1:8">
      <c r="A3400" s="3" t="str">
        <f>"12407211226"</f>
        <v>12407211226</v>
      </c>
      <c r="B3400" s="3">
        <v>2</v>
      </c>
      <c r="C3400" s="3">
        <v>112</v>
      </c>
      <c r="D3400" s="3">
        <v>26</v>
      </c>
      <c r="E3400" s="3" t="s">
        <v>10</v>
      </c>
      <c r="F3400" s="3">
        <v>0</v>
      </c>
      <c r="G3400" s="4"/>
      <c r="H3400" s="3">
        <v>0</v>
      </c>
    </row>
    <row r="3401" ht="14.25" spans="1:8">
      <c r="A3401" s="3" t="str">
        <f>"12407211227"</f>
        <v>12407211227</v>
      </c>
      <c r="B3401" s="3">
        <v>2</v>
      </c>
      <c r="C3401" s="3">
        <v>112</v>
      </c>
      <c r="D3401" s="3">
        <v>27</v>
      </c>
      <c r="E3401" s="3" t="s">
        <v>10</v>
      </c>
      <c r="F3401" s="4">
        <v>55</v>
      </c>
      <c r="G3401" s="4"/>
      <c r="H3401" s="4">
        <f t="shared" si="331"/>
        <v>55</v>
      </c>
    </row>
    <row r="3402" ht="14.25" spans="1:8">
      <c r="A3402" s="3" t="str">
        <f>"12407211228"</f>
        <v>12407211228</v>
      </c>
      <c r="B3402" s="3">
        <v>2</v>
      </c>
      <c r="C3402" s="3">
        <v>112</v>
      </c>
      <c r="D3402" s="3">
        <v>28</v>
      </c>
      <c r="E3402" s="3" t="s">
        <v>10</v>
      </c>
      <c r="F3402" s="3">
        <v>0</v>
      </c>
      <c r="G3402" s="4"/>
      <c r="H3402" s="3">
        <v>0</v>
      </c>
    </row>
    <row r="3403" ht="14.25" spans="1:8">
      <c r="A3403" s="3" t="str">
        <f>"12407211229"</f>
        <v>12407211229</v>
      </c>
      <c r="B3403" s="3">
        <v>2</v>
      </c>
      <c r="C3403" s="3">
        <v>112</v>
      </c>
      <c r="D3403" s="3">
        <v>29</v>
      </c>
      <c r="E3403" s="3" t="s">
        <v>10</v>
      </c>
      <c r="F3403" s="3">
        <v>0</v>
      </c>
      <c r="G3403" s="4"/>
      <c r="H3403" s="3">
        <v>0</v>
      </c>
    </row>
    <row r="3404" ht="14.25" spans="1:8">
      <c r="A3404" s="3" t="str">
        <f>"12501211230"</f>
        <v>12501211230</v>
      </c>
      <c r="B3404" s="3">
        <v>2</v>
      </c>
      <c r="C3404" s="3">
        <v>112</v>
      </c>
      <c r="D3404" s="3">
        <v>30</v>
      </c>
      <c r="E3404" s="3" t="s">
        <v>10</v>
      </c>
      <c r="F3404" s="4">
        <v>80</v>
      </c>
      <c r="G3404" s="4"/>
      <c r="H3404" s="4">
        <f t="shared" ref="H3404:H3412" si="332">F3404+G3404</f>
        <v>80</v>
      </c>
    </row>
    <row r="3405" ht="14.25" spans="1:8">
      <c r="A3405" s="3" t="str">
        <f>"12501211301"</f>
        <v>12501211301</v>
      </c>
      <c r="B3405" s="3">
        <v>2</v>
      </c>
      <c r="C3405" s="3">
        <v>113</v>
      </c>
      <c r="D3405" s="3">
        <v>1</v>
      </c>
      <c r="E3405" s="3" t="s">
        <v>10</v>
      </c>
      <c r="F3405" s="3">
        <v>0</v>
      </c>
      <c r="G3405" s="4"/>
      <c r="H3405" s="3">
        <v>0</v>
      </c>
    </row>
    <row r="3406" ht="14.25" spans="1:8">
      <c r="A3406" s="3" t="str">
        <f>"12501211302"</f>
        <v>12501211302</v>
      </c>
      <c r="B3406" s="3">
        <v>2</v>
      </c>
      <c r="C3406" s="3">
        <v>113</v>
      </c>
      <c r="D3406" s="3">
        <v>2</v>
      </c>
      <c r="E3406" s="3" t="s">
        <v>10</v>
      </c>
      <c r="F3406" s="4">
        <v>66</v>
      </c>
      <c r="G3406" s="4"/>
      <c r="H3406" s="4">
        <f t="shared" si="332"/>
        <v>66</v>
      </c>
    </row>
    <row r="3407" ht="14.25" spans="1:8">
      <c r="A3407" s="3" t="str">
        <f>"12501211303"</f>
        <v>12501211303</v>
      </c>
      <c r="B3407" s="3">
        <v>2</v>
      </c>
      <c r="C3407" s="3">
        <v>113</v>
      </c>
      <c r="D3407" s="3">
        <v>3</v>
      </c>
      <c r="E3407" s="3" t="s">
        <v>10</v>
      </c>
      <c r="F3407" s="3">
        <v>0</v>
      </c>
      <c r="G3407" s="4"/>
      <c r="H3407" s="3">
        <v>0</v>
      </c>
    </row>
    <row r="3408" ht="14.25" spans="1:8">
      <c r="A3408" s="3" t="str">
        <f>"12501211304"</f>
        <v>12501211304</v>
      </c>
      <c r="B3408" s="3">
        <v>2</v>
      </c>
      <c r="C3408" s="3">
        <v>113</v>
      </c>
      <c r="D3408" s="3">
        <v>4</v>
      </c>
      <c r="E3408" s="3" t="s">
        <v>10</v>
      </c>
      <c r="F3408" s="4">
        <v>72.5</v>
      </c>
      <c r="G3408" s="4"/>
      <c r="H3408" s="4">
        <f t="shared" si="332"/>
        <v>72.5</v>
      </c>
    </row>
    <row r="3409" ht="14.25" spans="1:8">
      <c r="A3409" s="3" t="str">
        <f>"12501211305"</f>
        <v>12501211305</v>
      </c>
      <c r="B3409" s="3">
        <v>2</v>
      </c>
      <c r="C3409" s="3">
        <v>113</v>
      </c>
      <c r="D3409" s="3">
        <v>5</v>
      </c>
      <c r="E3409" s="3" t="s">
        <v>10</v>
      </c>
      <c r="F3409" s="4">
        <v>83.5</v>
      </c>
      <c r="G3409" s="4"/>
      <c r="H3409" s="4">
        <f t="shared" si="332"/>
        <v>83.5</v>
      </c>
    </row>
    <row r="3410" ht="14.25" spans="1:8">
      <c r="A3410" s="3" t="str">
        <f>"12501211306"</f>
        <v>12501211306</v>
      </c>
      <c r="B3410" s="3">
        <v>2</v>
      </c>
      <c r="C3410" s="3">
        <v>113</v>
      </c>
      <c r="D3410" s="3">
        <v>6</v>
      </c>
      <c r="E3410" s="3" t="s">
        <v>10</v>
      </c>
      <c r="F3410" s="4">
        <v>78.5</v>
      </c>
      <c r="G3410" s="4"/>
      <c r="H3410" s="4">
        <f t="shared" si="332"/>
        <v>78.5</v>
      </c>
    </row>
    <row r="3411" ht="14.25" spans="1:8">
      <c r="A3411" s="3" t="str">
        <f>"12501211307"</f>
        <v>12501211307</v>
      </c>
      <c r="B3411" s="3">
        <v>2</v>
      </c>
      <c r="C3411" s="3">
        <v>113</v>
      </c>
      <c r="D3411" s="3">
        <v>7</v>
      </c>
      <c r="E3411" s="3" t="s">
        <v>10</v>
      </c>
      <c r="F3411" s="4">
        <v>44.5</v>
      </c>
      <c r="G3411" s="4"/>
      <c r="H3411" s="4">
        <f t="shared" si="332"/>
        <v>44.5</v>
      </c>
    </row>
    <row r="3412" ht="14.25" spans="1:8">
      <c r="A3412" s="3" t="str">
        <f>"12501211308"</f>
        <v>12501211308</v>
      </c>
      <c r="B3412" s="3">
        <v>2</v>
      </c>
      <c r="C3412" s="3">
        <v>113</v>
      </c>
      <c r="D3412" s="3">
        <v>8</v>
      </c>
      <c r="E3412" s="3" t="s">
        <v>10</v>
      </c>
      <c r="F3412" s="4">
        <v>82.5</v>
      </c>
      <c r="G3412" s="4"/>
      <c r="H3412" s="4">
        <f t="shared" si="332"/>
        <v>82.5</v>
      </c>
    </row>
    <row r="3413" ht="14.25" spans="1:8">
      <c r="A3413" s="3" t="str">
        <f>"12501211309"</f>
        <v>12501211309</v>
      </c>
      <c r="B3413" s="3">
        <v>2</v>
      </c>
      <c r="C3413" s="3">
        <v>113</v>
      </c>
      <c r="D3413" s="3">
        <v>9</v>
      </c>
      <c r="E3413" s="3" t="s">
        <v>10</v>
      </c>
      <c r="F3413" s="3">
        <v>0</v>
      </c>
      <c r="G3413" s="4"/>
      <c r="H3413" s="3">
        <v>0</v>
      </c>
    </row>
    <row r="3414" ht="14.25" spans="1:8">
      <c r="A3414" s="3" t="str">
        <f>"12501211310"</f>
        <v>12501211310</v>
      </c>
      <c r="B3414" s="3">
        <v>2</v>
      </c>
      <c r="C3414" s="3">
        <v>113</v>
      </c>
      <c r="D3414" s="3">
        <v>10</v>
      </c>
      <c r="E3414" s="3" t="s">
        <v>10</v>
      </c>
      <c r="F3414" s="4">
        <v>58</v>
      </c>
      <c r="G3414" s="4"/>
      <c r="H3414" s="4">
        <f t="shared" ref="H3414:H3420" si="333">F3414+G3414</f>
        <v>58</v>
      </c>
    </row>
    <row r="3415" ht="14.25" spans="1:8">
      <c r="A3415" s="3" t="str">
        <f>"12501211311"</f>
        <v>12501211311</v>
      </c>
      <c r="B3415" s="3">
        <v>2</v>
      </c>
      <c r="C3415" s="3">
        <v>113</v>
      </c>
      <c r="D3415" s="3">
        <v>11</v>
      </c>
      <c r="E3415" s="3" t="s">
        <v>10</v>
      </c>
      <c r="F3415" s="4">
        <v>50.5</v>
      </c>
      <c r="G3415" s="4"/>
      <c r="H3415" s="4">
        <f t="shared" si="333"/>
        <v>50.5</v>
      </c>
    </row>
    <row r="3416" ht="14.25" spans="1:8">
      <c r="A3416" s="3" t="str">
        <f>"12501211312"</f>
        <v>12501211312</v>
      </c>
      <c r="B3416" s="3">
        <v>2</v>
      </c>
      <c r="C3416" s="3">
        <v>113</v>
      </c>
      <c r="D3416" s="3">
        <v>12</v>
      </c>
      <c r="E3416" s="3" t="s">
        <v>10</v>
      </c>
      <c r="F3416" s="4">
        <v>75.5</v>
      </c>
      <c r="G3416" s="4"/>
      <c r="H3416" s="4">
        <f t="shared" si="333"/>
        <v>75.5</v>
      </c>
    </row>
    <row r="3417" ht="14.25" spans="1:8">
      <c r="A3417" s="3" t="str">
        <f>"12501211313"</f>
        <v>12501211313</v>
      </c>
      <c r="B3417" s="3">
        <v>2</v>
      </c>
      <c r="C3417" s="3">
        <v>113</v>
      </c>
      <c r="D3417" s="3">
        <v>13</v>
      </c>
      <c r="E3417" s="3" t="s">
        <v>10</v>
      </c>
      <c r="F3417" s="4">
        <v>50.5</v>
      </c>
      <c r="G3417" s="4"/>
      <c r="H3417" s="4">
        <f t="shared" si="333"/>
        <v>50.5</v>
      </c>
    </row>
    <row r="3418" ht="14.25" spans="1:8">
      <c r="A3418" s="3" t="str">
        <f>"12501211314"</f>
        <v>12501211314</v>
      </c>
      <c r="B3418" s="3">
        <v>2</v>
      </c>
      <c r="C3418" s="3">
        <v>113</v>
      </c>
      <c r="D3418" s="3">
        <v>14</v>
      </c>
      <c r="E3418" s="3" t="s">
        <v>10</v>
      </c>
      <c r="F3418" s="4">
        <v>49.5</v>
      </c>
      <c r="G3418" s="4"/>
      <c r="H3418" s="4">
        <f t="shared" si="333"/>
        <v>49.5</v>
      </c>
    </row>
    <row r="3419" ht="14.25" spans="1:8">
      <c r="A3419" s="3" t="str">
        <f>"12501211315"</f>
        <v>12501211315</v>
      </c>
      <c r="B3419" s="3">
        <v>2</v>
      </c>
      <c r="C3419" s="3">
        <v>113</v>
      </c>
      <c r="D3419" s="3">
        <v>15</v>
      </c>
      <c r="E3419" s="3" t="s">
        <v>10</v>
      </c>
      <c r="F3419" s="4">
        <v>55</v>
      </c>
      <c r="G3419" s="4"/>
      <c r="H3419" s="4">
        <f t="shared" si="333"/>
        <v>55</v>
      </c>
    </row>
    <row r="3420" ht="14.25" spans="1:8">
      <c r="A3420" s="3" t="str">
        <f>"12501211316"</f>
        <v>12501211316</v>
      </c>
      <c r="B3420" s="3">
        <v>2</v>
      </c>
      <c r="C3420" s="3">
        <v>113</v>
      </c>
      <c r="D3420" s="3">
        <v>16</v>
      </c>
      <c r="E3420" s="3" t="s">
        <v>10</v>
      </c>
      <c r="F3420" s="4">
        <v>52</v>
      </c>
      <c r="G3420" s="4"/>
      <c r="H3420" s="4">
        <f t="shared" si="333"/>
        <v>52</v>
      </c>
    </row>
    <row r="3421" ht="14.25" spans="1:8">
      <c r="A3421" s="3" t="str">
        <f>"12502211317"</f>
        <v>12502211317</v>
      </c>
      <c r="B3421" s="3">
        <v>2</v>
      </c>
      <c r="C3421" s="3">
        <v>113</v>
      </c>
      <c r="D3421" s="3">
        <v>17</v>
      </c>
      <c r="E3421" s="3" t="s">
        <v>10</v>
      </c>
      <c r="F3421" s="3">
        <v>0</v>
      </c>
      <c r="G3421" s="4"/>
      <c r="H3421" s="3">
        <v>0</v>
      </c>
    </row>
    <row r="3422" ht="14.25" spans="1:8">
      <c r="A3422" s="3" t="str">
        <f>"12502211318"</f>
        <v>12502211318</v>
      </c>
      <c r="B3422" s="3">
        <v>2</v>
      </c>
      <c r="C3422" s="3">
        <v>113</v>
      </c>
      <c r="D3422" s="3">
        <v>18</v>
      </c>
      <c r="E3422" s="3" t="s">
        <v>10</v>
      </c>
      <c r="F3422" s="4">
        <v>69</v>
      </c>
      <c r="G3422" s="4"/>
      <c r="H3422" s="4">
        <f t="shared" ref="H3422:H3440" si="334">F3422+G3422</f>
        <v>69</v>
      </c>
    </row>
    <row r="3423" ht="14.25" spans="1:8">
      <c r="A3423" s="3" t="str">
        <f>"12502211319"</f>
        <v>12502211319</v>
      </c>
      <c r="B3423" s="3">
        <v>2</v>
      </c>
      <c r="C3423" s="3">
        <v>113</v>
      </c>
      <c r="D3423" s="3">
        <v>19</v>
      </c>
      <c r="E3423" s="3" t="s">
        <v>10</v>
      </c>
      <c r="F3423" s="4">
        <v>76.5</v>
      </c>
      <c r="G3423" s="4"/>
      <c r="H3423" s="4">
        <f t="shared" si="334"/>
        <v>76.5</v>
      </c>
    </row>
    <row r="3424" ht="14.25" spans="1:8">
      <c r="A3424" s="3" t="str">
        <f>"12502211320"</f>
        <v>12502211320</v>
      </c>
      <c r="B3424" s="3">
        <v>2</v>
      </c>
      <c r="C3424" s="3">
        <v>113</v>
      </c>
      <c r="D3424" s="3">
        <v>20</v>
      </c>
      <c r="E3424" s="3" t="s">
        <v>10</v>
      </c>
      <c r="F3424" s="4">
        <v>79</v>
      </c>
      <c r="G3424" s="4"/>
      <c r="H3424" s="4">
        <f t="shared" si="334"/>
        <v>79</v>
      </c>
    </row>
    <row r="3425" ht="14.25" spans="1:8">
      <c r="A3425" s="3" t="str">
        <f>"12502211321"</f>
        <v>12502211321</v>
      </c>
      <c r="B3425" s="3">
        <v>2</v>
      </c>
      <c r="C3425" s="3">
        <v>113</v>
      </c>
      <c r="D3425" s="3">
        <v>21</v>
      </c>
      <c r="E3425" s="3" t="s">
        <v>10</v>
      </c>
      <c r="F3425" s="4">
        <v>54</v>
      </c>
      <c r="G3425" s="4"/>
      <c r="H3425" s="4">
        <f t="shared" si="334"/>
        <v>54</v>
      </c>
    </row>
    <row r="3426" ht="14.25" spans="1:8">
      <c r="A3426" s="3" t="str">
        <f>"12502211322"</f>
        <v>12502211322</v>
      </c>
      <c r="B3426" s="3">
        <v>2</v>
      </c>
      <c r="C3426" s="3">
        <v>113</v>
      </c>
      <c r="D3426" s="3">
        <v>22</v>
      </c>
      <c r="E3426" s="3" t="s">
        <v>10</v>
      </c>
      <c r="F3426" s="4">
        <v>46.5</v>
      </c>
      <c r="G3426" s="4"/>
      <c r="H3426" s="4">
        <f t="shared" si="334"/>
        <v>46.5</v>
      </c>
    </row>
    <row r="3427" ht="14.25" spans="1:8">
      <c r="A3427" s="3" t="str">
        <f>"12502211323"</f>
        <v>12502211323</v>
      </c>
      <c r="B3427" s="3">
        <v>2</v>
      </c>
      <c r="C3427" s="3">
        <v>113</v>
      </c>
      <c r="D3427" s="3">
        <v>23</v>
      </c>
      <c r="E3427" s="3" t="s">
        <v>10</v>
      </c>
      <c r="F3427" s="4">
        <v>48</v>
      </c>
      <c r="G3427" s="4"/>
      <c r="H3427" s="4">
        <f t="shared" si="334"/>
        <v>48</v>
      </c>
    </row>
    <row r="3428" ht="14.25" spans="1:8">
      <c r="A3428" s="3" t="str">
        <f>"12502211324"</f>
        <v>12502211324</v>
      </c>
      <c r="B3428" s="3">
        <v>2</v>
      </c>
      <c r="C3428" s="3">
        <v>113</v>
      </c>
      <c r="D3428" s="3">
        <v>24</v>
      </c>
      <c r="E3428" s="3" t="s">
        <v>10</v>
      </c>
      <c r="F3428" s="4">
        <v>84</v>
      </c>
      <c r="G3428" s="4"/>
      <c r="H3428" s="4">
        <f t="shared" si="334"/>
        <v>84</v>
      </c>
    </row>
    <row r="3429" ht="14.25" spans="1:8">
      <c r="A3429" s="3" t="str">
        <f>"12502211325"</f>
        <v>12502211325</v>
      </c>
      <c r="B3429" s="3">
        <v>2</v>
      </c>
      <c r="C3429" s="3">
        <v>113</v>
      </c>
      <c r="D3429" s="3">
        <v>25</v>
      </c>
      <c r="E3429" s="3" t="s">
        <v>10</v>
      </c>
      <c r="F3429" s="4">
        <v>67</v>
      </c>
      <c r="G3429" s="4"/>
      <c r="H3429" s="4">
        <f t="shared" si="334"/>
        <v>67</v>
      </c>
    </row>
    <row r="3430" ht="14.25" spans="1:8">
      <c r="A3430" s="3" t="str">
        <f>"12502211326"</f>
        <v>12502211326</v>
      </c>
      <c r="B3430" s="3">
        <v>2</v>
      </c>
      <c r="C3430" s="3">
        <v>113</v>
      </c>
      <c r="D3430" s="3">
        <v>26</v>
      </c>
      <c r="E3430" s="3" t="s">
        <v>10</v>
      </c>
      <c r="F3430" s="4">
        <v>71.5</v>
      </c>
      <c r="G3430" s="4"/>
      <c r="H3430" s="4">
        <f t="shared" si="334"/>
        <v>71.5</v>
      </c>
    </row>
    <row r="3431" ht="14.25" spans="1:8">
      <c r="A3431" s="3" t="str">
        <f>"12502211327"</f>
        <v>12502211327</v>
      </c>
      <c r="B3431" s="3">
        <v>2</v>
      </c>
      <c r="C3431" s="3">
        <v>113</v>
      </c>
      <c r="D3431" s="3">
        <v>27</v>
      </c>
      <c r="E3431" s="3" t="s">
        <v>10</v>
      </c>
      <c r="F3431" s="4">
        <v>87.5</v>
      </c>
      <c r="G3431" s="4"/>
      <c r="H3431" s="4">
        <f t="shared" si="334"/>
        <v>87.5</v>
      </c>
    </row>
    <row r="3432" ht="14.25" spans="1:8">
      <c r="A3432" s="3" t="str">
        <f>"12502211328"</f>
        <v>12502211328</v>
      </c>
      <c r="B3432" s="3">
        <v>2</v>
      </c>
      <c r="C3432" s="3">
        <v>113</v>
      </c>
      <c r="D3432" s="3">
        <v>28</v>
      </c>
      <c r="E3432" s="3" t="s">
        <v>10</v>
      </c>
      <c r="F3432" s="4">
        <v>62</v>
      </c>
      <c r="G3432" s="4"/>
      <c r="H3432" s="4">
        <f t="shared" si="334"/>
        <v>62</v>
      </c>
    </row>
    <row r="3433" ht="14.25" spans="1:8">
      <c r="A3433" s="3" t="str">
        <f>"12502211329"</f>
        <v>12502211329</v>
      </c>
      <c r="B3433" s="3">
        <v>2</v>
      </c>
      <c r="C3433" s="3">
        <v>113</v>
      </c>
      <c r="D3433" s="3">
        <v>29</v>
      </c>
      <c r="E3433" s="3" t="s">
        <v>10</v>
      </c>
      <c r="F3433" s="4">
        <v>82.5</v>
      </c>
      <c r="G3433" s="4"/>
      <c r="H3433" s="4">
        <f t="shared" si="334"/>
        <v>82.5</v>
      </c>
    </row>
    <row r="3434" ht="14.25" spans="1:8">
      <c r="A3434" s="3" t="str">
        <f>"12502211330"</f>
        <v>12502211330</v>
      </c>
      <c r="B3434" s="3">
        <v>2</v>
      </c>
      <c r="C3434" s="3">
        <v>113</v>
      </c>
      <c r="D3434" s="3">
        <v>30</v>
      </c>
      <c r="E3434" s="3" t="s">
        <v>10</v>
      </c>
      <c r="F3434" s="4">
        <v>77.5</v>
      </c>
      <c r="G3434" s="4"/>
      <c r="H3434" s="4">
        <f t="shared" si="334"/>
        <v>77.5</v>
      </c>
    </row>
    <row r="3435" ht="14.25" spans="1:8">
      <c r="A3435" s="3" t="str">
        <f>"12502211401"</f>
        <v>12502211401</v>
      </c>
      <c r="B3435" s="3">
        <v>2</v>
      </c>
      <c r="C3435" s="3">
        <v>114</v>
      </c>
      <c r="D3435" s="3">
        <v>1</v>
      </c>
      <c r="E3435" s="3" t="s">
        <v>10</v>
      </c>
      <c r="F3435" s="4">
        <v>77.5</v>
      </c>
      <c r="G3435" s="4"/>
      <c r="H3435" s="4">
        <f t="shared" si="334"/>
        <v>77.5</v>
      </c>
    </row>
    <row r="3436" ht="14.25" spans="1:8">
      <c r="A3436" s="3" t="str">
        <f>"12502211402"</f>
        <v>12502211402</v>
      </c>
      <c r="B3436" s="3">
        <v>2</v>
      </c>
      <c r="C3436" s="3">
        <v>114</v>
      </c>
      <c r="D3436" s="3">
        <v>2</v>
      </c>
      <c r="E3436" s="3" t="s">
        <v>10</v>
      </c>
      <c r="F3436" s="4">
        <v>70.5</v>
      </c>
      <c r="G3436" s="4"/>
      <c r="H3436" s="4">
        <f t="shared" si="334"/>
        <v>70.5</v>
      </c>
    </row>
    <row r="3437" ht="14.25" spans="1:8">
      <c r="A3437" s="3" t="str">
        <f>"12502211403"</f>
        <v>12502211403</v>
      </c>
      <c r="B3437" s="3">
        <v>2</v>
      </c>
      <c r="C3437" s="3">
        <v>114</v>
      </c>
      <c r="D3437" s="3">
        <v>3</v>
      </c>
      <c r="E3437" s="3" t="s">
        <v>10</v>
      </c>
      <c r="F3437" s="4">
        <v>64</v>
      </c>
      <c r="G3437" s="4"/>
      <c r="H3437" s="4">
        <f t="shared" si="334"/>
        <v>64</v>
      </c>
    </row>
    <row r="3438" ht="14.25" spans="1:8">
      <c r="A3438" s="3" t="str">
        <f>"12502211404"</f>
        <v>12502211404</v>
      </c>
      <c r="B3438" s="3">
        <v>2</v>
      </c>
      <c r="C3438" s="3">
        <v>114</v>
      </c>
      <c r="D3438" s="3">
        <v>4</v>
      </c>
      <c r="E3438" s="3" t="s">
        <v>10</v>
      </c>
      <c r="F3438" s="4">
        <v>79.5</v>
      </c>
      <c r="G3438" s="4"/>
      <c r="H3438" s="4">
        <f t="shared" si="334"/>
        <v>79.5</v>
      </c>
    </row>
    <row r="3439" ht="14.25" spans="1:8">
      <c r="A3439" s="3" t="str">
        <f>"12502211405"</f>
        <v>12502211405</v>
      </c>
      <c r="B3439" s="3">
        <v>2</v>
      </c>
      <c r="C3439" s="3">
        <v>114</v>
      </c>
      <c r="D3439" s="3">
        <v>5</v>
      </c>
      <c r="E3439" s="3" t="s">
        <v>10</v>
      </c>
      <c r="F3439" s="4">
        <v>67</v>
      </c>
      <c r="G3439" s="4"/>
      <c r="H3439" s="4">
        <f t="shared" si="334"/>
        <v>67</v>
      </c>
    </row>
    <row r="3440" ht="14.25" spans="1:8">
      <c r="A3440" s="3" t="str">
        <f>"12502211406"</f>
        <v>12502211406</v>
      </c>
      <c r="B3440" s="3">
        <v>2</v>
      </c>
      <c r="C3440" s="3">
        <v>114</v>
      </c>
      <c r="D3440" s="3">
        <v>6</v>
      </c>
      <c r="E3440" s="3" t="s">
        <v>10</v>
      </c>
      <c r="F3440" s="4">
        <v>77</v>
      </c>
      <c r="G3440" s="4"/>
      <c r="H3440" s="4">
        <f t="shared" si="334"/>
        <v>77</v>
      </c>
    </row>
    <row r="3441" ht="14.25" spans="1:8">
      <c r="A3441" s="3" t="str">
        <f>"12502211407"</f>
        <v>12502211407</v>
      </c>
      <c r="B3441" s="3">
        <v>2</v>
      </c>
      <c r="C3441" s="3">
        <v>114</v>
      </c>
      <c r="D3441" s="3">
        <v>7</v>
      </c>
      <c r="E3441" s="3" t="s">
        <v>10</v>
      </c>
      <c r="F3441" s="3">
        <v>0</v>
      </c>
      <c r="G3441" s="4"/>
      <c r="H3441" s="3">
        <v>0</v>
      </c>
    </row>
    <row r="3442" ht="14.25" spans="1:8">
      <c r="A3442" s="3" t="str">
        <f>"12502211408"</f>
        <v>12502211408</v>
      </c>
      <c r="B3442" s="3">
        <v>2</v>
      </c>
      <c r="C3442" s="3">
        <v>114</v>
      </c>
      <c r="D3442" s="3">
        <v>8</v>
      </c>
      <c r="E3442" s="3" t="s">
        <v>10</v>
      </c>
      <c r="F3442" s="3">
        <v>0</v>
      </c>
      <c r="G3442" s="4"/>
      <c r="H3442" s="3">
        <v>0</v>
      </c>
    </row>
    <row r="3443" ht="14.25" spans="1:8">
      <c r="A3443" s="3" t="str">
        <f>"12502211409"</f>
        <v>12502211409</v>
      </c>
      <c r="B3443" s="3">
        <v>2</v>
      </c>
      <c r="C3443" s="3">
        <v>114</v>
      </c>
      <c r="D3443" s="3">
        <v>9</v>
      </c>
      <c r="E3443" s="3" t="s">
        <v>10</v>
      </c>
      <c r="F3443" s="4">
        <v>60</v>
      </c>
      <c r="G3443" s="4"/>
      <c r="H3443" s="4">
        <f t="shared" ref="H3443:H3456" si="335">F3443+G3443</f>
        <v>60</v>
      </c>
    </row>
    <row r="3444" ht="14.25" spans="1:8">
      <c r="A3444" s="3" t="str">
        <f>"12502211410"</f>
        <v>12502211410</v>
      </c>
      <c r="B3444" s="3">
        <v>2</v>
      </c>
      <c r="C3444" s="3">
        <v>114</v>
      </c>
      <c r="D3444" s="3">
        <v>10</v>
      </c>
      <c r="E3444" s="3" t="s">
        <v>10</v>
      </c>
      <c r="F3444" s="4">
        <v>62.5</v>
      </c>
      <c r="G3444" s="4"/>
      <c r="H3444" s="4">
        <f t="shared" si="335"/>
        <v>62.5</v>
      </c>
    </row>
    <row r="3445" ht="14.25" spans="1:8">
      <c r="A3445" s="3" t="str">
        <f>"12502211411"</f>
        <v>12502211411</v>
      </c>
      <c r="B3445" s="3">
        <v>2</v>
      </c>
      <c r="C3445" s="3">
        <v>114</v>
      </c>
      <c r="D3445" s="3">
        <v>11</v>
      </c>
      <c r="E3445" s="3" t="s">
        <v>10</v>
      </c>
      <c r="F3445" s="4">
        <v>71.5</v>
      </c>
      <c r="G3445" s="4"/>
      <c r="H3445" s="4">
        <f t="shared" si="335"/>
        <v>71.5</v>
      </c>
    </row>
    <row r="3446" ht="14.25" spans="1:8">
      <c r="A3446" s="3" t="str">
        <f>"12502211412"</f>
        <v>12502211412</v>
      </c>
      <c r="B3446" s="3">
        <v>2</v>
      </c>
      <c r="C3446" s="3">
        <v>114</v>
      </c>
      <c r="D3446" s="3">
        <v>12</v>
      </c>
      <c r="E3446" s="3" t="s">
        <v>10</v>
      </c>
      <c r="F3446" s="4">
        <v>58</v>
      </c>
      <c r="G3446" s="4"/>
      <c r="H3446" s="4">
        <f t="shared" si="335"/>
        <v>58</v>
      </c>
    </row>
    <row r="3447" ht="14.25" spans="1:8">
      <c r="A3447" s="3" t="str">
        <f>"12502211413"</f>
        <v>12502211413</v>
      </c>
      <c r="B3447" s="3">
        <v>2</v>
      </c>
      <c r="C3447" s="3">
        <v>114</v>
      </c>
      <c r="D3447" s="3">
        <v>13</v>
      </c>
      <c r="E3447" s="3" t="s">
        <v>10</v>
      </c>
      <c r="F3447" s="4">
        <v>70.5</v>
      </c>
      <c r="G3447" s="4"/>
      <c r="H3447" s="4">
        <f t="shared" si="335"/>
        <v>70.5</v>
      </c>
    </row>
    <row r="3448" ht="14.25" spans="1:8">
      <c r="A3448" s="3" t="str">
        <f>"12502211414"</f>
        <v>12502211414</v>
      </c>
      <c r="B3448" s="3">
        <v>2</v>
      </c>
      <c r="C3448" s="3">
        <v>114</v>
      </c>
      <c r="D3448" s="3">
        <v>14</v>
      </c>
      <c r="E3448" s="3" t="s">
        <v>10</v>
      </c>
      <c r="F3448" s="4">
        <v>73.5</v>
      </c>
      <c r="G3448" s="4"/>
      <c r="H3448" s="4">
        <f t="shared" si="335"/>
        <v>73.5</v>
      </c>
    </row>
    <row r="3449" ht="14.25" spans="1:8">
      <c r="A3449" s="3" t="str">
        <f>"12502211415"</f>
        <v>12502211415</v>
      </c>
      <c r="B3449" s="3">
        <v>2</v>
      </c>
      <c r="C3449" s="3">
        <v>114</v>
      </c>
      <c r="D3449" s="3">
        <v>15</v>
      </c>
      <c r="E3449" s="3" t="s">
        <v>10</v>
      </c>
      <c r="F3449" s="4">
        <v>80.5</v>
      </c>
      <c r="G3449" s="4"/>
      <c r="H3449" s="4">
        <f t="shared" si="335"/>
        <v>80.5</v>
      </c>
    </row>
    <row r="3450" ht="14.25" spans="1:8">
      <c r="A3450" s="3" t="str">
        <f>"12502211416"</f>
        <v>12502211416</v>
      </c>
      <c r="B3450" s="3">
        <v>2</v>
      </c>
      <c r="C3450" s="3">
        <v>114</v>
      </c>
      <c r="D3450" s="3">
        <v>16</v>
      </c>
      <c r="E3450" s="3" t="s">
        <v>10</v>
      </c>
      <c r="F3450" s="4">
        <v>75.5</v>
      </c>
      <c r="G3450" s="4"/>
      <c r="H3450" s="4">
        <f t="shared" si="335"/>
        <v>75.5</v>
      </c>
    </row>
    <row r="3451" ht="14.25" spans="1:8">
      <c r="A3451" s="3" t="str">
        <f>"12502211417"</f>
        <v>12502211417</v>
      </c>
      <c r="B3451" s="3">
        <v>2</v>
      </c>
      <c r="C3451" s="3">
        <v>114</v>
      </c>
      <c r="D3451" s="3">
        <v>17</v>
      </c>
      <c r="E3451" s="3" t="s">
        <v>10</v>
      </c>
      <c r="F3451" s="4">
        <v>78</v>
      </c>
      <c r="G3451" s="4"/>
      <c r="H3451" s="4">
        <f t="shared" si="335"/>
        <v>78</v>
      </c>
    </row>
    <row r="3452" ht="14.25" spans="1:8">
      <c r="A3452" s="3" t="str">
        <f>"12502211418"</f>
        <v>12502211418</v>
      </c>
      <c r="B3452" s="3">
        <v>2</v>
      </c>
      <c r="C3452" s="3">
        <v>114</v>
      </c>
      <c r="D3452" s="3">
        <v>18</v>
      </c>
      <c r="E3452" s="3" t="s">
        <v>10</v>
      </c>
      <c r="F3452" s="4">
        <v>72</v>
      </c>
      <c r="G3452" s="4"/>
      <c r="H3452" s="4">
        <f t="shared" si="335"/>
        <v>72</v>
      </c>
    </row>
    <row r="3453" ht="14.25" spans="1:8">
      <c r="A3453" s="3" t="str">
        <f>"12502211419"</f>
        <v>12502211419</v>
      </c>
      <c r="B3453" s="3">
        <v>2</v>
      </c>
      <c r="C3453" s="3">
        <v>114</v>
      </c>
      <c r="D3453" s="3">
        <v>19</v>
      </c>
      <c r="E3453" s="3" t="s">
        <v>10</v>
      </c>
      <c r="F3453" s="4">
        <v>78</v>
      </c>
      <c r="G3453" s="4"/>
      <c r="H3453" s="4">
        <f t="shared" si="335"/>
        <v>78</v>
      </c>
    </row>
    <row r="3454" ht="14.25" spans="1:8">
      <c r="A3454" s="3" t="str">
        <f>"12502211420"</f>
        <v>12502211420</v>
      </c>
      <c r="B3454" s="3">
        <v>2</v>
      </c>
      <c r="C3454" s="3">
        <v>114</v>
      </c>
      <c r="D3454" s="3">
        <v>20</v>
      </c>
      <c r="E3454" s="3" t="s">
        <v>10</v>
      </c>
      <c r="F3454" s="4">
        <v>52</v>
      </c>
      <c r="G3454" s="4"/>
      <c r="H3454" s="4">
        <f t="shared" si="335"/>
        <v>52</v>
      </c>
    </row>
    <row r="3455" ht="14.25" spans="1:8">
      <c r="A3455" s="3" t="str">
        <f>"12502211421"</f>
        <v>12502211421</v>
      </c>
      <c r="B3455" s="3">
        <v>2</v>
      </c>
      <c r="C3455" s="3">
        <v>114</v>
      </c>
      <c r="D3455" s="3">
        <v>21</v>
      </c>
      <c r="E3455" s="3" t="s">
        <v>10</v>
      </c>
      <c r="F3455" s="4">
        <v>76</v>
      </c>
      <c r="G3455" s="4"/>
      <c r="H3455" s="4">
        <f t="shared" si="335"/>
        <v>76</v>
      </c>
    </row>
    <row r="3456" ht="14.25" spans="1:8">
      <c r="A3456" s="3" t="str">
        <f>"12502211422"</f>
        <v>12502211422</v>
      </c>
      <c r="B3456" s="3">
        <v>2</v>
      </c>
      <c r="C3456" s="3">
        <v>114</v>
      </c>
      <c r="D3456" s="3">
        <v>22</v>
      </c>
      <c r="E3456" s="3" t="s">
        <v>10</v>
      </c>
      <c r="F3456" s="4">
        <v>69.5</v>
      </c>
      <c r="G3456" s="4"/>
      <c r="H3456" s="4">
        <f t="shared" si="335"/>
        <v>69.5</v>
      </c>
    </row>
    <row r="3457" ht="14.25" spans="1:8">
      <c r="A3457" s="3" t="str">
        <f>"12502211423"</f>
        <v>12502211423</v>
      </c>
      <c r="B3457" s="3">
        <v>2</v>
      </c>
      <c r="C3457" s="3">
        <v>114</v>
      </c>
      <c r="D3457" s="3">
        <v>23</v>
      </c>
      <c r="E3457" s="3" t="s">
        <v>10</v>
      </c>
      <c r="F3457" s="3">
        <v>0</v>
      </c>
      <c r="G3457" s="4"/>
      <c r="H3457" s="3">
        <v>0</v>
      </c>
    </row>
    <row r="3458" ht="14.25" spans="1:8">
      <c r="A3458" s="3" t="str">
        <f>"12502211424"</f>
        <v>12502211424</v>
      </c>
      <c r="B3458" s="3">
        <v>2</v>
      </c>
      <c r="C3458" s="3">
        <v>114</v>
      </c>
      <c r="D3458" s="3">
        <v>24</v>
      </c>
      <c r="E3458" s="3" t="s">
        <v>10</v>
      </c>
      <c r="F3458" s="4">
        <v>84</v>
      </c>
      <c r="G3458" s="4"/>
      <c r="H3458" s="4">
        <f t="shared" ref="H3458:H3461" si="336">F3458+G3458</f>
        <v>84</v>
      </c>
    </row>
    <row r="3459" ht="14.25" spans="1:8">
      <c r="A3459" s="3" t="str">
        <f>"12502211425"</f>
        <v>12502211425</v>
      </c>
      <c r="B3459" s="3">
        <v>2</v>
      </c>
      <c r="C3459" s="3">
        <v>114</v>
      </c>
      <c r="D3459" s="3">
        <v>25</v>
      </c>
      <c r="E3459" s="3" t="s">
        <v>10</v>
      </c>
      <c r="F3459" s="4">
        <v>83.5</v>
      </c>
      <c r="G3459" s="4"/>
      <c r="H3459" s="4">
        <f t="shared" si="336"/>
        <v>83.5</v>
      </c>
    </row>
    <row r="3460" ht="14.25" spans="1:8">
      <c r="A3460" s="3" t="str">
        <f>"12502211426"</f>
        <v>12502211426</v>
      </c>
      <c r="B3460" s="3">
        <v>2</v>
      </c>
      <c r="C3460" s="3">
        <v>114</v>
      </c>
      <c r="D3460" s="3">
        <v>26</v>
      </c>
      <c r="E3460" s="3" t="s">
        <v>10</v>
      </c>
      <c r="F3460" s="4">
        <v>52</v>
      </c>
      <c r="G3460" s="4"/>
      <c r="H3460" s="4">
        <f t="shared" si="336"/>
        <v>52</v>
      </c>
    </row>
    <row r="3461" ht="14.25" spans="1:8">
      <c r="A3461" s="3" t="str">
        <f>"12502211427"</f>
        <v>12502211427</v>
      </c>
      <c r="B3461" s="3">
        <v>2</v>
      </c>
      <c r="C3461" s="3">
        <v>114</v>
      </c>
      <c r="D3461" s="3">
        <v>27</v>
      </c>
      <c r="E3461" s="3" t="s">
        <v>10</v>
      </c>
      <c r="F3461" s="4">
        <v>76</v>
      </c>
      <c r="G3461" s="4"/>
      <c r="H3461" s="4">
        <f t="shared" si="336"/>
        <v>76</v>
      </c>
    </row>
    <row r="3462" ht="14.25" spans="1:8">
      <c r="A3462" s="3" t="str">
        <f>"12502211428"</f>
        <v>12502211428</v>
      </c>
      <c r="B3462" s="3">
        <v>2</v>
      </c>
      <c r="C3462" s="3">
        <v>114</v>
      </c>
      <c r="D3462" s="3">
        <v>28</v>
      </c>
      <c r="E3462" s="3" t="s">
        <v>10</v>
      </c>
      <c r="F3462" s="3">
        <v>0</v>
      </c>
      <c r="G3462" s="4"/>
      <c r="H3462" s="3">
        <v>0</v>
      </c>
    </row>
    <row r="3463" ht="14.25" spans="1:8">
      <c r="A3463" s="3" t="str">
        <f>"12502211429"</f>
        <v>12502211429</v>
      </c>
      <c r="B3463" s="3">
        <v>2</v>
      </c>
      <c r="C3463" s="3">
        <v>114</v>
      </c>
      <c r="D3463" s="3">
        <v>29</v>
      </c>
      <c r="E3463" s="3" t="s">
        <v>10</v>
      </c>
      <c r="F3463" s="4">
        <v>75.5</v>
      </c>
      <c r="G3463" s="4"/>
      <c r="H3463" s="4">
        <f t="shared" ref="H3463:H3468" si="337">F3463+G3463</f>
        <v>75.5</v>
      </c>
    </row>
    <row r="3464" ht="14.25" spans="1:8">
      <c r="A3464" s="3" t="str">
        <f>"12502211430"</f>
        <v>12502211430</v>
      </c>
      <c r="B3464" s="3">
        <v>2</v>
      </c>
      <c r="C3464" s="3">
        <v>114</v>
      </c>
      <c r="D3464" s="3">
        <v>30</v>
      </c>
      <c r="E3464" s="3" t="s">
        <v>10</v>
      </c>
      <c r="F3464" s="4">
        <v>72.5</v>
      </c>
      <c r="G3464" s="4"/>
      <c r="H3464" s="4">
        <f t="shared" si="337"/>
        <v>72.5</v>
      </c>
    </row>
    <row r="3465" ht="14.25" spans="1:8">
      <c r="A3465" s="3" t="str">
        <f>"12502211501"</f>
        <v>12502211501</v>
      </c>
      <c r="B3465" s="3">
        <v>2</v>
      </c>
      <c r="C3465" s="3">
        <v>115</v>
      </c>
      <c r="D3465" s="3">
        <v>1</v>
      </c>
      <c r="E3465" s="3" t="s">
        <v>10</v>
      </c>
      <c r="F3465" s="4">
        <v>87</v>
      </c>
      <c r="G3465" s="4"/>
      <c r="H3465" s="4">
        <f t="shared" si="337"/>
        <v>87</v>
      </c>
    </row>
    <row r="3466" ht="14.25" spans="1:8">
      <c r="A3466" s="3" t="str">
        <f>"12502211502"</f>
        <v>12502211502</v>
      </c>
      <c r="B3466" s="3">
        <v>2</v>
      </c>
      <c r="C3466" s="3">
        <v>115</v>
      </c>
      <c r="D3466" s="3">
        <v>2</v>
      </c>
      <c r="E3466" s="3" t="s">
        <v>10</v>
      </c>
      <c r="F3466" s="4">
        <v>72</v>
      </c>
      <c r="G3466" s="4"/>
      <c r="H3466" s="4">
        <f t="shared" si="337"/>
        <v>72</v>
      </c>
    </row>
    <row r="3467" ht="14.25" spans="1:8">
      <c r="A3467" s="3" t="str">
        <f>"12502211503"</f>
        <v>12502211503</v>
      </c>
      <c r="B3467" s="3">
        <v>2</v>
      </c>
      <c r="C3467" s="3">
        <v>115</v>
      </c>
      <c r="D3467" s="3">
        <v>3</v>
      </c>
      <c r="E3467" s="3" t="s">
        <v>10</v>
      </c>
      <c r="F3467" s="4">
        <v>89.5</v>
      </c>
      <c r="G3467" s="4"/>
      <c r="H3467" s="4">
        <f t="shared" si="337"/>
        <v>89.5</v>
      </c>
    </row>
    <row r="3468" ht="14.25" spans="1:8">
      <c r="A3468" s="3" t="str">
        <f>"12502211504"</f>
        <v>12502211504</v>
      </c>
      <c r="B3468" s="3">
        <v>2</v>
      </c>
      <c r="C3468" s="3">
        <v>115</v>
      </c>
      <c r="D3468" s="3">
        <v>4</v>
      </c>
      <c r="E3468" s="3" t="s">
        <v>10</v>
      </c>
      <c r="F3468" s="4">
        <v>55</v>
      </c>
      <c r="G3468" s="4"/>
      <c r="H3468" s="4">
        <f t="shared" si="337"/>
        <v>55</v>
      </c>
    </row>
    <row r="3469" ht="14.25" spans="1:8">
      <c r="A3469" s="3" t="str">
        <f>"12502211505"</f>
        <v>12502211505</v>
      </c>
      <c r="B3469" s="3">
        <v>2</v>
      </c>
      <c r="C3469" s="3">
        <v>115</v>
      </c>
      <c r="D3469" s="3">
        <v>5</v>
      </c>
      <c r="E3469" s="3" t="s">
        <v>10</v>
      </c>
      <c r="F3469" s="3">
        <v>0</v>
      </c>
      <c r="G3469" s="4"/>
      <c r="H3469" s="3">
        <v>0</v>
      </c>
    </row>
    <row r="3470" ht="14.25" spans="1:8">
      <c r="A3470" s="3" t="str">
        <f>"12502211506"</f>
        <v>12502211506</v>
      </c>
      <c r="B3470" s="3">
        <v>2</v>
      </c>
      <c r="C3470" s="3">
        <v>115</v>
      </c>
      <c r="D3470" s="3">
        <v>6</v>
      </c>
      <c r="E3470" s="3" t="s">
        <v>10</v>
      </c>
      <c r="F3470" s="4">
        <v>73.5</v>
      </c>
      <c r="G3470" s="4"/>
      <c r="H3470" s="4">
        <f t="shared" ref="H3470:H3472" si="338">F3470+G3470</f>
        <v>73.5</v>
      </c>
    </row>
    <row r="3471" ht="14.25" spans="1:8">
      <c r="A3471" s="3" t="str">
        <f>"12502211507"</f>
        <v>12502211507</v>
      </c>
      <c r="B3471" s="3">
        <v>2</v>
      </c>
      <c r="C3471" s="3">
        <v>115</v>
      </c>
      <c r="D3471" s="3">
        <v>7</v>
      </c>
      <c r="E3471" s="3" t="s">
        <v>10</v>
      </c>
      <c r="F3471" s="4">
        <v>59</v>
      </c>
      <c r="G3471" s="4"/>
      <c r="H3471" s="4">
        <f t="shared" si="338"/>
        <v>59</v>
      </c>
    </row>
    <row r="3472" ht="14.25" spans="1:8">
      <c r="A3472" s="3" t="str">
        <f>"12502211508"</f>
        <v>12502211508</v>
      </c>
      <c r="B3472" s="3">
        <v>2</v>
      </c>
      <c r="C3472" s="3">
        <v>115</v>
      </c>
      <c r="D3472" s="3">
        <v>8</v>
      </c>
      <c r="E3472" s="3" t="s">
        <v>10</v>
      </c>
      <c r="F3472" s="4">
        <v>73</v>
      </c>
      <c r="G3472" s="4"/>
      <c r="H3472" s="4">
        <f t="shared" si="338"/>
        <v>73</v>
      </c>
    </row>
    <row r="3473" ht="14.25" spans="1:8">
      <c r="A3473" s="3" t="str">
        <f>"12502211509"</f>
        <v>12502211509</v>
      </c>
      <c r="B3473" s="3">
        <v>2</v>
      </c>
      <c r="C3473" s="3">
        <v>115</v>
      </c>
      <c r="D3473" s="3">
        <v>9</v>
      </c>
      <c r="E3473" s="3" t="s">
        <v>10</v>
      </c>
      <c r="F3473" s="3">
        <v>0</v>
      </c>
      <c r="G3473" s="4"/>
      <c r="H3473" s="3">
        <v>0</v>
      </c>
    </row>
    <row r="3474" ht="14.25" spans="1:8">
      <c r="A3474" s="3" t="str">
        <f>"12502211510"</f>
        <v>12502211510</v>
      </c>
      <c r="B3474" s="3">
        <v>2</v>
      </c>
      <c r="C3474" s="3">
        <v>115</v>
      </c>
      <c r="D3474" s="3">
        <v>10</v>
      </c>
      <c r="E3474" s="3" t="s">
        <v>10</v>
      </c>
      <c r="F3474" s="4">
        <v>89</v>
      </c>
      <c r="G3474" s="4"/>
      <c r="H3474" s="4">
        <f t="shared" ref="H3474:H3481" si="339">F3474+G3474</f>
        <v>89</v>
      </c>
    </row>
    <row r="3475" ht="14.25" spans="1:8">
      <c r="A3475" s="3" t="str">
        <f>"12502211511"</f>
        <v>12502211511</v>
      </c>
      <c r="B3475" s="3">
        <v>2</v>
      </c>
      <c r="C3475" s="3">
        <v>115</v>
      </c>
      <c r="D3475" s="3">
        <v>11</v>
      </c>
      <c r="E3475" s="3" t="s">
        <v>10</v>
      </c>
      <c r="F3475" s="4">
        <v>84</v>
      </c>
      <c r="G3475" s="4"/>
      <c r="H3475" s="4">
        <f t="shared" si="339"/>
        <v>84</v>
      </c>
    </row>
    <row r="3476" ht="14.25" spans="1:8">
      <c r="A3476" s="3" t="str">
        <f>"12502211512"</f>
        <v>12502211512</v>
      </c>
      <c r="B3476" s="3">
        <v>2</v>
      </c>
      <c r="C3476" s="3">
        <v>115</v>
      </c>
      <c r="D3476" s="3">
        <v>12</v>
      </c>
      <c r="E3476" s="3" t="s">
        <v>10</v>
      </c>
      <c r="F3476" s="4">
        <v>68</v>
      </c>
      <c r="G3476" s="4"/>
      <c r="H3476" s="4">
        <f t="shared" si="339"/>
        <v>68</v>
      </c>
    </row>
    <row r="3477" ht="14.25" spans="1:8">
      <c r="A3477" s="3" t="str">
        <f>"12502211513"</f>
        <v>12502211513</v>
      </c>
      <c r="B3477" s="3">
        <v>2</v>
      </c>
      <c r="C3477" s="3">
        <v>115</v>
      </c>
      <c r="D3477" s="3">
        <v>13</v>
      </c>
      <c r="E3477" s="3" t="s">
        <v>10</v>
      </c>
      <c r="F3477" s="4">
        <v>80</v>
      </c>
      <c r="G3477" s="4"/>
      <c r="H3477" s="4">
        <f t="shared" si="339"/>
        <v>80</v>
      </c>
    </row>
    <row r="3478" ht="14.25" spans="1:8">
      <c r="A3478" s="3" t="str">
        <f>"12502211514"</f>
        <v>12502211514</v>
      </c>
      <c r="B3478" s="3">
        <v>2</v>
      </c>
      <c r="C3478" s="3">
        <v>115</v>
      </c>
      <c r="D3478" s="3">
        <v>14</v>
      </c>
      <c r="E3478" s="3" t="s">
        <v>10</v>
      </c>
      <c r="F3478" s="4">
        <v>88</v>
      </c>
      <c r="G3478" s="4"/>
      <c r="H3478" s="4">
        <f t="shared" si="339"/>
        <v>88</v>
      </c>
    </row>
    <row r="3479" ht="14.25" spans="1:8">
      <c r="A3479" s="3" t="str">
        <f>"12502211515"</f>
        <v>12502211515</v>
      </c>
      <c r="B3479" s="3">
        <v>2</v>
      </c>
      <c r="C3479" s="3">
        <v>115</v>
      </c>
      <c r="D3479" s="3">
        <v>15</v>
      </c>
      <c r="E3479" s="3" t="s">
        <v>10</v>
      </c>
      <c r="F3479" s="4">
        <v>76.5</v>
      </c>
      <c r="G3479" s="4"/>
      <c r="H3479" s="4">
        <f t="shared" si="339"/>
        <v>76.5</v>
      </c>
    </row>
    <row r="3480" ht="14.25" spans="1:8">
      <c r="A3480" s="3" t="str">
        <f>"12502211516"</f>
        <v>12502211516</v>
      </c>
      <c r="B3480" s="3">
        <v>2</v>
      </c>
      <c r="C3480" s="3">
        <v>115</v>
      </c>
      <c r="D3480" s="3">
        <v>16</v>
      </c>
      <c r="E3480" s="3" t="s">
        <v>10</v>
      </c>
      <c r="F3480" s="4">
        <v>77.5</v>
      </c>
      <c r="G3480" s="4"/>
      <c r="H3480" s="4">
        <f t="shared" si="339"/>
        <v>77.5</v>
      </c>
    </row>
    <row r="3481" ht="14.25" spans="1:8">
      <c r="A3481" s="3" t="str">
        <f>"12502211517"</f>
        <v>12502211517</v>
      </c>
      <c r="B3481" s="3">
        <v>2</v>
      </c>
      <c r="C3481" s="3">
        <v>115</v>
      </c>
      <c r="D3481" s="3">
        <v>17</v>
      </c>
      <c r="E3481" s="3" t="s">
        <v>10</v>
      </c>
      <c r="F3481" s="4">
        <v>77</v>
      </c>
      <c r="G3481" s="4"/>
      <c r="H3481" s="4">
        <f t="shared" si="339"/>
        <v>77</v>
      </c>
    </row>
    <row r="3482" ht="14.25" spans="1:8">
      <c r="A3482" s="3" t="str">
        <f>"12502211518"</f>
        <v>12502211518</v>
      </c>
      <c r="B3482" s="3">
        <v>2</v>
      </c>
      <c r="C3482" s="3">
        <v>115</v>
      </c>
      <c r="D3482" s="3">
        <v>18</v>
      </c>
      <c r="E3482" s="3" t="s">
        <v>10</v>
      </c>
      <c r="F3482" s="3">
        <v>0</v>
      </c>
      <c r="G3482" s="4"/>
      <c r="H3482" s="3">
        <v>0</v>
      </c>
    </row>
    <row r="3483" ht="14.25" spans="1:8">
      <c r="A3483" s="3" t="str">
        <f>"12502211519"</f>
        <v>12502211519</v>
      </c>
      <c r="B3483" s="3">
        <v>2</v>
      </c>
      <c r="C3483" s="3">
        <v>115</v>
      </c>
      <c r="D3483" s="3">
        <v>19</v>
      </c>
      <c r="E3483" s="3" t="s">
        <v>10</v>
      </c>
      <c r="F3483" s="4">
        <v>54.5</v>
      </c>
      <c r="G3483" s="4"/>
      <c r="H3483" s="4">
        <f t="shared" ref="H3483:H3498" si="340">F3483+G3483</f>
        <v>54.5</v>
      </c>
    </row>
    <row r="3484" ht="14.25" spans="1:8">
      <c r="A3484" s="3" t="str">
        <f>"12502211520"</f>
        <v>12502211520</v>
      </c>
      <c r="B3484" s="3">
        <v>2</v>
      </c>
      <c r="C3484" s="3">
        <v>115</v>
      </c>
      <c r="D3484" s="3">
        <v>20</v>
      </c>
      <c r="E3484" s="3" t="s">
        <v>10</v>
      </c>
      <c r="F3484" s="4">
        <v>68.5</v>
      </c>
      <c r="G3484" s="4"/>
      <c r="H3484" s="4">
        <f t="shared" si="340"/>
        <v>68.5</v>
      </c>
    </row>
    <row r="3485" ht="14.25" spans="1:8">
      <c r="A3485" s="3" t="str">
        <f>"12502211521"</f>
        <v>12502211521</v>
      </c>
      <c r="B3485" s="3">
        <v>2</v>
      </c>
      <c r="C3485" s="3">
        <v>115</v>
      </c>
      <c r="D3485" s="3">
        <v>21</v>
      </c>
      <c r="E3485" s="3" t="s">
        <v>10</v>
      </c>
      <c r="F3485" s="4">
        <v>60.5</v>
      </c>
      <c r="G3485" s="4"/>
      <c r="H3485" s="4">
        <f t="shared" si="340"/>
        <v>60.5</v>
      </c>
    </row>
    <row r="3486" ht="14.25" spans="1:8">
      <c r="A3486" s="3" t="str">
        <f>"12502211522"</f>
        <v>12502211522</v>
      </c>
      <c r="B3486" s="3">
        <v>2</v>
      </c>
      <c r="C3486" s="3">
        <v>115</v>
      </c>
      <c r="D3486" s="3">
        <v>22</v>
      </c>
      <c r="E3486" s="3" t="s">
        <v>10</v>
      </c>
      <c r="F3486" s="4">
        <v>73.5</v>
      </c>
      <c r="G3486" s="4"/>
      <c r="H3486" s="4">
        <f t="shared" si="340"/>
        <v>73.5</v>
      </c>
    </row>
    <row r="3487" ht="14.25" spans="1:8">
      <c r="A3487" s="3" t="str">
        <f>"12502211523"</f>
        <v>12502211523</v>
      </c>
      <c r="B3487" s="3">
        <v>2</v>
      </c>
      <c r="C3487" s="3">
        <v>115</v>
      </c>
      <c r="D3487" s="3">
        <v>23</v>
      </c>
      <c r="E3487" s="3" t="s">
        <v>10</v>
      </c>
      <c r="F3487" s="4">
        <v>81</v>
      </c>
      <c r="G3487" s="4"/>
      <c r="H3487" s="4">
        <f t="shared" si="340"/>
        <v>81</v>
      </c>
    </row>
    <row r="3488" ht="14.25" spans="1:8">
      <c r="A3488" s="3" t="str">
        <f>"12502211524"</f>
        <v>12502211524</v>
      </c>
      <c r="B3488" s="3">
        <v>2</v>
      </c>
      <c r="C3488" s="3">
        <v>115</v>
      </c>
      <c r="D3488" s="3">
        <v>24</v>
      </c>
      <c r="E3488" s="3" t="s">
        <v>10</v>
      </c>
      <c r="F3488" s="4">
        <v>84</v>
      </c>
      <c r="G3488" s="4"/>
      <c r="H3488" s="4">
        <f t="shared" si="340"/>
        <v>84</v>
      </c>
    </row>
    <row r="3489" ht="14.25" spans="1:8">
      <c r="A3489" s="3" t="str">
        <f>"12502211525"</f>
        <v>12502211525</v>
      </c>
      <c r="B3489" s="3">
        <v>2</v>
      </c>
      <c r="C3489" s="3">
        <v>115</v>
      </c>
      <c r="D3489" s="3">
        <v>25</v>
      </c>
      <c r="E3489" s="3" t="s">
        <v>10</v>
      </c>
      <c r="F3489" s="4">
        <v>62</v>
      </c>
      <c r="G3489" s="4"/>
      <c r="H3489" s="4">
        <f t="shared" si="340"/>
        <v>62</v>
      </c>
    </row>
    <row r="3490" ht="14.25" spans="1:8">
      <c r="A3490" s="3" t="str">
        <f>"12502211526"</f>
        <v>12502211526</v>
      </c>
      <c r="B3490" s="3">
        <v>2</v>
      </c>
      <c r="C3490" s="3">
        <v>115</v>
      </c>
      <c r="D3490" s="3">
        <v>26</v>
      </c>
      <c r="E3490" s="3" t="s">
        <v>10</v>
      </c>
      <c r="F3490" s="4">
        <v>82.5</v>
      </c>
      <c r="G3490" s="4"/>
      <c r="H3490" s="4">
        <f t="shared" si="340"/>
        <v>82.5</v>
      </c>
    </row>
    <row r="3491" ht="14.25" spans="1:8">
      <c r="A3491" s="3" t="str">
        <f>"12503211527"</f>
        <v>12503211527</v>
      </c>
      <c r="B3491" s="3">
        <v>2</v>
      </c>
      <c r="C3491" s="3">
        <v>115</v>
      </c>
      <c r="D3491" s="3">
        <v>27</v>
      </c>
      <c r="E3491" s="3" t="s">
        <v>10</v>
      </c>
      <c r="F3491" s="4">
        <v>68</v>
      </c>
      <c r="G3491" s="4"/>
      <c r="H3491" s="4">
        <f t="shared" si="340"/>
        <v>68</v>
      </c>
    </row>
    <row r="3492" ht="14.25" spans="1:8">
      <c r="A3492" s="3" t="str">
        <f>"12503211528"</f>
        <v>12503211528</v>
      </c>
      <c r="B3492" s="3">
        <v>2</v>
      </c>
      <c r="C3492" s="3">
        <v>115</v>
      </c>
      <c r="D3492" s="3">
        <v>28</v>
      </c>
      <c r="E3492" s="3" t="s">
        <v>10</v>
      </c>
      <c r="F3492" s="4">
        <v>57.5</v>
      </c>
      <c r="G3492" s="4"/>
      <c r="H3492" s="4">
        <f t="shared" si="340"/>
        <v>57.5</v>
      </c>
    </row>
    <row r="3493" ht="14.25" spans="1:8">
      <c r="A3493" s="3" t="str">
        <f>"12503211529"</f>
        <v>12503211529</v>
      </c>
      <c r="B3493" s="3">
        <v>2</v>
      </c>
      <c r="C3493" s="3">
        <v>115</v>
      </c>
      <c r="D3493" s="3">
        <v>29</v>
      </c>
      <c r="E3493" s="3" t="s">
        <v>10</v>
      </c>
      <c r="F3493" s="4">
        <v>81</v>
      </c>
      <c r="G3493" s="4"/>
      <c r="H3493" s="4">
        <f t="shared" si="340"/>
        <v>81</v>
      </c>
    </row>
    <row r="3494" ht="14.25" spans="1:8">
      <c r="A3494" s="3" t="str">
        <f>"12503211530"</f>
        <v>12503211530</v>
      </c>
      <c r="B3494" s="3">
        <v>2</v>
      </c>
      <c r="C3494" s="3">
        <v>115</v>
      </c>
      <c r="D3494" s="3">
        <v>30</v>
      </c>
      <c r="E3494" s="3" t="s">
        <v>10</v>
      </c>
      <c r="F3494" s="4">
        <v>72.5</v>
      </c>
      <c r="G3494" s="4"/>
      <c r="H3494" s="4">
        <f t="shared" si="340"/>
        <v>72.5</v>
      </c>
    </row>
    <row r="3495" ht="14.25" spans="1:8">
      <c r="A3495" s="3" t="str">
        <f>"12503211601"</f>
        <v>12503211601</v>
      </c>
      <c r="B3495" s="3">
        <v>2</v>
      </c>
      <c r="C3495" s="3">
        <v>116</v>
      </c>
      <c r="D3495" s="3">
        <v>1</v>
      </c>
      <c r="E3495" s="3" t="s">
        <v>10</v>
      </c>
      <c r="F3495" s="4">
        <v>76</v>
      </c>
      <c r="G3495" s="4"/>
      <c r="H3495" s="4">
        <f t="shared" si="340"/>
        <v>76</v>
      </c>
    </row>
    <row r="3496" ht="14.25" spans="1:8">
      <c r="A3496" s="3" t="str">
        <f>"12503211602"</f>
        <v>12503211602</v>
      </c>
      <c r="B3496" s="3">
        <v>2</v>
      </c>
      <c r="C3496" s="3">
        <v>116</v>
      </c>
      <c r="D3496" s="3">
        <v>2</v>
      </c>
      <c r="E3496" s="3" t="s">
        <v>10</v>
      </c>
      <c r="F3496" s="4">
        <v>75.5</v>
      </c>
      <c r="G3496" s="4"/>
      <c r="H3496" s="4">
        <f t="shared" si="340"/>
        <v>75.5</v>
      </c>
    </row>
    <row r="3497" ht="14.25" spans="1:8">
      <c r="A3497" s="3" t="str">
        <f>"12503211603"</f>
        <v>12503211603</v>
      </c>
      <c r="B3497" s="3">
        <v>2</v>
      </c>
      <c r="C3497" s="3">
        <v>116</v>
      </c>
      <c r="D3497" s="3">
        <v>3</v>
      </c>
      <c r="E3497" s="3" t="s">
        <v>10</v>
      </c>
      <c r="F3497" s="4">
        <v>51</v>
      </c>
      <c r="G3497" s="4"/>
      <c r="H3497" s="4">
        <f t="shared" si="340"/>
        <v>51</v>
      </c>
    </row>
    <row r="3498" ht="14.25" spans="1:8">
      <c r="A3498" s="3" t="str">
        <f>"12503211604"</f>
        <v>12503211604</v>
      </c>
      <c r="B3498" s="3">
        <v>2</v>
      </c>
      <c r="C3498" s="3">
        <v>116</v>
      </c>
      <c r="D3498" s="3">
        <v>4</v>
      </c>
      <c r="E3498" s="3" t="s">
        <v>10</v>
      </c>
      <c r="F3498" s="4">
        <v>86</v>
      </c>
      <c r="G3498" s="4"/>
      <c r="H3498" s="4">
        <f t="shared" si="340"/>
        <v>86</v>
      </c>
    </row>
    <row r="3499" ht="14.25" spans="1:8">
      <c r="A3499" s="3" t="str">
        <f>"12503211605"</f>
        <v>12503211605</v>
      </c>
      <c r="B3499" s="3">
        <v>2</v>
      </c>
      <c r="C3499" s="3">
        <v>116</v>
      </c>
      <c r="D3499" s="3">
        <v>5</v>
      </c>
      <c r="E3499" s="3" t="s">
        <v>10</v>
      </c>
      <c r="F3499" s="3">
        <v>0</v>
      </c>
      <c r="G3499" s="4"/>
      <c r="H3499" s="3">
        <v>0</v>
      </c>
    </row>
    <row r="3500" ht="14.25" spans="1:8">
      <c r="A3500" s="3" t="str">
        <f>"12503211606"</f>
        <v>12503211606</v>
      </c>
      <c r="B3500" s="3">
        <v>2</v>
      </c>
      <c r="C3500" s="3">
        <v>116</v>
      </c>
      <c r="D3500" s="3">
        <v>6</v>
      </c>
      <c r="E3500" s="3" t="s">
        <v>10</v>
      </c>
      <c r="F3500" s="4">
        <v>59.5</v>
      </c>
      <c r="G3500" s="4"/>
      <c r="H3500" s="4">
        <f t="shared" ref="H3500:H3526" si="341">F3500+G3500</f>
        <v>59.5</v>
      </c>
    </row>
    <row r="3501" ht="14.25" spans="1:8">
      <c r="A3501" s="3" t="str">
        <f>"12503211607"</f>
        <v>12503211607</v>
      </c>
      <c r="B3501" s="3">
        <v>2</v>
      </c>
      <c r="C3501" s="3">
        <v>116</v>
      </c>
      <c r="D3501" s="3">
        <v>7</v>
      </c>
      <c r="E3501" s="3" t="s">
        <v>10</v>
      </c>
      <c r="F3501" s="4">
        <v>84.5</v>
      </c>
      <c r="G3501" s="4"/>
      <c r="H3501" s="4">
        <f t="shared" si="341"/>
        <v>84.5</v>
      </c>
    </row>
    <row r="3502" ht="14.25" spans="1:8">
      <c r="A3502" s="3" t="str">
        <f>"12601211608"</f>
        <v>12601211608</v>
      </c>
      <c r="B3502" s="3">
        <v>2</v>
      </c>
      <c r="C3502" s="3">
        <v>116</v>
      </c>
      <c r="D3502" s="3">
        <v>8</v>
      </c>
      <c r="E3502" s="3" t="s">
        <v>10</v>
      </c>
      <c r="F3502" s="4">
        <v>49.5</v>
      </c>
      <c r="G3502" s="4"/>
      <c r="H3502" s="4">
        <f t="shared" si="341"/>
        <v>49.5</v>
      </c>
    </row>
    <row r="3503" ht="14.25" spans="1:8">
      <c r="A3503" s="3" t="str">
        <f>"12601211609"</f>
        <v>12601211609</v>
      </c>
      <c r="B3503" s="3">
        <v>2</v>
      </c>
      <c r="C3503" s="3">
        <v>116</v>
      </c>
      <c r="D3503" s="3">
        <v>9</v>
      </c>
      <c r="E3503" s="3" t="s">
        <v>10</v>
      </c>
      <c r="F3503" s="4">
        <v>63.5</v>
      </c>
      <c r="G3503" s="4"/>
      <c r="H3503" s="4">
        <f t="shared" si="341"/>
        <v>63.5</v>
      </c>
    </row>
    <row r="3504" ht="14.25" spans="1:8">
      <c r="A3504" s="3" t="str">
        <f>"12601211610"</f>
        <v>12601211610</v>
      </c>
      <c r="B3504" s="3">
        <v>2</v>
      </c>
      <c r="C3504" s="3">
        <v>116</v>
      </c>
      <c r="D3504" s="3">
        <v>10</v>
      </c>
      <c r="E3504" s="3" t="s">
        <v>10</v>
      </c>
      <c r="F3504" s="4">
        <v>49</v>
      </c>
      <c r="G3504" s="4"/>
      <c r="H3504" s="4">
        <f t="shared" si="341"/>
        <v>49</v>
      </c>
    </row>
    <row r="3505" ht="14.25" spans="1:8">
      <c r="A3505" s="3" t="str">
        <f>"12601211611"</f>
        <v>12601211611</v>
      </c>
      <c r="B3505" s="3">
        <v>2</v>
      </c>
      <c r="C3505" s="3">
        <v>116</v>
      </c>
      <c r="D3505" s="3">
        <v>11</v>
      </c>
      <c r="E3505" s="3" t="s">
        <v>10</v>
      </c>
      <c r="F3505" s="4">
        <v>76</v>
      </c>
      <c r="G3505" s="4"/>
      <c r="H3505" s="4">
        <f t="shared" si="341"/>
        <v>76</v>
      </c>
    </row>
    <row r="3506" ht="14.25" spans="1:8">
      <c r="A3506" s="3" t="str">
        <f>"12601211612"</f>
        <v>12601211612</v>
      </c>
      <c r="B3506" s="3">
        <v>2</v>
      </c>
      <c r="C3506" s="3">
        <v>116</v>
      </c>
      <c r="D3506" s="3">
        <v>12</v>
      </c>
      <c r="E3506" s="3" t="s">
        <v>10</v>
      </c>
      <c r="F3506" s="4">
        <v>62.5</v>
      </c>
      <c r="G3506" s="4"/>
      <c r="H3506" s="4">
        <f t="shared" si="341"/>
        <v>62.5</v>
      </c>
    </row>
    <row r="3507" ht="14.25" spans="1:8">
      <c r="A3507" s="3" t="str">
        <f>"12601211613"</f>
        <v>12601211613</v>
      </c>
      <c r="B3507" s="3">
        <v>2</v>
      </c>
      <c r="C3507" s="3">
        <v>116</v>
      </c>
      <c r="D3507" s="3">
        <v>13</v>
      </c>
      <c r="E3507" s="3" t="s">
        <v>10</v>
      </c>
      <c r="F3507" s="4">
        <v>77</v>
      </c>
      <c r="G3507" s="4"/>
      <c r="H3507" s="4">
        <f t="shared" si="341"/>
        <v>77</v>
      </c>
    </row>
    <row r="3508" ht="14.25" spans="1:8">
      <c r="A3508" s="3" t="str">
        <f>"12601211614"</f>
        <v>12601211614</v>
      </c>
      <c r="B3508" s="3">
        <v>2</v>
      </c>
      <c r="C3508" s="3">
        <v>116</v>
      </c>
      <c r="D3508" s="3">
        <v>14</v>
      </c>
      <c r="E3508" s="3" t="s">
        <v>10</v>
      </c>
      <c r="F3508" s="4">
        <v>75</v>
      </c>
      <c r="G3508" s="4"/>
      <c r="H3508" s="4">
        <f t="shared" si="341"/>
        <v>75</v>
      </c>
    </row>
    <row r="3509" ht="14.25" spans="1:8">
      <c r="A3509" s="3" t="str">
        <f>"12601211615"</f>
        <v>12601211615</v>
      </c>
      <c r="B3509" s="3">
        <v>2</v>
      </c>
      <c r="C3509" s="3">
        <v>116</v>
      </c>
      <c r="D3509" s="3">
        <v>15</v>
      </c>
      <c r="E3509" s="3" t="s">
        <v>10</v>
      </c>
      <c r="F3509" s="4">
        <v>79.5</v>
      </c>
      <c r="G3509" s="4"/>
      <c r="H3509" s="4">
        <f t="shared" si="341"/>
        <v>79.5</v>
      </c>
    </row>
    <row r="3510" ht="14.25" spans="1:8">
      <c r="A3510" s="3" t="str">
        <f>"12601211616"</f>
        <v>12601211616</v>
      </c>
      <c r="B3510" s="3">
        <v>2</v>
      </c>
      <c r="C3510" s="3">
        <v>116</v>
      </c>
      <c r="D3510" s="3">
        <v>16</v>
      </c>
      <c r="E3510" s="3" t="s">
        <v>10</v>
      </c>
      <c r="F3510" s="4">
        <v>57.5</v>
      </c>
      <c r="G3510" s="4"/>
      <c r="H3510" s="4">
        <f t="shared" si="341"/>
        <v>57.5</v>
      </c>
    </row>
    <row r="3511" ht="14.25" spans="1:8">
      <c r="A3511" s="3" t="str">
        <f>"12601211617"</f>
        <v>12601211617</v>
      </c>
      <c r="B3511" s="3">
        <v>2</v>
      </c>
      <c r="C3511" s="3">
        <v>116</v>
      </c>
      <c r="D3511" s="3">
        <v>17</v>
      </c>
      <c r="E3511" s="3" t="s">
        <v>10</v>
      </c>
      <c r="F3511" s="4">
        <v>70.5</v>
      </c>
      <c r="G3511" s="4"/>
      <c r="H3511" s="4">
        <f t="shared" si="341"/>
        <v>70.5</v>
      </c>
    </row>
    <row r="3512" ht="14.25" spans="1:8">
      <c r="A3512" s="3" t="str">
        <f>"12601211618"</f>
        <v>12601211618</v>
      </c>
      <c r="B3512" s="3">
        <v>2</v>
      </c>
      <c r="C3512" s="3">
        <v>116</v>
      </c>
      <c r="D3512" s="3">
        <v>18</v>
      </c>
      <c r="E3512" s="3" t="s">
        <v>10</v>
      </c>
      <c r="F3512" s="4">
        <v>71</v>
      </c>
      <c r="G3512" s="4"/>
      <c r="H3512" s="4">
        <f t="shared" si="341"/>
        <v>71</v>
      </c>
    </row>
    <row r="3513" ht="14.25" spans="1:8">
      <c r="A3513" s="3" t="str">
        <f>"12601211619"</f>
        <v>12601211619</v>
      </c>
      <c r="B3513" s="3">
        <v>2</v>
      </c>
      <c r="C3513" s="3">
        <v>116</v>
      </c>
      <c r="D3513" s="3">
        <v>19</v>
      </c>
      <c r="E3513" s="3" t="s">
        <v>10</v>
      </c>
      <c r="F3513" s="4">
        <v>53.5</v>
      </c>
      <c r="G3513" s="4"/>
      <c r="H3513" s="4">
        <f t="shared" si="341"/>
        <v>53.5</v>
      </c>
    </row>
    <row r="3514" ht="14.25" spans="1:8">
      <c r="A3514" s="3" t="str">
        <f>"12601211620"</f>
        <v>12601211620</v>
      </c>
      <c r="B3514" s="3">
        <v>2</v>
      </c>
      <c r="C3514" s="3">
        <v>116</v>
      </c>
      <c r="D3514" s="3">
        <v>20</v>
      </c>
      <c r="E3514" s="3" t="s">
        <v>10</v>
      </c>
      <c r="F3514" s="4">
        <v>52.5</v>
      </c>
      <c r="G3514" s="4"/>
      <c r="H3514" s="4">
        <f t="shared" si="341"/>
        <v>52.5</v>
      </c>
    </row>
    <row r="3515" ht="14.25" spans="1:8">
      <c r="A3515" s="3" t="str">
        <f>"12601211621"</f>
        <v>12601211621</v>
      </c>
      <c r="B3515" s="3">
        <v>2</v>
      </c>
      <c r="C3515" s="3">
        <v>116</v>
      </c>
      <c r="D3515" s="3">
        <v>21</v>
      </c>
      <c r="E3515" s="3" t="s">
        <v>10</v>
      </c>
      <c r="F3515" s="4">
        <v>47</v>
      </c>
      <c r="G3515" s="4"/>
      <c r="H3515" s="4">
        <f t="shared" si="341"/>
        <v>47</v>
      </c>
    </row>
    <row r="3516" ht="14.25" spans="1:8">
      <c r="A3516" s="3" t="str">
        <f>"12601211622"</f>
        <v>12601211622</v>
      </c>
      <c r="B3516" s="3">
        <v>2</v>
      </c>
      <c r="C3516" s="3">
        <v>116</v>
      </c>
      <c r="D3516" s="3">
        <v>22</v>
      </c>
      <c r="E3516" s="3" t="s">
        <v>10</v>
      </c>
      <c r="F3516" s="4">
        <v>62</v>
      </c>
      <c r="G3516" s="4"/>
      <c r="H3516" s="4">
        <f t="shared" si="341"/>
        <v>62</v>
      </c>
    </row>
    <row r="3517" ht="14.25" spans="1:8">
      <c r="A3517" s="3" t="str">
        <f>"12601211623"</f>
        <v>12601211623</v>
      </c>
      <c r="B3517" s="3">
        <v>2</v>
      </c>
      <c r="C3517" s="3">
        <v>116</v>
      </c>
      <c r="D3517" s="3">
        <v>23</v>
      </c>
      <c r="E3517" s="3" t="s">
        <v>10</v>
      </c>
      <c r="F3517" s="4">
        <v>52</v>
      </c>
      <c r="G3517" s="4"/>
      <c r="H3517" s="4">
        <f t="shared" si="341"/>
        <v>52</v>
      </c>
    </row>
    <row r="3518" ht="14.25" spans="1:8">
      <c r="A3518" s="3" t="str">
        <f>"12601211624"</f>
        <v>12601211624</v>
      </c>
      <c r="B3518" s="3">
        <v>2</v>
      </c>
      <c r="C3518" s="3">
        <v>116</v>
      </c>
      <c r="D3518" s="3">
        <v>24</v>
      </c>
      <c r="E3518" s="3" t="s">
        <v>10</v>
      </c>
      <c r="F3518" s="4">
        <v>68.5</v>
      </c>
      <c r="G3518" s="4"/>
      <c r="H3518" s="4">
        <f t="shared" si="341"/>
        <v>68.5</v>
      </c>
    </row>
    <row r="3519" ht="14.25" spans="1:8">
      <c r="A3519" s="3" t="str">
        <f>"12601211625"</f>
        <v>12601211625</v>
      </c>
      <c r="B3519" s="3">
        <v>2</v>
      </c>
      <c r="C3519" s="3">
        <v>116</v>
      </c>
      <c r="D3519" s="3">
        <v>25</v>
      </c>
      <c r="E3519" s="3" t="s">
        <v>10</v>
      </c>
      <c r="F3519" s="4">
        <v>59.5</v>
      </c>
      <c r="G3519" s="4"/>
      <c r="H3519" s="4">
        <f t="shared" si="341"/>
        <v>59.5</v>
      </c>
    </row>
    <row r="3520" ht="14.25" spans="1:8">
      <c r="A3520" s="3" t="str">
        <f>"12601211626"</f>
        <v>12601211626</v>
      </c>
      <c r="B3520" s="3">
        <v>2</v>
      </c>
      <c r="C3520" s="3">
        <v>116</v>
      </c>
      <c r="D3520" s="3">
        <v>26</v>
      </c>
      <c r="E3520" s="3" t="s">
        <v>10</v>
      </c>
      <c r="F3520" s="4">
        <v>55</v>
      </c>
      <c r="G3520" s="4"/>
      <c r="H3520" s="4">
        <f t="shared" si="341"/>
        <v>55</v>
      </c>
    </row>
    <row r="3521" ht="14.25" spans="1:8">
      <c r="A3521" s="3" t="str">
        <f>"12601211627"</f>
        <v>12601211627</v>
      </c>
      <c r="B3521" s="3">
        <v>2</v>
      </c>
      <c r="C3521" s="3">
        <v>116</v>
      </c>
      <c r="D3521" s="3">
        <v>27</v>
      </c>
      <c r="E3521" s="3" t="s">
        <v>10</v>
      </c>
      <c r="F3521" s="4">
        <v>70.5</v>
      </c>
      <c r="G3521" s="4"/>
      <c r="H3521" s="4">
        <f t="shared" si="341"/>
        <v>70.5</v>
      </c>
    </row>
    <row r="3522" ht="14.25" spans="1:8">
      <c r="A3522" s="3" t="str">
        <f>"12601211628"</f>
        <v>12601211628</v>
      </c>
      <c r="B3522" s="3">
        <v>2</v>
      </c>
      <c r="C3522" s="3">
        <v>116</v>
      </c>
      <c r="D3522" s="3">
        <v>28</v>
      </c>
      <c r="E3522" s="3" t="s">
        <v>10</v>
      </c>
      <c r="F3522" s="4">
        <v>61.5</v>
      </c>
      <c r="G3522" s="4"/>
      <c r="H3522" s="4">
        <f t="shared" si="341"/>
        <v>61.5</v>
      </c>
    </row>
    <row r="3523" ht="14.25" spans="1:8">
      <c r="A3523" s="3" t="str">
        <f>"12601211629"</f>
        <v>12601211629</v>
      </c>
      <c r="B3523" s="3">
        <v>2</v>
      </c>
      <c r="C3523" s="3">
        <v>116</v>
      </c>
      <c r="D3523" s="3">
        <v>29</v>
      </c>
      <c r="E3523" s="3" t="s">
        <v>10</v>
      </c>
      <c r="F3523" s="4">
        <v>65.5</v>
      </c>
      <c r="G3523" s="4"/>
      <c r="H3523" s="4">
        <f t="shared" si="341"/>
        <v>65.5</v>
      </c>
    </row>
    <row r="3524" ht="14.25" spans="1:8">
      <c r="A3524" s="3" t="str">
        <f>"12601211630"</f>
        <v>12601211630</v>
      </c>
      <c r="B3524" s="3">
        <v>2</v>
      </c>
      <c r="C3524" s="3">
        <v>116</v>
      </c>
      <c r="D3524" s="3">
        <v>30</v>
      </c>
      <c r="E3524" s="3" t="s">
        <v>10</v>
      </c>
      <c r="F3524" s="4">
        <v>52</v>
      </c>
      <c r="G3524" s="4"/>
      <c r="H3524" s="4">
        <f t="shared" si="341"/>
        <v>52</v>
      </c>
    </row>
    <row r="3525" ht="14.25" spans="1:8">
      <c r="A3525" s="3" t="str">
        <f>"12602211701"</f>
        <v>12602211701</v>
      </c>
      <c r="B3525" s="3">
        <v>2</v>
      </c>
      <c r="C3525" s="3">
        <v>117</v>
      </c>
      <c r="D3525" s="3">
        <v>1</v>
      </c>
      <c r="E3525" s="3" t="s">
        <v>10</v>
      </c>
      <c r="F3525" s="4">
        <v>75.5</v>
      </c>
      <c r="G3525" s="4"/>
      <c r="H3525" s="4">
        <f t="shared" si="341"/>
        <v>75.5</v>
      </c>
    </row>
    <row r="3526" ht="14.25" spans="1:8">
      <c r="A3526" s="3" t="str">
        <f>"12602211702"</f>
        <v>12602211702</v>
      </c>
      <c r="B3526" s="3">
        <v>2</v>
      </c>
      <c r="C3526" s="3">
        <v>117</v>
      </c>
      <c r="D3526" s="3">
        <v>2</v>
      </c>
      <c r="E3526" s="3" t="s">
        <v>10</v>
      </c>
      <c r="F3526" s="4">
        <v>67.5</v>
      </c>
      <c r="G3526" s="4"/>
      <c r="H3526" s="4">
        <f t="shared" si="341"/>
        <v>67.5</v>
      </c>
    </row>
    <row r="3527" ht="14.25" spans="1:8">
      <c r="A3527" s="3" t="str">
        <f>"12602211703"</f>
        <v>12602211703</v>
      </c>
      <c r="B3527" s="3">
        <v>2</v>
      </c>
      <c r="C3527" s="3">
        <v>117</v>
      </c>
      <c r="D3527" s="3">
        <v>3</v>
      </c>
      <c r="E3527" s="3" t="s">
        <v>10</v>
      </c>
      <c r="F3527" s="3">
        <v>0</v>
      </c>
      <c r="G3527" s="4"/>
      <c r="H3527" s="3">
        <v>0</v>
      </c>
    </row>
    <row r="3528" ht="14.25" spans="1:8">
      <c r="A3528" s="3" t="str">
        <f>"12602211704"</f>
        <v>12602211704</v>
      </c>
      <c r="B3528" s="3">
        <v>2</v>
      </c>
      <c r="C3528" s="3">
        <v>117</v>
      </c>
      <c r="D3528" s="3">
        <v>4</v>
      </c>
      <c r="E3528" s="3" t="s">
        <v>10</v>
      </c>
      <c r="F3528" s="4">
        <v>45.5</v>
      </c>
      <c r="G3528" s="4"/>
      <c r="H3528" s="4">
        <f t="shared" ref="H3528:H3531" si="342">F3528+G3528</f>
        <v>45.5</v>
      </c>
    </row>
    <row r="3529" ht="14.25" spans="1:8">
      <c r="A3529" s="3" t="str">
        <f>"12602211705"</f>
        <v>12602211705</v>
      </c>
      <c r="B3529" s="3">
        <v>2</v>
      </c>
      <c r="C3529" s="3">
        <v>117</v>
      </c>
      <c r="D3529" s="3">
        <v>5</v>
      </c>
      <c r="E3529" s="3" t="s">
        <v>10</v>
      </c>
      <c r="F3529" s="4">
        <v>84.5</v>
      </c>
      <c r="G3529" s="4"/>
      <c r="H3529" s="4">
        <f t="shared" si="342"/>
        <v>84.5</v>
      </c>
    </row>
    <row r="3530" ht="14.25" spans="1:8">
      <c r="A3530" s="3" t="str">
        <f>"12602211706"</f>
        <v>12602211706</v>
      </c>
      <c r="B3530" s="3">
        <v>2</v>
      </c>
      <c r="C3530" s="3">
        <v>117</v>
      </c>
      <c r="D3530" s="3">
        <v>6</v>
      </c>
      <c r="E3530" s="3" t="s">
        <v>10</v>
      </c>
      <c r="F3530" s="4">
        <v>51</v>
      </c>
      <c r="G3530" s="4"/>
      <c r="H3530" s="4">
        <f t="shared" si="342"/>
        <v>51</v>
      </c>
    </row>
    <row r="3531" ht="14.25" spans="1:8">
      <c r="A3531" s="3" t="str">
        <f>"12602211707"</f>
        <v>12602211707</v>
      </c>
      <c r="B3531" s="3">
        <v>2</v>
      </c>
      <c r="C3531" s="3">
        <v>117</v>
      </c>
      <c r="D3531" s="3">
        <v>7</v>
      </c>
      <c r="E3531" s="3" t="s">
        <v>10</v>
      </c>
      <c r="F3531" s="4">
        <v>48.5</v>
      </c>
      <c r="G3531" s="4"/>
      <c r="H3531" s="4">
        <f t="shared" si="342"/>
        <v>48.5</v>
      </c>
    </row>
    <row r="3532" ht="14.25" spans="1:8">
      <c r="A3532" s="3" t="str">
        <f>"12602211708"</f>
        <v>12602211708</v>
      </c>
      <c r="B3532" s="3">
        <v>2</v>
      </c>
      <c r="C3532" s="3">
        <v>117</v>
      </c>
      <c r="D3532" s="3">
        <v>8</v>
      </c>
      <c r="E3532" s="3" t="s">
        <v>10</v>
      </c>
      <c r="F3532" s="3">
        <v>0</v>
      </c>
      <c r="G3532" s="4"/>
      <c r="H3532" s="3">
        <v>0</v>
      </c>
    </row>
    <row r="3533" ht="14.25" spans="1:8">
      <c r="A3533" s="3" t="str">
        <f>"12602211709"</f>
        <v>12602211709</v>
      </c>
      <c r="B3533" s="3">
        <v>2</v>
      </c>
      <c r="C3533" s="3">
        <v>117</v>
      </c>
      <c r="D3533" s="3">
        <v>9</v>
      </c>
      <c r="E3533" s="3" t="s">
        <v>10</v>
      </c>
      <c r="F3533" s="4">
        <v>73</v>
      </c>
      <c r="G3533" s="4"/>
      <c r="H3533" s="4">
        <f t="shared" ref="H3533:H3548" si="343">F3533+G3533</f>
        <v>73</v>
      </c>
    </row>
    <row r="3534" ht="14.25" spans="1:8">
      <c r="A3534" s="3" t="str">
        <f>"12602211710"</f>
        <v>12602211710</v>
      </c>
      <c r="B3534" s="3">
        <v>2</v>
      </c>
      <c r="C3534" s="3">
        <v>117</v>
      </c>
      <c r="D3534" s="3">
        <v>10</v>
      </c>
      <c r="E3534" s="3" t="s">
        <v>10</v>
      </c>
      <c r="F3534" s="4">
        <v>71.5</v>
      </c>
      <c r="G3534" s="4"/>
      <c r="H3534" s="4">
        <f t="shared" si="343"/>
        <v>71.5</v>
      </c>
    </row>
    <row r="3535" ht="14.25" spans="1:8">
      <c r="A3535" s="3" t="str">
        <f>"12602211711"</f>
        <v>12602211711</v>
      </c>
      <c r="B3535" s="3">
        <v>2</v>
      </c>
      <c r="C3535" s="3">
        <v>117</v>
      </c>
      <c r="D3535" s="3">
        <v>11</v>
      </c>
      <c r="E3535" s="3" t="s">
        <v>10</v>
      </c>
      <c r="F3535" s="3">
        <v>0</v>
      </c>
      <c r="G3535" s="4"/>
      <c r="H3535" s="3">
        <v>0</v>
      </c>
    </row>
    <row r="3536" ht="14.25" spans="1:8">
      <c r="A3536" s="3" t="str">
        <f>"12602211712"</f>
        <v>12602211712</v>
      </c>
      <c r="B3536" s="3">
        <v>2</v>
      </c>
      <c r="C3536" s="3">
        <v>117</v>
      </c>
      <c r="D3536" s="3">
        <v>12</v>
      </c>
      <c r="E3536" s="3" t="s">
        <v>10</v>
      </c>
      <c r="F3536" s="4">
        <v>78.5</v>
      </c>
      <c r="G3536" s="4"/>
      <c r="H3536" s="4">
        <f t="shared" si="343"/>
        <v>78.5</v>
      </c>
    </row>
    <row r="3537" ht="14.25" spans="1:8">
      <c r="A3537" s="3" t="str">
        <f>"12602211713"</f>
        <v>12602211713</v>
      </c>
      <c r="B3537" s="3">
        <v>2</v>
      </c>
      <c r="C3537" s="3">
        <v>117</v>
      </c>
      <c r="D3537" s="3">
        <v>13</v>
      </c>
      <c r="E3537" s="3" t="s">
        <v>10</v>
      </c>
      <c r="F3537" s="4">
        <v>65</v>
      </c>
      <c r="G3537" s="4"/>
      <c r="H3537" s="4">
        <f t="shared" si="343"/>
        <v>65</v>
      </c>
    </row>
    <row r="3538" ht="14.25" spans="1:8">
      <c r="A3538" s="3" t="str">
        <f>"12602211714"</f>
        <v>12602211714</v>
      </c>
      <c r="B3538" s="3">
        <v>2</v>
      </c>
      <c r="C3538" s="3">
        <v>117</v>
      </c>
      <c r="D3538" s="3">
        <v>14</v>
      </c>
      <c r="E3538" s="3" t="s">
        <v>10</v>
      </c>
      <c r="F3538" s="4">
        <v>64</v>
      </c>
      <c r="G3538" s="4"/>
      <c r="H3538" s="4">
        <f t="shared" si="343"/>
        <v>64</v>
      </c>
    </row>
    <row r="3539" ht="14.25" spans="1:8">
      <c r="A3539" s="3" t="str">
        <f>"12602211715"</f>
        <v>12602211715</v>
      </c>
      <c r="B3539" s="3">
        <v>2</v>
      </c>
      <c r="C3539" s="3">
        <v>117</v>
      </c>
      <c r="D3539" s="3">
        <v>15</v>
      </c>
      <c r="E3539" s="3" t="s">
        <v>10</v>
      </c>
      <c r="F3539" s="4">
        <v>63</v>
      </c>
      <c r="G3539" s="4"/>
      <c r="H3539" s="4">
        <f t="shared" si="343"/>
        <v>63</v>
      </c>
    </row>
    <row r="3540" ht="14.25" spans="1:8">
      <c r="A3540" s="3" t="str">
        <f>"12602211716"</f>
        <v>12602211716</v>
      </c>
      <c r="B3540" s="3">
        <v>2</v>
      </c>
      <c r="C3540" s="3">
        <v>117</v>
      </c>
      <c r="D3540" s="3">
        <v>16</v>
      </c>
      <c r="E3540" s="3" t="s">
        <v>10</v>
      </c>
      <c r="F3540" s="4">
        <v>46</v>
      </c>
      <c r="G3540" s="4"/>
      <c r="H3540" s="4">
        <f t="shared" si="343"/>
        <v>46</v>
      </c>
    </row>
    <row r="3541" ht="14.25" spans="1:8">
      <c r="A3541" s="3" t="str">
        <f>"12602211717"</f>
        <v>12602211717</v>
      </c>
      <c r="B3541" s="3">
        <v>2</v>
      </c>
      <c r="C3541" s="3">
        <v>117</v>
      </c>
      <c r="D3541" s="3">
        <v>17</v>
      </c>
      <c r="E3541" s="3" t="s">
        <v>10</v>
      </c>
      <c r="F3541" s="4">
        <v>83</v>
      </c>
      <c r="G3541" s="4"/>
      <c r="H3541" s="4">
        <f t="shared" si="343"/>
        <v>83</v>
      </c>
    </row>
    <row r="3542" ht="14.25" spans="1:8">
      <c r="A3542" s="3" t="str">
        <f>"12602211718"</f>
        <v>12602211718</v>
      </c>
      <c r="B3542" s="3">
        <v>2</v>
      </c>
      <c r="C3542" s="3">
        <v>117</v>
      </c>
      <c r="D3542" s="3">
        <v>18</v>
      </c>
      <c r="E3542" s="3" t="s">
        <v>10</v>
      </c>
      <c r="F3542" s="4">
        <v>78</v>
      </c>
      <c r="G3542" s="4"/>
      <c r="H3542" s="4">
        <f t="shared" si="343"/>
        <v>78</v>
      </c>
    </row>
    <row r="3543" ht="14.25" spans="1:8">
      <c r="A3543" s="3" t="str">
        <f>"12602211719"</f>
        <v>12602211719</v>
      </c>
      <c r="B3543" s="3">
        <v>2</v>
      </c>
      <c r="C3543" s="3">
        <v>117</v>
      </c>
      <c r="D3543" s="3">
        <v>19</v>
      </c>
      <c r="E3543" s="3" t="s">
        <v>10</v>
      </c>
      <c r="F3543" s="4">
        <v>86</v>
      </c>
      <c r="G3543" s="4"/>
      <c r="H3543" s="4">
        <f t="shared" si="343"/>
        <v>86</v>
      </c>
    </row>
    <row r="3544" ht="14.25" spans="1:8">
      <c r="A3544" s="3" t="str">
        <f>"12602211720"</f>
        <v>12602211720</v>
      </c>
      <c r="B3544" s="3">
        <v>2</v>
      </c>
      <c r="C3544" s="3">
        <v>117</v>
      </c>
      <c r="D3544" s="3">
        <v>20</v>
      </c>
      <c r="E3544" s="3" t="s">
        <v>10</v>
      </c>
      <c r="F3544" s="4">
        <v>78</v>
      </c>
      <c r="G3544" s="4"/>
      <c r="H3544" s="4">
        <f t="shared" si="343"/>
        <v>78</v>
      </c>
    </row>
    <row r="3545" ht="14.25" spans="1:8">
      <c r="A3545" s="3" t="str">
        <f>"12602211721"</f>
        <v>12602211721</v>
      </c>
      <c r="B3545" s="3">
        <v>2</v>
      </c>
      <c r="C3545" s="3">
        <v>117</v>
      </c>
      <c r="D3545" s="3">
        <v>21</v>
      </c>
      <c r="E3545" s="3" t="s">
        <v>10</v>
      </c>
      <c r="F3545" s="4">
        <v>62</v>
      </c>
      <c r="G3545" s="4"/>
      <c r="H3545" s="4">
        <f t="shared" si="343"/>
        <v>62</v>
      </c>
    </row>
    <row r="3546" ht="14.25" spans="1:8">
      <c r="A3546" s="3" t="str">
        <f>"12602211722"</f>
        <v>12602211722</v>
      </c>
      <c r="B3546" s="3">
        <v>2</v>
      </c>
      <c r="C3546" s="3">
        <v>117</v>
      </c>
      <c r="D3546" s="3">
        <v>22</v>
      </c>
      <c r="E3546" s="3" t="s">
        <v>10</v>
      </c>
      <c r="F3546" s="4">
        <v>79</v>
      </c>
      <c r="G3546" s="4"/>
      <c r="H3546" s="4">
        <f t="shared" si="343"/>
        <v>79</v>
      </c>
    </row>
    <row r="3547" ht="14.25" spans="1:8">
      <c r="A3547" s="3" t="str">
        <f>"12602211723"</f>
        <v>12602211723</v>
      </c>
      <c r="B3547" s="3">
        <v>2</v>
      </c>
      <c r="C3547" s="3">
        <v>117</v>
      </c>
      <c r="D3547" s="3">
        <v>23</v>
      </c>
      <c r="E3547" s="3" t="s">
        <v>10</v>
      </c>
      <c r="F3547" s="4">
        <v>59.5</v>
      </c>
      <c r="G3547" s="4"/>
      <c r="H3547" s="4">
        <f t="shared" si="343"/>
        <v>59.5</v>
      </c>
    </row>
    <row r="3548" ht="14.25" spans="1:8">
      <c r="A3548" s="3" t="str">
        <f>"12602211724"</f>
        <v>12602211724</v>
      </c>
      <c r="B3548" s="3">
        <v>2</v>
      </c>
      <c r="C3548" s="3">
        <v>117</v>
      </c>
      <c r="D3548" s="3">
        <v>24</v>
      </c>
      <c r="E3548" s="3" t="s">
        <v>10</v>
      </c>
      <c r="F3548" s="4">
        <v>56.5</v>
      </c>
      <c r="G3548" s="4"/>
      <c r="H3548" s="4">
        <f t="shared" si="343"/>
        <v>56.5</v>
      </c>
    </row>
    <row r="3549" ht="14.25" spans="1:8">
      <c r="A3549" s="3" t="str">
        <f>"12602211725"</f>
        <v>12602211725</v>
      </c>
      <c r="B3549" s="3">
        <v>2</v>
      </c>
      <c r="C3549" s="3">
        <v>117</v>
      </c>
      <c r="D3549" s="3">
        <v>25</v>
      </c>
      <c r="E3549" s="3" t="s">
        <v>10</v>
      </c>
      <c r="F3549" s="3">
        <v>0</v>
      </c>
      <c r="G3549" s="4"/>
      <c r="H3549" s="3">
        <v>0</v>
      </c>
    </row>
    <row r="3550" ht="14.25" spans="1:8">
      <c r="A3550" s="3" t="str">
        <f>"12602211726"</f>
        <v>12602211726</v>
      </c>
      <c r="B3550" s="3">
        <v>2</v>
      </c>
      <c r="C3550" s="3">
        <v>117</v>
      </c>
      <c r="D3550" s="3">
        <v>26</v>
      </c>
      <c r="E3550" s="3" t="s">
        <v>10</v>
      </c>
      <c r="F3550" s="4">
        <v>75.5</v>
      </c>
      <c r="G3550" s="4"/>
      <c r="H3550" s="4">
        <f t="shared" ref="H3550:H3554" si="344">F3550+G3550</f>
        <v>75.5</v>
      </c>
    </row>
    <row r="3551" ht="14.25" spans="1:8">
      <c r="A3551" s="3" t="str">
        <f>"12602211727"</f>
        <v>12602211727</v>
      </c>
      <c r="B3551" s="3">
        <v>2</v>
      </c>
      <c r="C3551" s="3">
        <v>117</v>
      </c>
      <c r="D3551" s="3">
        <v>27</v>
      </c>
      <c r="E3551" s="3" t="s">
        <v>10</v>
      </c>
      <c r="F3551" s="3">
        <v>0</v>
      </c>
      <c r="G3551" s="4"/>
      <c r="H3551" s="3">
        <v>0</v>
      </c>
    </row>
    <row r="3552" ht="14.25" spans="1:8">
      <c r="A3552" s="3" t="str">
        <f>"12602211728"</f>
        <v>12602211728</v>
      </c>
      <c r="B3552" s="3">
        <v>2</v>
      </c>
      <c r="C3552" s="3">
        <v>117</v>
      </c>
      <c r="D3552" s="3">
        <v>28</v>
      </c>
      <c r="E3552" s="3" t="s">
        <v>10</v>
      </c>
      <c r="F3552" s="4">
        <v>69</v>
      </c>
      <c r="G3552" s="4"/>
      <c r="H3552" s="4">
        <f t="shared" si="344"/>
        <v>69</v>
      </c>
    </row>
    <row r="3553" ht="14.25" spans="1:8">
      <c r="A3553" s="3" t="str">
        <f>"12602211729"</f>
        <v>12602211729</v>
      </c>
      <c r="B3553" s="3">
        <v>2</v>
      </c>
      <c r="C3553" s="3">
        <v>117</v>
      </c>
      <c r="D3553" s="3">
        <v>29</v>
      </c>
      <c r="E3553" s="3" t="s">
        <v>10</v>
      </c>
      <c r="F3553" s="4">
        <v>61</v>
      </c>
      <c r="G3553" s="4"/>
      <c r="H3553" s="4">
        <f t="shared" si="344"/>
        <v>61</v>
      </c>
    </row>
    <row r="3554" ht="14.25" spans="1:8">
      <c r="A3554" s="3" t="str">
        <f>"12602211730"</f>
        <v>12602211730</v>
      </c>
      <c r="B3554" s="3">
        <v>2</v>
      </c>
      <c r="C3554" s="3">
        <v>117</v>
      </c>
      <c r="D3554" s="3">
        <v>30</v>
      </c>
      <c r="E3554" s="3" t="s">
        <v>10</v>
      </c>
      <c r="F3554" s="4">
        <v>74</v>
      </c>
      <c r="G3554" s="4"/>
      <c r="H3554" s="4">
        <f t="shared" si="344"/>
        <v>74</v>
      </c>
    </row>
    <row r="3555" ht="14.25" spans="1:8">
      <c r="A3555" s="3" t="str">
        <f>"12602211801"</f>
        <v>12602211801</v>
      </c>
      <c r="B3555" s="3">
        <v>2</v>
      </c>
      <c r="C3555" s="3">
        <v>118</v>
      </c>
      <c r="D3555" s="3">
        <v>1</v>
      </c>
      <c r="E3555" s="3" t="s">
        <v>10</v>
      </c>
      <c r="F3555" s="3">
        <v>0</v>
      </c>
      <c r="G3555" s="4"/>
      <c r="H3555" s="3">
        <v>0</v>
      </c>
    </row>
    <row r="3556" ht="14.25" spans="1:8">
      <c r="A3556" s="3" t="str">
        <f>"12602211802"</f>
        <v>12602211802</v>
      </c>
      <c r="B3556" s="3">
        <v>2</v>
      </c>
      <c r="C3556" s="3">
        <v>118</v>
      </c>
      <c r="D3556" s="3">
        <v>2</v>
      </c>
      <c r="E3556" s="3" t="s">
        <v>10</v>
      </c>
      <c r="F3556" s="4">
        <v>69.5</v>
      </c>
      <c r="G3556" s="4"/>
      <c r="H3556" s="4">
        <f t="shared" ref="H3556:H3561" si="345">F3556+G3556</f>
        <v>69.5</v>
      </c>
    </row>
    <row r="3557" ht="14.25" spans="1:8">
      <c r="A3557" s="3" t="str">
        <f>"12602211803"</f>
        <v>12602211803</v>
      </c>
      <c r="B3557" s="3">
        <v>2</v>
      </c>
      <c r="C3557" s="3">
        <v>118</v>
      </c>
      <c r="D3557" s="3">
        <v>3</v>
      </c>
      <c r="E3557" s="3" t="s">
        <v>10</v>
      </c>
      <c r="F3557" s="4">
        <v>60.5</v>
      </c>
      <c r="G3557" s="4"/>
      <c r="H3557" s="4">
        <f t="shared" si="345"/>
        <v>60.5</v>
      </c>
    </row>
    <row r="3558" ht="14.25" spans="1:8">
      <c r="A3558" s="3" t="str">
        <f>"12602211804"</f>
        <v>12602211804</v>
      </c>
      <c r="B3558" s="3">
        <v>2</v>
      </c>
      <c r="C3558" s="3">
        <v>118</v>
      </c>
      <c r="D3558" s="3">
        <v>4</v>
      </c>
      <c r="E3558" s="3" t="s">
        <v>10</v>
      </c>
      <c r="F3558" s="3">
        <v>0</v>
      </c>
      <c r="G3558" s="4"/>
      <c r="H3558" s="3">
        <v>0</v>
      </c>
    </row>
    <row r="3559" ht="14.25" spans="1:8">
      <c r="A3559" s="3" t="str">
        <f>"12602211805"</f>
        <v>12602211805</v>
      </c>
      <c r="B3559" s="3">
        <v>2</v>
      </c>
      <c r="C3559" s="3">
        <v>118</v>
      </c>
      <c r="D3559" s="3">
        <v>5</v>
      </c>
      <c r="E3559" s="3" t="s">
        <v>10</v>
      </c>
      <c r="F3559" s="4">
        <v>55.5</v>
      </c>
      <c r="G3559" s="4"/>
      <c r="H3559" s="4">
        <f t="shared" si="345"/>
        <v>55.5</v>
      </c>
    </row>
    <row r="3560" ht="14.25" spans="1:8">
      <c r="A3560" s="3" t="str">
        <f>"12602211806"</f>
        <v>12602211806</v>
      </c>
      <c r="B3560" s="3">
        <v>2</v>
      </c>
      <c r="C3560" s="3">
        <v>118</v>
      </c>
      <c r="D3560" s="3">
        <v>6</v>
      </c>
      <c r="E3560" s="3" t="s">
        <v>10</v>
      </c>
      <c r="F3560" s="4">
        <v>52</v>
      </c>
      <c r="G3560" s="4"/>
      <c r="H3560" s="4">
        <f t="shared" si="345"/>
        <v>52</v>
      </c>
    </row>
    <row r="3561" ht="14.25" spans="1:8">
      <c r="A3561" s="3" t="str">
        <f>"12602211807"</f>
        <v>12602211807</v>
      </c>
      <c r="B3561" s="3">
        <v>2</v>
      </c>
      <c r="C3561" s="3">
        <v>118</v>
      </c>
      <c r="D3561" s="3">
        <v>7</v>
      </c>
      <c r="E3561" s="3" t="s">
        <v>10</v>
      </c>
      <c r="F3561" s="4">
        <v>59.5</v>
      </c>
      <c r="G3561" s="4"/>
      <c r="H3561" s="4">
        <f t="shared" si="345"/>
        <v>59.5</v>
      </c>
    </row>
    <row r="3562" ht="14.25" spans="1:8">
      <c r="A3562" s="3" t="str">
        <f>"12602211808"</f>
        <v>12602211808</v>
      </c>
      <c r="B3562" s="3">
        <v>2</v>
      </c>
      <c r="C3562" s="3">
        <v>118</v>
      </c>
      <c r="D3562" s="3">
        <v>8</v>
      </c>
      <c r="E3562" s="3" t="s">
        <v>10</v>
      </c>
      <c r="F3562" s="3">
        <v>0</v>
      </c>
      <c r="G3562" s="4"/>
      <c r="H3562" s="3">
        <v>0</v>
      </c>
    </row>
    <row r="3563" ht="14.25" spans="1:8">
      <c r="A3563" s="3" t="str">
        <f>"12602211809"</f>
        <v>12602211809</v>
      </c>
      <c r="B3563" s="3">
        <v>2</v>
      </c>
      <c r="C3563" s="3">
        <v>118</v>
      </c>
      <c r="D3563" s="3">
        <v>9</v>
      </c>
      <c r="E3563" s="3" t="s">
        <v>10</v>
      </c>
      <c r="F3563" s="4">
        <v>72.5</v>
      </c>
      <c r="G3563" s="4"/>
      <c r="H3563" s="4">
        <f t="shared" ref="H3563:H3570" si="346">F3563+G3563</f>
        <v>72.5</v>
      </c>
    </row>
    <row r="3564" ht="14.25" spans="1:8">
      <c r="A3564" s="3" t="str">
        <f>"12602211810"</f>
        <v>12602211810</v>
      </c>
      <c r="B3564" s="3">
        <v>2</v>
      </c>
      <c r="C3564" s="3">
        <v>118</v>
      </c>
      <c r="D3564" s="3">
        <v>10</v>
      </c>
      <c r="E3564" s="3" t="s">
        <v>10</v>
      </c>
      <c r="F3564" s="3">
        <v>0</v>
      </c>
      <c r="G3564" s="4"/>
      <c r="H3564" s="3">
        <v>0</v>
      </c>
    </row>
    <row r="3565" ht="14.25" spans="1:8">
      <c r="A3565" s="3" t="str">
        <f>"12602211811"</f>
        <v>12602211811</v>
      </c>
      <c r="B3565" s="3">
        <v>2</v>
      </c>
      <c r="C3565" s="3">
        <v>118</v>
      </c>
      <c r="D3565" s="3">
        <v>11</v>
      </c>
      <c r="E3565" s="3" t="s">
        <v>10</v>
      </c>
      <c r="F3565" s="3">
        <v>0</v>
      </c>
      <c r="G3565" s="4"/>
      <c r="H3565" s="3">
        <v>0</v>
      </c>
    </row>
    <row r="3566" ht="14.25" spans="1:8">
      <c r="A3566" s="3" t="str">
        <f>"12602211812"</f>
        <v>12602211812</v>
      </c>
      <c r="B3566" s="3">
        <v>2</v>
      </c>
      <c r="C3566" s="3">
        <v>118</v>
      </c>
      <c r="D3566" s="3">
        <v>12</v>
      </c>
      <c r="E3566" s="3" t="s">
        <v>10</v>
      </c>
      <c r="F3566" s="4">
        <v>87.5</v>
      </c>
      <c r="G3566" s="4"/>
      <c r="H3566" s="4">
        <f t="shared" si="346"/>
        <v>87.5</v>
      </c>
    </row>
    <row r="3567" ht="14.25" spans="1:8">
      <c r="A3567" s="3" t="str">
        <f>"12602211813"</f>
        <v>12602211813</v>
      </c>
      <c r="B3567" s="3">
        <v>2</v>
      </c>
      <c r="C3567" s="3">
        <v>118</v>
      </c>
      <c r="D3567" s="3">
        <v>13</v>
      </c>
      <c r="E3567" s="3" t="s">
        <v>10</v>
      </c>
      <c r="F3567" s="3">
        <v>0</v>
      </c>
      <c r="G3567" s="4"/>
      <c r="H3567" s="3">
        <v>0</v>
      </c>
    </row>
    <row r="3568" ht="14.25" spans="1:8">
      <c r="A3568" s="3" t="str">
        <f>"12602211814"</f>
        <v>12602211814</v>
      </c>
      <c r="B3568" s="3">
        <v>2</v>
      </c>
      <c r="C3568" s="3">
        <v>118</v>
      </c>
      <c r="D3568" s="3">
        <v>14</v>
      </c>
      <c r="E3568" s="3" t="s">
        <v>10</v>
      </c>
      <c r="F3568" s="4">
        <v>86.5</v>
      </c>
      <c r="G3568" s="4"/>
      <c r="H3568" s="4">
        <f t="shared" si="346"/>
        <v>86.5</v>
      </c>
    </row>
    <row r="3569" ht="14.25" spans="1:8">
      <c r="A3569" s="3" t="str">
        <f>"12602211815"</f>
        <v>12602211815</v>
      </c>
      <c r="B3569" s="3">
        <v>2</v>
      </c>
      <c r="C3569" s="3">
        <v>118</v>
      </c>
      <c r="D3569" s="3">
        <v>15</v>
      </c>
      <c r="E3569" s="3" t="s">
        <v>10</v>
      </c>
      <c r="F3569" s="4">
        <v>75.5</v>
      </c>
      <c r="G3569" s="4"/>
      <c r="H3569" s="4">
        <f t="shared" si="346"/>
        <v>75.5</v>
      </c>
    </row>
    <row r="3570" ht="14.25" spans="1:8">
      <c r="A3570" s="3" t="str">
        <f>"12602211816"</f>
        <v>12602211816</v>
      </c>
      <c r="B3570" s="3">
        <v>2</v>
      </c>
      <c r="C3570" s="3">
        <v>118</v>
      </c>
      <c r="D3570" s="3">
        <v>16</v>
      </c>
      <c r="E3570" s="3" t="s">
        <v>10</v>
      </c>
      <c r="F3570" s="4">
        <v>65.5</v>
      </c>
      <c r="G3570" s="4"/>
      <c r="H3570" s="4">
        <f t="shared" si="346"/>
        <v>65.5</v>
      </c>
    </row>
    <row r="3571" ht="14.25" spans="1:8">
      <c r="A3571" s="3" t="str">
        <f>"12602211817"</f>
        <v>12602211817</v>
      </c>
      <c r="B3571" s="3">
        <v>2</v>
      </c>
      <c r="C3571" s="3">
        <v>118</v>
      </c>
      <c r="D3571" s="3">
        <v>17</v>
      </c>
      <c r="E3571" s="3" t="s">
        <v>10</v>
      </c>
      <c r="F3571" s="3">
        <v>0</v>
      </c>
      <c r="G3571" s="4"/>
      <c r="H3571" s="3">
        <v>0</v>
      </c>
    </row>
    <row r="3572" ht="14.25" spans="1:8">
      <c r="A3572" s="3" t="str">
        <f>"12602211818"</f>
        <v>12602211818</v>
      </c>
      <c r="B3572" s="3">
        <v>2</v>
      </c>
      <c r="C3572" s="3">
        <v>118</v>
      </c>
      <c r="D3572" s="3">
        <v>18</v>
      </c>
      <c r="E3572" s="3" t="s">
        <v>10</v>
      </c>
      <c r="F3572" s="4">
        <v>71.5</v>
      </c>
      <c r="G3572" s="4"/>
      <c r="H3572" s="4">
        <f t="shared" ref="H3572:H3575" si="347">F3572+G3572</f>
        <v>71.5</v>
      </c>
    </row>
    <row r="3573" ht="14.25" spans="1:8">
      <c r="A3573" s="3" t="str">
        <f>"12701211819"</f>
        <v>12701211819</v>
      </c>
      <c r="B3573" s="3">
        <v>2</v>
      </c>
      <c r="C3573" s="3">
        <v>118</v>
      </c>
      <c r="D3573" s="3">
        <v>19</v>
      </c>
      <c r="E3573" s="3" t="s">
        <v>10</v>
      </c>
      <c r="F3573" s="4">
        <v>87</v>
      </c>
      <c r="G3573" s="4"/>
      <c r="H3573" s="4">
        <f t="shared" si="347"/>
        <v>87</v>
      </c>
    </row>
    <row r="3574" ht="14.25" spans="1:8">
      <c r="A3574" s="3" t="str">
        <f>"12701211820"</f>
        <v>12701211820</v>
      </c>
      <c r="B3574" s="3">
        <v>2</v>
      </c>
      <c r="C3574" s="3">
        <v>118</v>
      </c>
      <c r="D3574" s="3">
        <v>20</v>
      </c>
      <c r="E3574" s="3" t="s">
        <v>10</v>
      </c>
      <c r="F3574" s="4">
        <v>81</v>
      </c>
      <c r="G3574" s="4"/>
      <c r="H3574" s="4">
        <f t="shared" si="347"/>
        <v>81</v>
      </c>
    </row>
    <row r="3575" ht="14.25" spans="1:8">
      <c r="A3575" s="3" t="str">
        <f>"12701211821"</f>
        <v>12701211821</v>
      </c>
      <c r="B3575" s="3">
        <v>2</v>
      </c>
      <c r="C3575" s="3">
        <v>118</v>
      </c>
      <c r="D3575" s="3">
        <v>21</v>
      </c>
      <c r="E3575" s="3" t="s">
        <v>10</v>
      </c>
      <c r="F3575" s="4">
        <v>84</v>
      </c>
      <c r="G3575" s="4"/>
      <c r="H3575" s="4">
        <f t="shared" si="347"/>
        <v>84</v>
      </c>
    </row>
    <row r="3576" ht="14.25" spans="1:8">
      <c r="A3576" s="3" t="str">
        <f>"12701211822"</f>
        <v>12701211822</v>
      </c>
      <c r="B3576" s="3">
        <v>2</v>
      </c>
      <c r="C3576" s="3">
        <v>118</v>
      </c>
      <c r="D3576" s="3">
        <v>22</v>
      </c>
      <c r="E3576" s="3" t="s">
        <v>10</v>
      </c>
      <c r="F3576" s="3">
        <v>0</v>
      </c>
      <c r="G3576" s="4"/>
      <c r="H3576" s="3">
        <v>0</v>
      </c>
    </row>
    <row r="3577" ht="14.25" spans="1:8">
      <c r="A3577" s="3" t="str">
        <f>"12701211823"</f>
        <v>12701211823</v>
      </c>
      <c r="B3577" s="3">
        <v>2</v>
      </c>
      <c r="C3577" s="3">
        <v>118</v>
      </c>
      <c r="D3577" s="3">
        <v>23</v>
      </c>
      <c r="E3577" s="3" t="s">
        <v>10</v>
      </c>
      <c r="F3577" s="4">
        <v>77</v>
      </c>
      <c r="G3577" s="4"/>
      <c r="H3577" s="4">
        <f t="shared" ref="H3577:H3598" si="348">F3577+G3577</f>
        <v>77</v>
      </c>
    </row>
    <row r="3578" ht="14.25" spans="1:8">
      <c r="A3578" s="3" t="str">
        <f>"12701211824"</f>
        <v>12701211824</v>
      </c>
      <c r="B3578" s="3">
        <v>2</v>
      </c>
      <c r="C3578" s="3">
        <v>118</v>
      </c>
      <c r="D3578" s="3">
        <v>24</v>
      </c>
      <c r="E3578" s="3" t="s">
        <v>10</v>
      </c>
      <c r="F3578" s="4">
        <v>65.5</v>
      </c>
      <c r="G3578" s="4"/>
      <c r="H3578" s="4">
        <f t="shared" si="348"/>
        <v>65.5</v>
      </c>
    </row>
    <row r="3579" ht="14.25" spans="1:8">
      <c r="A3579" s="3" t="str">
        <f>"12701211825"</f>
        <v>12701211825</v>
      </c>
      <c r="B3579" s="3">
        <v>2</v>
      </c>
      <c r="C3579" s="3">
        <v>118</v>
      </c>
      <c r="D3579" s="3">
        <v>25</v>
      </c>
      <c r="E3579" s="3" t="s">
        <v>10</v>
      </c>
      <c r="F3579" s="4">
        <v>60.5</v>
      </c>
      <c r="G3579" s="4"/>
      <c r="H3579" s="4">
        <f t="shared" si="348"/>
        <v>60.5</v>
      </c>
    </row>
    <row r="3580" ht="14.25" spans="1:8">
      <c r="A3580" s="3" t="str">
        <f>"12701211826"</f>
        <v>12701211826</v>
      </c>
      <c r="B3580" s="3">
        <v>2</v>
      </c>
      <c r="C3580" s="3">
        <v>118</v>
      </c>
      <c r="D3580" s="3">
        <v>26</v>
      </c>
      <c r="E3580" s="3" t="s">
        <v>10</v>
      </c>
      <c r="F3580" s="4">
        <v>82</v>
      </c>
      <c r="G3580" s="4"/>
      <c r="H3580" s="4">
        <f t="shared" si="348"/>
        <v>82</v>
      </c>
    </row>
    <row r="3581" ht="14.25" spans="1:8">
      <c r="A3581" s="3" t="str">
        <f>"12701211827"</f>
        <v>12701211827</v>
      </c>
      <c r="B3581" s="3">
        <v>2</v>
      </c>
      <c r="C3581" s="3">
        <v>118</v>
      </c>
      <c r="D3581" s="3">
        <v>27</v>
      </c>
      <c r="E3581" s="3" t="s">
        <v>10</v>
      </c>
      <c r="F3581" s="4">
        <v>77</v>
      </c>
      <c r="G3581" s="4"/>
      <c r="H3581" s="4">
        <f t="shared" si="348"/>
        <v>77</v>
      </c>
    </row>
    <row r="3582" ht="14.25" spans="1:8">
      <c r="A3582" s="3" t="str">
        <f>"12701211828"</f>
        <v>12701211828</v>
      </c>
      <c r="B3582" s="3">
        <v>2</v>
      </c>
      <c r="C3582" s="3">
        <v>118</v>
      </c>
      <c r="D3582" s="3">
        <v>28</v>
      </c>
      <c r="E3582" s="3" t="s">
        <v>10</v>
      </c>
      <c r="F3582" s="4">
        <v>80</v>
      </c>
      <c r="G3582" s="4"/>
      <c r="H3582" s="4">
        <f t="shared" si="348"/>
        <v>80</v>
      </c>
    </row>
    <row r="3583" ht="14.25" spans="1:8">
      <c r="A3583" s="3" t="str">
        <f>"12701211829"</f>
        <v>12701211829</v>
      </c>
      <c r="B3583" s="3">
        <v>2</v>
      </c>
      <c r="C3583" s="3">
        <v>118</v>
      </c>
      <c r="D3583" s="3">
        <v>29</v>
      </c>
      <c r="E3583" s="3" t="s">
        <v>10</v>
      </c>
      <c r="F3583" s="4">
        <v>76.5</v>
      </c>
      <c r="G3583" s="4"/>
      <c r="H3583" s="4">
        <f t="shared" si="348"/>
        <v>76.5</v>
      </c>
    </row>
    <row r="3584" ht="14.25" spans="1:8">
      <c r="A3584" s="3" t="str">
        <f>"12701211830"</f>
        <v>12701211830</v>
      </c>
      <c r="B3584" s="3">
        <v>2</v>
      </c>
      <c r="C3584" s="3">
        <v>118</v>
      </c>
      <c r="D3584" s="3">
        <v>30</v>
      </c>
      <c r="E3584" s="3" t="s">
        <v>10</v>
      </c>
      <c r="F3584" s="4">
        <v>83</v>
      </c>
      <c r="G3584" s="4"/>
      <c r="H3584" s="4">
        <f t="shared" si="348"/>
        <v>83</v>
      </c>
    </row>
    <row r="3585" ht="14.25" spans="1:8">
      <c r="A3585" s="3" t="str">
        <f>"12701211901"</f>
        <v>12701211901</v>
      </c>
      <c r="B3585" s="3">
        <v>2</v>
      </c>
      <c r="C3585" s="3">
        <v>119</v>
      </c>
      <c r="D3585" s="3">
        <v>1</v>
      </c>
      <c r="E3585" s="3" t="s">
        <v>10</v>
      </c>
      <c r="F3585" s="4">
        <v>73</v>
      </c>
      <c r="G3585" s="4"/>
      <c r="H3585" s="4">
        <f t="shared" si="348"/>
        <v>73</v>
      </c>
    </row>
    <row r="3586" ht="14.25" spans="1:8">
      <c r="A3586" s="3" t="str">
        <f>"12701211902"</f>
        <v>12701211902</v>
      </c>
      <c r="B3586" s="3">
        <v>2</v>
      </c>
      <c r="C3586" s="3">
        <v>119</v>
      </c>
      <c r="D3586" s="3">
        <v>2</v>
      </c>
      <c r="E3586" s="3" t="s">
        <v>10</v>
      </c>
      <c r="F3586" s="4">
        <v>87</v>
      </c>
      <c r="G3586" s="4"/>
      <c r="H3586" s="4">
        <f t="shared" si="348"/>
        <v>87</v>
      </c>
    </row>
    <row r="3587" ht="14.25" spans="1:8">
      <c r="A3587" s="3" t="str">
        <f>"12701211903"</f>
        <v>12701211903</v>
      </c>
      <c r="B3587" s="3">
        <v>2</v>
      </c>
      <c r="C3587" s="3">
        <v>119</v>
      </c>
      <c r="D3587" s="3">
        <v>3</v>
      </c>
      <c r="E3587" s="3" t="s">
        <v>10</v>
      </c>
      <c r="F3587" s="4">
        <v>86</v>
      </c>
      <c r="G3587" s="4"/>
      <c r="H3587" s="4">
        <f t="shared" si="348"/>
        <v>86</v>
      </c>
    </row>
    <row r="3588" ht="14.25" spans="1:8">
      <c r="A3588" s="3" t="str">
        <f>"12701211904"</f>
        <v>12701211904</v>
      </c>
      <c r="B3588" s="3">
        <v>2</v>
      </c>
      <c r="C3588" s="3">
        <v>119</v>
      </c>
      <c r="D3588" s="3">
        <v>4</v>
      </c>
      <c r="E3588" s="3" t="s">
        <v>10</v>
      </c>
      <c r="F3588" s="4">
        <v>67</v>
      </c>
      <c r="G3588" s="4"/>
      <c r="H3588" s="4">
        <f t="shared" si="348"/>
        <v>67</v>
      </c>
    </row>
    <row r="3589" ht="14.25" spans="1:8">
      <c r="A3589" s="3" t="str">
        <f>"12701211905"</f>
        <v>12701211905</v>
      </c>
      <c r="B3589" s="3">
        <v>2</v>
      </c>
      <c r="C3589" s="3">
        <v>119</v>
      </c>
      <c r="D3589" s="3">
        <v>5</v>
      </c>
      <c r="E3589" s="3" t="s">
        <v>10</v>
      </c>
      <c r="F3589" s="4">
        <v>72</v>
      </c>
      <c r="G3589" s="4"/>
      <c r="H3589" s="4">
        <f t="shared" si="348"/>
        <v>72</v>
      </c>
    </row>
    <row r="3590" ht="14.25" spans="1:8">
      <c r="A3590" s="3" t="str">
        <f>"12701211906"</f>
        <v>12701211906</v>
      </c>
      <c r="B3590" s="3">
        <v>2</v>
      </c>
      <c r="C3590" s="3">
        <v>119</v>
      </c>
      <c r="D3590" s="3">
        <v>6</v>
      </c>
      <c r="E3590" s="3" t="s">
        <v>10</v>
      </c>
      <c r="F3590" s="4">
        <v>70</v>
      </c>
      <c r="G3590" s="4"/>
      <c r="H3590" s="4">
        <f t="shared" si="348"/>
        <v>70</v>
      </c>
    </row>
    <row r="3591" ht="14.25" spans="1:8">
      <c r="A3591" s="3" t="str">
        <f>"12701211907"</f>
        <v>12701211907</v>
      </c>
      <c r="B3591" s="3">
        <v>2</v>
      </c>
      <c r="C3591" s="3">
        <v>119</v>
      </c>
      <c r="D3591" s="3">
        <v>7</v>
      </c>
      <c r="E3591" s="3" t="s">
        <v>10</v>
      </c>
      <c r="F3591" s="4">
        <v>80</v>
      </c>
      <c r="G3591" s="4"/>
      <c r="H3591" s="4">
        <f t="shared" si="348"/>
        <v>80</v>
      </c>
    </row>
    <row r="3592" ht="14.25" spans="1:8">
      <c r="A3592" s="3" t="str">
        <f>"12701211908"</f>
        <v>12701211908</v>
      </c>
      <c r="B3592" s="3">
        <v>2</v>
      </c>
      <c r="C3592" s="3">
        <v>119</v>
      </c>
      <c r="D3592" s="3">
        <v>8</v>
      </c>
      <c r="E3592" s="3" t="s">
        <v>10</v>
      </c>
      <c r="F3592" s="4">
        <v>71.5</v>
      </c>
      <c r="G3592" s="4"/>
      <c r="H3592" s="4">
        <f t="shared" si="348"/>
        <v>71.5</v>
      </c>
    </row>
    <row r="3593" ht="14.25" spans="1:8">
      <c r="A3593" s="3" t="str">
        <f>"12701211909"</f>
        <v>12701211909</v>
      </c>
      <c r="B3593" s="3">
        <v>2</v>
      </c>
      <c r="C3593" s="3">
        <v>119</v>
      </c>
      <c r="D3593" s="3">
        <v>9</v>
      </c>
      <c r="E3593" s="3" t="s">
        <v>10</v>
      </c>
      <c r="F3593" s="4">
        <v>54.5</v>
      </c>
      <c r="G3593" s="4"/>
      <c r="H3593" s="4">
        <f t="shared" si="348"/>
        <v>54.5</v>
      </c>
    </row>
    <row r="3594" ht="14.25" spans="1:8">
      <c r="A3594" s="3" t="str">
        <f>"12701211910"</f>
        <v>12701211910</v>
      </c>
      <c r="B3594" s="3">
        <v>2</v>
      </c>
      <c r="C3594" s="3">
        <v>119</v>
      </c>
      <c r="D3594" s="3">
        <v>10</v>
      </c>
      <c r="E3594" s="3" t="s">
        <v>10</v>
      </c>
      <c r="F3594" s="4">
        <v>68</v>
      </c>
      <c r="G3594" s="4"/>
      <c r="H3594" s="4">
        <f t="shared" si="348"/>
        <v>68</v>
      </c>
    </row>
    <row r="3595" ht="14.25" spans="1:8">
      <c r="A3595" s="3" t="str">
        <f>"12701211911"</f>
        <v>12701211911</v>
      </c>
      <c r="B3595" s="3">
        <v>2</v>
      </c>
      <c r="C3595" s="3">
        <v>119</v>
      </c>
      <c r="D3595" s="3">
        <v>11</v>
      </c>
      <c r="E3595" s="3" t="s">
        <v>10</v>
      </c>
      <c r="F3595" s="4">
        <v>73.5</v>
      </c>
      <c r="G3595" s="4"/>
      <c r="H3595" s="4">
        <f t="shared" si="348"/>
        <v>73.5</v>
      </c>
    </row>
    <row r="3596" ht="14.25" spans="1:8">
      <c r="A3596" s="3" t="str">
        <f>"12701211912"</f>
        <v>12701211912</v>
      </c>
      <c r="B3596" s="3">
        <v>2</v>
      </c>
      <c r="C3596" s="3">
        <v>119</v>
      </c>
      <c r="D3596" s="3">
        <v>12</v>
      </c>
      <c r="E3596" s="3" t="s">
        <v>10</v>
      </c>
      <c r="F3596" s="4">
        <v>85</v>
      </c>
      <c r="G3596" s="4"/>
      <c r="H3596" s="4">
        <f t="shared" si="348"/>
        <v>85</v>
      </c>
    </row>
    <row r="3597" ht="14.25" spans="1:8">
      <c r="A3597" s="3" t="str">
        <f>"12701211913"</f>
        <v>12701211913</v>
      </c>
      <c r="B3597" s="3">
        <v>2</v>
      </c>
      <c r="C3597" s="3">
        <v>119</v>
      </c>
      <c r="D3597" s="3">
        <v>13</v>
      </c>
      <c r="E3597" s="3" t="s">
        <v>10</v>
      </c>
      <c r="F3597" s="4">
        <v>72.5</v>
      </c>
      <c r="G3597" s="4"/>
      <c r="H3597" s="4">
        <f t="shared" si="348"/>
        <v>72.5</v>
      </c>
    </row>
    <row r="3598" ht="14.25" spans="1:8">
      <c r="A3598" s="3" t="str">
        <f>"12701211914"</f>
        <v>12701211914</v>
      </c>
      <c r="B3598" s="3">
        <v>2</v>
      </c>
      <c r="C3598" s="3">
        <v>119</v>
      </c>
      <c r="D3598" s="3">
        <v>14</v>
      </c>
      <c r="E3598" s="3" t="s">
        <v>10</v>
      </c>
      <c r="F3598" s="4">
        <v>83.5</v>
      </c>
      <c r="G3598" s="4"/>
      <c r="H3598" s="4">
        <f t="shared" si="348"/>
        <v>83.5</v>
      </c>
    </row>
    <row r="3599" ht="14.25" spans="1:8">
      <c r="A3599" s="3" t="str">
        <f>"12701211915"</f>
        <v>12701211915</v>
      </c>
      <c r="B3599" s="3">
        <v>2</v>
      </c>
      <c r="C3599" s="3">
        <v>119</v>
      </c>
      <c r="D3599" s="3">
        <v>15</v>
      </c>
      <c r="E3599" s="3" t="s">
        <v>10</v>
      </c>
      <c r="F3599" s="3">
        <v>0</v>
      </c>
      <c r="G3599" s="4"/>
      <c r="H3599" s="3">
        <v>0</v>
      </c>
    </row>
    <row r="3600" ht="14.25" spans="1:8">
      <c r="A3600" s="3" t="str">
        <f>"12701211916"</f>
        <v>12701211916</v>
      </c>
      <c r="B3600" s="3">
        <v>2</v>
      </c>
      <c r="C3600" s="3">
        <v>119</v>
      </c>
      <c r="D3600" s="3">
        <v>16</v>
      </c>
      <c r="E3600" s="3" t="s">
        <v>10</v>
      </c>
      <c r="F3600" s="4">
        <v>65</v>
      </c>
      <c r="G3600" s="4"/>
      <c r="H3600" s="4">
        <f t="shared" ref="H3600:H3608" si="349">F3600+G3600</f>
        <v>65</v>
      </c>
    </row>
    <row r="3601" ht="14.25" spans="1:8">
      <c r="A3601" s="3" t="str">
        <f>"12701211917"</f>
        <v>12701211917</v>
      </c>
      <c r="B3601" s="3">
        <v>2</v>
      </c>
      <c r="C3601" s="3">
        <v>119</v>
      </c>
      <c r="D3601" s="3">
        <v>17</v>
      </c>
      <c r="E3601" s="3" t="s">
        <v>10</v>
      </c>
      <c r="F3601" s="4">
        <v>59.5</v>
      </c>
      <c r="G3601" s="4"/>
      <c r="H3601" s="4">
        <f t="shared" si="349"/>
        <v>59.5</v>
      </c>
    </row>
    <row r="3602" ht="14.25" spans="1:8">
      <c r="A3602" s="3" t="str">
        <f>"12702211918"</f>
        <v>12702211918</v>
      </c>
      <c r="B3602" s="3">
        <v>2</v>
      </c>
      <c r="C3602" s="3">
        <v>119</v>
      </c>
      <c r="D3602" s="3">
        <v>18</v>
      </c>
      <c r="E3602" s="3" t="s">
        <v>10</v>
      </c>
      <c r="F3602" s="4">
        <v>62.5</v>
      </c>
      <c r="G3602" s="4"/>
      <c r="H3602" s="4">
        <f t="shared" si="349"/>
        <v>62.5</v>
      </c>
    </row>
    <row r="3603" ht="14.25" spans="1:8">
      <c r="A3603" s="3" t="str">
        <f>"12702211919"</f>
        <v>12702211919</v>
      </c>
      <c r="B3603" s="3">
        <v>2</v>
      </c>
      <c r="C3603" s="3">
        <v>119</v>
      </c>
      <c r="D3603" s="3">
        <v>19</v>
      </c>
      <c r="E3603" s="3" t="s">
        <v>10</v>
      </c>
      <c r="F3603" s="4">
        <v>52</v>
      </c>
      <c r="G3603" s="4"/>
      <c r="H3603" s="4">
        <f t="shared" si="349"/>
        <v>52</v>
      </c>
    </row>
    <row r="3604" ht="14.25" spans="1:8">
      <c r="A3604" s="3" t="str">
        <f>"12702211920"</f>
        <v>12702211920</v>
      </c>
      <c r="B3604" s="3">
        <v>2</v>
      </c>
      <c r="C3604" s="3">
        <v>119</v>
      </c>
      <c r="D3604" s="3">
        <v>20</v>
      </c>
      <c r="E3604" s="3" t="s">
        <v>10</v>
      </c>
      <c r="F3604" s="4">
        <v>74</v>
      </c>
      <c r="G3604" s="4"/>
      <c r="H3604" s="4">
        <f t="shared" si="349"/>
        <v>74</v>
      </c>
    </row>
    <row r="3605" ht="14.25" spans="1:8">
      <c r="A3605" s="3" t="str">
        <f>"12702211921"</f>
        <v>12702211921</v>
      </c>
      <c r="B3605" s="3">
        <v>2</v>
      </c>
      <c r="C3605" s="3">
        <v>119</v>
      </c>
      <c r="D3605" s="3">
        <v>21</v>
      </c>
      <c r="E3605" s="3" t="s">
        <v>10</v>
      </c>
      <c r="F3605" s="4">
        <v>76.5</v>
      </c>
      <c r="G3605" s="4"/>
      <c r="H3605" s="4">
        <f t="shared" si="349"/>
        <v>76.5</v>
      </c>
    </row>
    <row r="3606" ht="14.25" spans="1:8">
      <c r="A3606" s="3" t="str">
        <f>"12702211922"</f>
        <v>12702211922</v>
      </c>
      <c r="B3606" s="3">
        <v>2</v>
      </c>
      <c r="C3606" s="3">
        <v>119</v>
      </c>
      <c r="D3606" s="3">
        <v>22</v>
      </c>
      <c r="E3606" s="3" t="s">
        <v>10</v>
      </c>
      <c r="F3606" s="4">
        <v>81.5</v>
      </c>
      <c r="G3606" s="4"/>
      <c r="H3606" s="4">
        <f t="shared" si="349"/>
        <v>81.5</v>
      </c>
    </row>
    <row r="3607" ht="14.25" spans="1:8">
      <c r="A3607" s="3" t="str">
        <f>"12702211923"</f>
        <v>12702211923</v>
      </c>
      <c r="B3607" s="3">
        <v>2</v>
      </c>
      <c r="C3607" s="3">
        <v>119</v>
      </c>
      <c r="D3607" s="3">
        <v>23</v>
      </c>
      <c r="E3607" s="3" t="s">
        <v>10</v>
      </c>
      <c r="F3607" s="4">
        <v>80</v>
      </c>
      <c r="G3607" s="4"/>
      <c r="H3607" s="4">
        <f t="shared" si="349"/>
        <v>80</v>
      </c>
    </row>
    <row r="3608" ht="14.25" spans="1:8">
      <c r="A3608" s="3" t="str">
        <f>"12702211924"</f>
        <v>12702211924</v>
      </c>
      <c r="B3608" s="3">
        <v>2</v>
      </c>
      <c r="C3608" s="3">
        <v>119</v>
      </c>
      <c r="D3608" s="3">
        <v>24</v>
      </c>
      <c r="E3608" s="3" t="s">
        <v>10</v>
      </c>
      <c r="F3608" s="4">
        <v>75.5</v>
      </c>
      <c r="G3608" s="4"/>
      <c r="H3608" s="4">
        <f t="shared" si="349"/>
        <v>75.5</v>
      </c>
    </row>
    <row r="3609" ht="14.25" spans="1:8">
      <c r="A3609" s="3" t="str">
        <f>"12702211925"</f>
        <v>12702211925</v>
      </c>
      <c r="B3609" s="3">
        <v>2</v>
      </c>
      <c r="C3609" s="3">
        <v>119</v>
      </c>
      <c r="D3609" s="3">
        <v>25</v>
      </c>
      <c r="E3609" s="3" t="s">
        <v>10</v>
      </c>
      <c r="F3609" s="3">
        <v>0</v>
      </c>
      <c r="G3609" s="4"/>
      <c r="H3609" s="3">
        <v>0</v>
      </c>
    </row>
    <row r="3610" ht="14.25" spans="1:8">
      <c r="A3610" s="3" t="str">
        <f>"12702211926"</f>
        <v>12702211926</v>
      </c>
      <c r="B3610" s="3">
        <v>2</v>
      </c>
      <c r="C3610" s="3">
        <v>119</v>
      </c>
      <c r="D3610" s="3">
        <v>26</v>
      </c>
      <c r="E3610" s="3" t="s">
        <v>10</v>
      </c>
      <c r="F3610" s="4">
        <v>75</v>
      </c>
      <c r="G3610" s="4"/>
      <c r="H3610" s="4">
        <f t="shared" ref="H3610:H3620" si="350">F3610+G3610</f>
        <v>75</v>
      </c>
    </row>
    <row r="3611" ht="14.25" spans="1:8">
      <c r="A3611" s="3" t="str">
        <f>"12702211927"</f>
        <v>12702211927</v>
      </c>
      <c r="B3611" s="3">
        <v>2</v>
      </c>
      <c r="C3611" s="3">
        <v>119</v>
      </c>
      <c r="D3611" s="3">
        <v>27</v>
      </c>
      <c r="E3611" s="3" t="s">
        <v>10</v>
      </c>
      <c r="F3611" s="4">
        <v>72.5</v>
      </c>
      <c r="G3611" s="4"/>
      <c r="H3611" s="4">
        <f t="shared" si="350"/>
        <v>72.5</v>
      </c>
    </row>
    <row r="3612" ht="14.25" spans="1:8">
      <c r="A3612" s="3" t="str">
        <f>"12702211928"</f>
        <v>12702211928</v>
      </c>
      <c r="B3612" s="3">
        <v>2</v>
      </c>
      <c r="C3612" s="3">
        <v>119</v>
      </c>
      <c r="D3612" s="3">
        <v>28</v>
      </c>
      <c r="E3612" s="3" t="s">
        <v>10</v>
      </c>
      <c r="F3612" s="3">
        <v>0</v>
      </c>
      <c r="G3612" s="4"/>
      <c r="H3612" s="3">
        <v>0</v>
      </c>
    </row>
    <row r="3613" ht="14.25" spans="1:8">
      <c r="A3613" s="3" t="str">
        <f>"12702211929"</f>
        <v>12702211929</v>
      </c>
      <c r="B3613" s="3">
        <v>2</v>
      </c>
      <c r="C3613" s="3">
        <v>119</v>
      </c>
      <c r="D3613" s="3">
        <v>29</v>
      </c>
      <c r="E3613" s="3" t="s">
        <v>10</v>
      </c>
      <c r="F3613" s="3">
        <v>0</v>
      </c>
      <c r="G3613" s="4"/>
      <c r="H3613" s="3">
        <v>0</v>
      </c>
    </row>
    <row r="3614" ht="14.25" spans="1:8">
      <c r="A3614" s="3" t="str">
        <f>"12702211930"</f>
        <v>12702211930</v>
      </c>
      <c r="B3614" s="3">
        <v>2</v>
      </c>
      <c r="C3614" s="3">
        <v>119</v>
      </c>
      <c r="D3614" s="3">
        <v>30</v>
      </c>
      <c r="E3614" s="3" t="s">
        <v>10</v>
      </c>
      <c r="F3614" s="4">
        <v>74.5</v>
      </c>
      <c r="G3614" s="4"/>
      <c r="H3614" s="4">
        <f t="shared" si="350"/>
        <v>74.5</v>
      </c>
    </row>
    <row r="3615" ht="14.25" spans="1:8">
      <c r="A3615" s="3" t="str">
        <f>"12702212001"</f>
        <v>12702212001</v>
      </c>
      <c r="B3615" s="3">
        <v>2</v>
      </c>
      <c r="C3615" s="3">
        <v>120</v>
      </c>
      <c r="D3615" s="3">
        <v>1</v>
      </c>
      <c r="E3615" s="3" t="s">
        <v>10</v>
      </c>
      <c r="F3615" s="4">
        <v>68.5</v>
      </c>
      <c r="G3615" s="4"/>
      <c r="H3615" s="4">
        <f t="shared" si="350"/>
        <v>68.5</v>
      </c>
    </row>
    <row r="3616" ht="14.25" spans="1:8">
      <c r="A3616" s="3" t="str">
        <f>"12702212002"</f>
        <v>12702212002</v>
      </c>
      <c r="B3616" s="3">
        <v>2</v>
      </c>
      <c r="C3616" s="3">
        <v>120</v>
      </c>
      <c r="D3616" s="3">
        <v>2</v>
      </c>
      <c r="E3616" s="3" t="s">
        <v>10</v>
      </c>
      <c r="F3616" s="4">
        <v>75.5</v>
      </c>
      <c r="G3616" s="4"/>
      <c r="H3616" s="4">
        <f t="shared" si="350"/>
        <v>75.5</v>
      </c>
    </row>
    <row r="3617" ht="14.25" spans="1:8">
      <c r="A3617" s="3" t="str">
        <f>"12702212003"</f>
        <v>12702212003</v>
      </c>
      <c r="B3617" s="3">
        <v>2</v>
      </c>
      <c r="C3617" s="3">
        <v>120</v>
      </c>
      <c r="D3617" s="3">
        <v>3</v>
      </c>
      <c r="E3617" s="3" t="s">
        <v>10</v>
      </c>
      <c r="F3617" s="4">
        <v>64.5</v>
      </c>
      <c r="G3617" s="4"/>
      <c r="H3617" s="4">
        <f t="shared" si="350"/>
        <v>64.5</v>
      </c>
    </row>
    <row r="3618" ht="14.25" spans="1:8">
      <c r="A3618" s="3" t="str">
        <f>"12702212004"</f>
        <v>12702212004</v>
      </c>
      <c r="B3618" s="3">
        <v>2</v>
      </c>
      <c r="C3618" s="3">
        <v>120</v>
      </c>
      <c r="D3618" s="3">
        <v>4</v>
      </c>
      <c r="E3618" s="3" t="s">
        <v>10</v>
      </c>
      <c r="F3618" s="4">
        <v>73.5</v>
      </c>
      <c r="G3618" s="4"/>
      <c r="H3618" s="4">
        <f t="shared" si="350"/>
        <v>73.5</v>
      </c>
    </row>
    <row r="3619" ht="14.25" spans="1:8">
      <c r="A3619" s="3" t="str">
        <f>"12702212005"</f>
        <v>12702212005</v>
      </c>
      <c r="B3619" s="3">
        <v>2</v>
      </c>
      <c r="C3619" s="3">
        <v>120</v>
      </c>
      <c r="D3619" s="3">
        <v>5</v>
      </c>
      <c r="E3619" s="3" t="s">
        <v>10</v>
      </c>
      <c r="F3619" s="4">
        <v>77</v>
      </c>
      <c r="G3619" s="4"/>
      <c r="H3619" s="4">
        <f t="shared" si="350"/>
        <v>77</v>
      </c>
    </row>
    <row r="3620" ht="14.25" spans="1:8">
      <c r="A3620" s="3" t="str">
        <f>"12702212006"</f>
        <v>12702212006</v>
      </c>
      <c r="B3620" s="3">
        <v>2</v>
      </c>
      <c r="C3620" s="3">
        <v>120</v>
      </c>
      <c r="D3620" s="3">
        <v>6</v>
      </c>
      <c r="E3620" s="3" t="s">
        <v>10</v>
      </c>
      <c r="F3620" s="4">
        <v>80.5</v>
      </c>
      <c r="G3620" s="4"/>
      <c r="H3620" s="4">
        <f t="shared" si="350"/>
        <v>80.5</v>
      </c>
    </row>
    <row r="3621" ht="14.25" spans="1:8">
      <c r="A3621" s="3" t="str">
        <f>"12702212007"</f>
        <v>12702212007</v>
      </c>
      <c r="B3621" s="3">
        <v>2</v>
      </c>
      <c r="C3621" s="3">
        <v>120</v>
      </c>
      <c r="D3621" s="3">
        <v>7</v>
      </c>
      <c r="E3621" s="3" t="s">
        <v>10</v>
      </c>
      <c r="F3621" s="3">
        <v>0</v>
      </c>
      <c r="G3621" s="4"/>
      <c r="H3621" s="3">
        <v>0</v>
      </c>
    </row>
    <row r="3622" ht="14.25" spans="1:8">
      <c r="A3622" s="3" t="str">
        <f>"12702212008"</f>
        <v>12702212008</v>
      </c>
      <c r="B3622" s="3">
        <v>2</v>
      </c>
      <c r="C3622" s="3">
        <v>120</v>
      </c>
      <c r="D3622" s="3">
        <v>8</v>
      </c>
      <c r="E3622" s="3" t="s">
        <v>10</v>
      </c>
      <c r="F3622" s="4">
        <v>78</v>
      </c>
      <c r="G3622" s="4"/>
      <c r="H3622" s="4">
        <f t="shared" ref="H3622:H3624" si="351">F3622+G3622</f>
        <v>78</v>
      </c>
    </row>
    <row r="3623" ht="14.25" spans="1:8">
      <c r="A3623" s="3" t="str">
        <f>"12703212009"</f>
        <v>12703212009</v>
      </c>
      <c r="B3623" s="3">
        <v>2</v>
      </c>
      <c r="C3623" s="3">
        <v>120</v>
      </c>
      <c r="D3623" s="3">
        <v>9</v>
      </c>
      <c r="E3623" s="3" t="s">
        <v>10</v>
      </c>
      <c r="F3623" s="4">
        <v>72.5</v>
      </c>
      <c r="G3623" s="4"/>
      <c r="H3623" s="4">
        <f t="shared" si="351"/>
        <v>72.5</v>
      </c>
    </row>
    <row r="3624" ht="14.25" spans="1:8">
      <c r="A3624" s="3" t="str">
        <f>"12703212010"</f>
        <v>12703212010</v>
      </c>
      <c r="B3624" s="3">
        <v>2</v>
      </c>
      <c r="C3624" s="3">
        <v>120</v>
      </c>
      <c r="D3624" s="3">
        <v>10</v>
      </c>
      <c r="E3624" s="3" t="s">
        <v>10</v>
      </c>
      <c r="F3624" s="4">
        <v>68.5</v>
      </c>
      <c r="G3624" s="4"/>
      <c r="H3624" s="4">
        <f t="shared" si="351"/>
        <v>68.5</v>
      </c>
    </row>
    <row r="3625" ht="14.25" spans="1:8">
      <c r="A3625" s="3" t="str">
        <f>"12703212011"</f>
        <v>12703212011</v>
      </c>
      <c r="B3625" s="3">
        <v>2</v>
      </c>
      <c r="C3625" s="3">
        <v>120</v>
      </c>
      <c r="D3625" s="3">
        <v>11</v>
      </c>
      <c r="E3625" s="3" t="s">
        <v>10</v>
      </c>
      <c r="F3625" s="3">
        <v>0</v>
      </c>
      <c r="G3625" s="4"/>
      <c r="H3625" s="3">
        <v>0</v>
      </c>
    </row>
    <row r="3626" ht="14.25" spans="1:8">
      <c r="A3626" s="3" t="str">
        <f>"12703212012"</f>
        <v>12703212012</v>
      </c>
      <c r="B3626" s="3">
        <v>2</v>
      </c>
      <c r="C3626" s="3">
        <v>120</v>
      </c>
      <c r="D3626" s="3">
        <v>12</v>
      </c>
      <c r="E3626" s="3" t="s">
        <v>10</v>
      </c>
      <c r="F3626" s="4">
        <v>59</v>
      </c>
      <c r="G3626" s="4"/>
      <c r="H3626" s="4">
        <f t="shared" ref="H3626:H3630" si="352">F3626+G3626</f>
        <v>59</v>
      </c>
    </row>
    <row r="3627" ht="14.25" spans="1:8">
      <c r="A3627" s="3" t="str">
        <f>"12703212013"</f>
        <v>12703212013</v>
      </c>
      <c r="B3627" s="3">
        <v>2</v>
      </c>
      <c r="C3627" s="3">
        <v>120</v>
      </c>
      <c r="D3627" s="3">
        <v>13</v>
      </c>
      <c r="E3627" s="3" t="s">
        <v>10</v>
      </c>
      <c r="F3627" s="4">
        <v>64</v>
      </c>
      <c r="G3627" s="4"/>
      <c r="H3627" s="4">
        <f t="shared" si="352"/>
        <v>64</v>
      </c>
    </row>
    <row r="3628" ht="14.25" spans="1:8">
      <c r="A3628" s="3" t="str">
        <f>"12703212014"</f>
        <v>12703212014</v>
      </c>
      <c r="B3628" s="3">
        <v>2</v>
      </c>
      <c r="C3628" s="3">
        <v>120</v>
      </c>
      <c r="D3628" s="3">
        <v>14</v>
      </c>
      <c r="E3628" s="3" t="s">
        <v>10</v>
      </c>
      <c r="F3628" s="4">
        <v>79</v>
      </c>
      <c r="G3628" s="4"/>
      <c r="H3628" s="4">
        <f t="shared" si="352"/>
        <v>79</v>
      </c>
    </row>
    <row r="3629" ht="14.25" spans="1:8">
      <c r="A3629" s="3" t="str">
        <f>"12703212015"</f>
        <v>12703212015</v>
      </c>
      <c r="B3629" s="3">
        <v>2</v>
      </c>
      <c r="C3629" s="3">
        <v>120</v>
      </c>
      <c r="D3629" s="3">
        <v>15</v>
      </c>
      <c r="E3629" s="3" t="s">
        <v>10</v>
      </c>
      <c r="F3629" s="4">
        <v>56.5</v>
      </c>
      <c r="G3629" s="4"/>
      <c r="H3629" s="4">
        <f t="shared" si="352"/>
        <v>56.5</v>
      </c>
    </row>
    <row r="3630" ht="14.25" spans="1:8">
      <c r="A3630" s="3" t="str">
        <f>"12703212016"</f>
        <v>12703212016</v>
      </c>
      <c r="B3630" s="3">
        <v>2</v>
      </c>
      <c r="C3630" s="3">
        <v>120</v>
      </c>
      <c r="D3630" s="3">
        <v>16</v>
      </c>
      <c r="E3630" s="3" t="s">
        <v>10</v>
      </c>
      <c r="F3630" s="4">
        <v>75.5</v>
      </c>
      <c r="G3630" s="4"/>
      <c r="H3630" s="4">
        <f t="shared" si="352"/>
        <v>75.5</v>
      </c>
    </row>
    <row r="3631" ht="14.25" spans="1:8">
      <c r="A3631" s="3" t="str">
        <f>"12703212017"</f>
        <v>12703212017</v>
      </c>
      <c r="B3631" s="3">
        <v>2</v>
      </c>
      <c r="C3631" s="3">
        <v>120</v>
      </c>
      <c r="D3631" s="3">
        <v>17</v>
      </c>
      <c r="E3631" s="3" t="s">
        <v>10</v>
      </c>
      <c r="F3631" s="3">
        <v>0</v>
      </c>
      <c r="G3631" s="4"/>
      <c r="H3631" s="3">
        <v>0</v>
      </c>
    </row>
    <row r="3632" ht="14.25" spans="1:8">
      <c r="A3632" s="3" t="str">
        <f>"12703212018"</f>
        <v>12703212018</v>
      </c>
      <c r="B3632" s="3">
        <v>2</v>
      </c>
      <c r="C3632" s="3">
        <v>120</v>
      </c>
      <c r="D3632" s="3">
        <v>18</v>
      </c>
      <c r="E3632" s="3" t="s">
        <v>10</v>
      </c>
      <c r="F3632" s="4">
        <v>77.5</v>
      </c>
      <c r="G3632" s="4"/>
      <c r="H3632" s="4">
        <f t="shared" ref="H3632:H3638" si="353">F3632+G3632</f>
        <v>77.5</v>
      </c>
    </row>
    <row r="3633" ht="14.25" spans="1:8">
      <c r="A3633" s="3" t="str">
        <f>"12703212019"</f>
        <v>12703212019</v>
      </c>
      <c r="B3633" s="3">
        <v>2</v>
      </c>
      <c r="C3633" s="3">
        <v>120</v>
      </c>
      <c r="D3633" s="3">
        <v>19</v>
      </c>
      <c r="E3633" s="3" t="s">
        <v>10</v>
      </c>
      <c r="F3633" s="3">
        <v>0</v>
      </c>
      <c r="G3633" s="4"/>
      <c r="H3633" s="3">
        <v>0</v>
      </c>
    </row>
    <row r="3634" ht="14.25" spans="1:8">
      <c r="A3634" s="3" t="str">
        <f>"12703212020"</f>
        <v>12703212020</v>
      </c>
      <c r="B3634" s="3">
        <v>2</v>
      </c>
      <c r="C3634" s="3">
        <v>120</v>
      </c>
      <c r="D3634" s="3">
        <v>20</v>
      </c>
      <c r="E3634" s="3" t="s">
        <v>10</v>
      </c>
      <c r="F3634" s="4">
        <v>77.5</v>
      </c>
      <c r="G3634" s="4"/>
      <c r="H3634" s="4">
        <f t="shared" si="353"/>
        <v>77.5</v>
      </c>
    </row>
    <row r="3635" ht="14.25" spans="1:8">
      <c r="A3635" s="3" t="str">
        <f>"12703212021"</f>
        <v>12703212021</v>
      </c>
      <c r="B3635" s="3">
        <v>2</v>
      </c>
      <c r="C3635" s="3">
        <v>120</v>
      </c>
      <c r="D3635" s="3">
        <v>21</v>
      </c>
      <c r="E3635" s="3" t="s">
        <v>10</v>
      </c>
      <c r="F3635" s="4">
        <v>71</v>
      </c>
      <c r="G3635" s="4"/>
      <c r="H3635" s="4">
        <f t="shared" si="353"/>
        <v>71</v>
      </c>
    </row>
    <row r="3636" ht="14.25" spans="1:8">
      <c r="A3636" s="3" t="str">
        <f>"12703212022"</f>
        <v>12703212022</v>
      </c>
      <c r="B3636" s="3">
        <v>2</v>
      </c>
      <c r="C3636" s="3">
        <v>120</v>
      </c>
      <c r="D3636" s="3">
        <v>22</v>
      </c>
      <c r="E3636" s="3" t="s">
        <v>10</v>
      </c>
      <c r="F3636" s="4">
        <v>77</v>
      </c>
      <c r="G3636" s="4"/>
      <c r="H3636" s="4">
        <f t="shared" si="353"/>
        <v>77</v>
      </c>
    </row>
    <row r="3637" ht="14.25" spans="1:8">
      <c r="A3637" s="3" t="str">
        <f>"12703212023"</f>
        <v>12703212023</v>
      </c>
      <c r="B3637" s="3">
        <v>2</v>
      </c>
      <c r="C3637" s="3">
        <v>120</v>
      </c>
      <c r="D3637" s="3">
        <v>23</v>
      </c>
      <c r="E3637" s="3" t="s">
        <v>10</v>
      </c>
      <c r="F3637" s="4">
        <v>86.5</v>
      </c>
      <c r="G3637" s="4"/>
      <c r="H3637" s="4">
        <f t="shared" si="353"/>
        <v>86.5</v>
      </c>
    </row>
    <row r="3638" ht="14.25" spans="1:8">
      <c r="A3638" s="3" t="str">
        <f>"12703212024"</f>
        <v>12703212024</v>
      </c>
      <c r="B3638" s="3">
        <v>2</v>
      </c>
      <c r="C3638" s="3">
        <v>120</v>
      </c>
      <c r="D3638" s="3">
        <v>24</v>
      </c>
      <c r="E3638" s="3" t="s">
        <v>10</v>
      </c>
      <c r="F3638" s="4">
        <v>83.5</v>
      </c>
      <c r="G3638" s="4"/>
      <c r="H3638" s="4">
        <f t="shared" si="353"/>
        <v>83.5</v>
      </c>
    </row>
    <row r="3639" ht="14.25" spans="1:8">
      <c r="A3639" s="3" t="str">
        <f>"12703212025"</f>
        <v>12703212025</v>
      </c>
      <c r="B3639" s="3">
        <v>2</v>
      </c>
      <c r="C3639" s="3">
        <v>120</v>
      </c>
      <c r="D3639" s="3">
        <v>25</v>
      </c>
      <c r="E3639" s="3" t="s">
        <v>10</v>
      </c>
      <c r="F3639" s="3">
        <v>0</v>
      </c>
      <c r="G3639" s="4"/>
      <c r="H3639" s="3">
        <v>0</v>
      </c>
    </row>
    <row r="3640" ht="14.25" spans="1:8">
      <c r="A3640" s="3" t="str">
        <f>"12703212026"</f>
        <v>12703212026</v>
      </c>
      <c r="B3640" s="3">
        <v>2</v>
      </c>
      <c r="C3640" s="3">
        <v>120</v>
      </c>
      <c r="D3640" s="3">
        <v>26</v>
      </c>
      <c r="E3640" s="3" t="s">
        <v>10</v>
      </c>
      <c r="F3640" s="3">
        <v>0</v>
      </c>
      <c r="G3640" s="4"/>
      <c r="H3640" s="3">
        <v>0</v>
      </c>
    </row>
    <row r="3641" ht="14.25" spans="1:8">
      <c r="A3641" s="3" t="str">
        <f>"12703212027"</f>
        <v>12703212027</v>
      </c>
      <c r="B3641" s="3">
        <v>2</v>
      </c>
      <c r="C3641" s="3">
        <v>120</v>
      </c>
      <c r="D3641" s="3">
        <v>27</v>
      </c>
      <c r="E3641" s="3" t="s">
        <v>10</v>
      </c>
      <c r="F3641" s="4">
        <v>63</v>
      </c>
      <c r="G3641" s="4"/>
      <c r="H3641" s="4">
        <f t="shared" ref="H3641:H3649" si="354">F3641+G3641</f>
        <v>63</v>
      </c>
    </row>
    <row r="3642" ht="14.25" spans="1:8">
      <c r="A3642" s="3" t="str">
        <f>"12703212028"</f>
        <v>12703212028</v>
      </c>
      <c r="B3642" s="3">
        <v>2</v>
      </c>
      <c r="C3642" s="3">
        <v>120</v>
      </c>
      <c r="D3642" s="3">
        <v>28</v>
      </c>
      <c r="E3642" s="3" t="s">
        <v>10</v>
      </c>
      <c r="F3642" s="4">
        <v>72.5</v>
      </c>
      <c r="G3642" s="4"/>
      <c r="H3642" s="4">
        <f t="shared" si="354"/>
        <v>72.5</v>
      </c>
    </row>
    <row r="3643" ht="14.25" spans="1:8">
      <c r="A3643" s="3" t="str">
        <f>"12703212029"</f>
        <v>12703212029</v>
      </c>
      <c r="B3643" s="3">
        <v>2</v>
      </c>
      <c r="C3643" s="3">
        <v>120</v>
      </c>
      <c r="D3643" s="3">
        <v>29</v>
      </c>
      <c r="E3643" s="3" t="s">
        <v>10</v>
      </c>
      <c r="F3643" s="4">
        <v>83</v>
      </c>
      <c r="G3643" s="4"/>
      <c r="H3643" s="4">
        <f t="shared" si="354"/>
        <v>83</v>
      </c>
    </row>
    <row r="3644" ht="14.25" spans="1:8">
      <c r="A3644" s="3" t="str">
        <f>"12703212030"</f>
        <v>12703212030</v>
      </c>
      <c r="B3644" s="3">
        <v>2</v>
      </c>
      <c r="C3644" s="3">
        <v>120</v>
      </c>
      <c r="D3644" s="3">
        <v>30</v>
      </c>
      <c r="E3644" s="3" t="s">
        <v>10</v>
      </c>
      <c r="F3644" s="4">
        <v>63</v>
      </c>
      <c r="G3644" s="4"/>
      <c r="H3644" s="4">
        <f t="shared" si="354"/>
        <v>63</v>
      </c>
    </row>
    <row r="3645" ht="14.25" spans="1:8">
      <c r="A3645" s="3" t="str">
        <f>"12703212101"</f>
        <v>12703212101</v>
      </c>
      <c r="B3645" s="3">
        <v>2</v>
      </c>
      <c r="C3645" s="3">
        <v>121</v>
      </c>
      <c r="D3645" s="3">
        <v>1</v>
      </c>
      <c r="E3645" s="3" t="s">
        <v>10</v>
      </c>
      <c r="F3645" s="4">
        <v>69.5</v>
      </c>
      <c r="G3645" s="4"/>
      <c r="H3645" s="4">
        <f t="shared" si="354"/>
        <v>69.5</v>
      </c>
    </row>
    <row r="3646" ht="14.25" spans="1:8">
      <c r="A3646" s="3" t="str">
        <f>"12703212102"</f>
        <v>12703212102</v>
      </c>
      <c r="B3646" s="3">
        <v>2</v>
      </c>
      <c r="C3646" s="3">
        <v>121</v>
      </c>
      <c r="D3646" s="3">
        <v>2</v>
      </c>
      <c r="E3646" s="3" t="s">
        <v>10</v>
      </c>
      <c r="F3646" s="4">
        <v>71.5</v>
      </c>
      <c r="G3646" s="4"/>
      <c r="H3646" s="4">
        <f t="shared" si="354"/>
        <v>71.5</v>
      </c>
    </row>
    <row r="3647" ht="14.25" spans="1:8">
      <c r="A3647" s="3" t="str">
        <f>"12704212103"</f>
        <v>12704212103</v>
      </c>
      <c r="B3647" s="3">
        <v>2</v>
      </c>
      <c r="C3647" s="3">
        <v>121</v>
      </c>
      <c r="D3647" s="3">
        <v>3</v>
      </c>
      <c r="E3647" s="3" t="s">
        <v>10</v>
      </c>
      <c r="F3647" s="4">
        <v>83</v>
      </c>
      <c r="G3647" s="4"/>
      <c r="H3647" s="4">
        <f t="shared" si="354"/>
        <v>83</v>
      </c>
    </row>
    <row r="3648" ht="14.25" spans="1:8">
      <c r="A3648" s="3" t="str">
        <f>"12704212104"</f>
        <v>12704212104</v>
      </c>
      <c r="B3648" s="3">
        <v>2</v>
      </c>
      <c r="C3648" s="3">
        <v>121</v>
      </c>
      <c r="D3648" s="3">
        <v>4</v>
      </c>
      <c r="E3648" s="3" t="s">
        <v>10</v>
      </c>
      <c r="F3648" s="4">
        <v>57.5</v>
      </c>
      <c r="G3648" s="4"/>
      <c r="H3648" s="4">
        <f t="shared" si="354"/>
        <v>57.5</v>
      </c>
    </row>
    <row r="3649" ht="14.25" spans="1:8">
      <c r="A3649" s="3" t="str">
        <f>"12704212105"</f>
        <v>12704212105</v>
      </c>
      <c r="B3649" s="3">
        <v>2</v>
      </c>
      <c r="C3649" s="3">
        <v>121</v>
      </c>
      <c r="D3649" s="3">
        <v>5</v>
      </c>
      <c r="E3649" s="3" t="s">
        <v>10</v>
      </c>
      <c r="F3649" s="4">
        <v>61</v>
      </c>
      <c r="G3649" s="4"/>
      <c r="H3649" s="4">
        <f t="shared" si="354"/>
        <v>61</v>
      </c>
    </row>
    <row r="3650" ht="14.25" spans="1:8">
      <c r="A3650" s="3" t="str">
        <f>"12704212106"</f>
        <v>12704212106</v>
      </c>
      <c r="B3650" s="3">
        <v>2</v>
      </c>
      <c r="C3650" s="3">
        <v>121</v>
      </c>
      <c r="D3650" s="3">
        <v>6</v>
      </c>
      <c r="E3650" s="3" t="s">
        <v>10</v>
      </c>
      <c r="F3650" s="3">
        <v>0</v>
      </c>
      <c r="G3650" s="4"/>
      <c r="H3650" s="3">
        <v>0</v>
      </c>
    </row>
    <row r="3651" ht="14.25" spans="1:8">
      <c r="A3651" s="3" t="str">
        <f>"12704212107"</f>
        <v>12704212107</v>
      </c>
      <c r="B3651" s="3">
        <v>2</v>
      </c>
      <c r="C3651" s="3">
        <v>121</v>
      </c>
      <c r="D3651" s="3">
        <v>7</v>
      </c>
      <c r="E3651" s="3" t="s">
        <v>10</v>
      </c>
      <c r="F3651" s="4">
        <v>62</v>
      </c>
      <c r="G3651" s="4"/>
      <c r="H3651" s="4">
        <f t="shared" ref="H3651:H3655" si="355">F3651+G3651</f>
        <v>62</v>
      </c>
    </row>
    <row r="3652" ht="14.25" spans="1:8">
      <c r="A3652" s="3" t="str">
        <f>"12704212108"</f>
        <v>12704212108</v>
      </c>
      <c r="B3652" s="3">
        <v>2</v>
      </c>
      <c r="C3652" s="3">
        <v>121</v>
      </c>
      <c r="D3652" s="3">
        <v>8</v>
      </c>
      <c r="E3652" s="3" t="s">
        <v>10</v>
      </c>
      <c r="F3652" s="4">
        <v>66.5</v>
      </c>
      <c r="G3652" s="4"/>
      <c r="H3652" s="4">
        <f t="shared" si="355"/>
        <v>66.5</v>
      </c>
    </row>
    <row r="3653" ht="14.25" spans="1:8">
      <c r="A3653" s="3" t="str">
        <f>"12705212109"</f>
        <v>12705212109</v>
      </c>
      <c r="B3653" s="3">
        <v>2</v>
      </c>
      <c r="C3653" s="3">
        <v>121</v>
      </c>
      <c r="D3653" s="3">
        <v>9</v>
      </c>
      <c r="E3653" s="3" t="s">
        <v>10</v>
      </c>
      <c r="F3653" s="3">
        <v>0</v>
      </c>
      <c r="G3653" s="4"/>
      <c r="H3653" s="3">
        <v>0</v>
      </c>
    </row>
    <row r="3654" ht="14.25" spans="1:8">
      <c r="A3654" s="3" t="str">
        <f>"12705212110"</f>
        <v>12705212110</v>
      </c>
      <c r="B3654" s="3">
        <v>2</v>
      </c>
      <c r="C3654" s="3">
        <v>121</v>
      </c>
      <c r="D3654" s="3">
        <v>10</v>
      </c>
      <c r="E3654" s="3" t="s">
        <v>10</v>
      </c>
      <c r="F3654" s="4">
        <v>76.5</v>
      </c>
      <c r="G3654" s="4"/>
      <c r="H3654" s="4">
        <f t="shared" si="355"/>
        <v>76.5</v>
      </c>
    </row>
    <row r="3655" ht="14.25" spans="1:8">
      <c r="A3655" s="3" t="str">
        <f>"12705212111"</f>
        <v>12705212111</v>
      </c>
      <c r="B3655" s="3">
        <v>2</v>
      </c>
      <c r="C3655" s="3">
        <v>121</v>
      </c>
      <c r="D3655" s="3">
        <v>11</v>
      </c>
      <c r="E3655" s="3" t="s">
        <v>10</v>
      </c>
      <c r="F3655" s="4">
        <v>74.5</v>
      </c>
      <c r="G3655" s="4"/>
      <c r="H3655" s="4">
        <f t="shared" si="355"/>
        <v>74.5</v>
      </c>
    </row>
    <row r="3656" ht="14.25" spans="1:8">
      <c r="A3656" s="3" t="str">
        <f>"12705212112"</f>
        <v>12705212112</v>
      </c>
      <c r="B3656" s="3">
        <v>2</v>
      </c>
      <c r="C3656" s="3">
        <v>121</v>
      </c>
      <c r="D3656" s="3">
        <v>12</v>
      </c>
      <c r="E3656" s="3" t="s">
        <v>10</v>
      </c>
      <c r="F3656" s="3">
        <v>0</v>
      </c>
      <c r="G3656" s="4"/>
      <c r="H3656" s="3">
        <v>0</v>
      </c>
    </row>
    <row r="3657" ht="14.25" spans="1:8">
      <c r="A3657" s="3" t="str">
        <f>"12705212113"</f>
        <v>12705212113</v>
      </c>
      <c r="B3657" s="3">
        <v>2</v>
      </c>
      <c r="C3657" s="3">
        <v>121</v>
      </c>
      <c r="D3657" s="3">
        <v>13</v>
      </c>
      <c r="E3657" s="3" t="s">
        <v>10</v>
      </c>
      <c r="F3657" s="3">
        <v>0</v>
      </c>
      <c r="G3657" s="4"/>
      <c r="H3657" s="3">
        <v>0</v>
      </c>
    </row>
    <row r="3658" ht="14.25" spans="1:8">
      <c r="A3658" s="3" t="str">
        <f>"12705212114"</f>
        <v>12705212114</v>
      </c>
      <c r="B3658" s="3">
        <v>2</v>
      </c>
      <c r="C3658" s="3">
        <v>121</v>
      </c>
      <c r="D3658" s="3">
        <v>14</v>
      </c>
      <c r="E3658" s="3" t="s">
        <v>10</v>
      </c>
      <c r="F3658" s="3">
        <v>0</v>
      </c>
      <c r="G3658" s="4"/>
      <c r="H3658" s="3">
        <v>0</v>
      </c>
    </row>
    <row r="3659" ht="14.25" spans="1:8">
      <c r="A3659" s="3" t="str">
        <f>"12705212115"</f>
        <v>12705212115</v>
      </c>
      <c r="B3659" s="3">
        <v>2</v>
      </c>
      <c r="C3659" s="3">
        <v>121</v>
      </c>
      <c r="D3659" s="3">
        <v>15</v>
      </c>
      <c r="E3659" s="3" t="s">
        <v>10</v>
      </c>
      <c r="F3659" s="3">
        <v>0</v>
      </c>
      <c r="G3659" s="4"/>
      <c r="H3659" s="3">
        <v>0</v>
      </c>
    </row>
    <row r="3660" ht="14.25" spans="1:8">
      <c r="A3660" s="3" t="str">
        <f>"12705212116"</f>
        <v>12705212116</v>
      </c>
      <c r="B3660" s="3">
        <v>2</v>
      </c>
      <c r="C3660" s="3">
        <v>121</v>
      </c>
      <c r="D3660" s="3">
        <v>16</v>
      </c>
      <c r="E3660" s="3" t="s">
        <v>10</v>
      </c>
      <c r="F3660" s="3">
        <v>0</v>
      </c>
      <c r="G3660" s="4"/>
      <c r="H3660" s="3">
        <v>0</v>
      </c>
    </row>
    <row r="3661" ht="14.25" spans="1:8">
      <c r="A3661" s="3" t="str">
        <f>"12705212117"</f>
        <v>12705212117</v>
      </c>
      <c r="B3661" s="3">
        <v>2</v>
      </c>
      <c r="C3661" s="3">
        <v>121</v>
      </c>
      <c r="D3661" s="3">
        <v>17</v>
      </c>
      <c r="E3661" s="3" t="s">
        <v>10</v>
      </c>
      <c r="F3661" s="3">
        <v>0</v>
      </c>
      <c r="G3661" s="4"/>
      <c r="H3661" s="3">
        <v>0</v>
      </c>
    </row>
    <row r="3662" ht="14.25" spans="1:8">
      <c r="A3662" s="3" t="str">
        <f>"12706212118"</f>
        <v>12706212118</v>
      </c>
      <c r="B3662" s="3">
        <v>2</v>
      </c>
      <c r="C3662" s="3">
        <v>121</v>
      </c>
      <c r="D3662" s="3">
        <v>18</v>
      </c>
      <c r="E3662" s="3" t="s">
        <v>10</v>
      </c>
      <c r="F3662" s="4">
        <v>75.5</v>
      </c>
      <c r="G3662" s="4"/>
      <c r="H3662" s="4">
        <f t="shared" ref="H3662:H3670" si="356">F3662+G3662</f>
        <v>75.5</v>
      </c>
    </row>
    <row r="3663" ht="14.25" spans="1:8">
      <c r="A3663" s="3" t="str">
        <f>"12706212119"</f>
        <v>12706212119</v>
      </c>
      <c r="B3663" s="3">
        <v>2</v>
      </c>
      <c r="C3663" s="3">
        <v>121</v>
      </c>
      <c r="D3663" s="3">
        <v>19</v>
      </c>
      <c r="E3663" s="3" t="s">
        <v>10</v>
      </c>
      <c r="F3663" s="4">
        <v>83.5</v>
      </c>
      <c r="G3663" s="4"/>
      <c r="H3663" s="4">
        <f t="shared" si="356"/>
        <v>83.5</v>
      </c>
    </row>
    <row r="3664" ht="14.25" spans="1:8">
      <c r="A3664" s="3" t="str">
        <f>"12706212120"</f>
        <v>12706212120</v>
      </c>
      <c r="B3664" s="3">
        <v>2</v>
      </c>
      <c r="C3664" s="3">
        <v>121</v>
      </c>
      <c r="D3664" s="3">
        <v>20</v>
      </c>
      <c r="E3664" s="3" t="s">
        <v>10</v>
      </c>
      <c r="F3664" s="4">
        <v>55.5</v>
      </c>
      <c r="G3664" s="4"/>
      <c r="H3664" s="4">
        <f t="shared" si="356"/>
        <v>55.5</v>
      </c>
    </row>
    <row r="3665" ht="14.25" spans="1:8">
      <c r="A3665" s="3" t="str">
        <f>"12706212121"</f>
        <v>12706212121</v>
      </c>
      <c r="B3665" s="3">
        <v>2</v>
      </c>
      <c r="C3665" s="3">
        <v>121</v>
      </c>
      <c r="D3665" s="3">
        <v>21</v>
      </c>
      <c r="E3665" s="3" t="s">
        <v>10</v>
      </c>
      <c r="F3665" s="4">
        <v>78</v>
      </c>
      <c r="G3665" s="4"/>
      <c r="H3665" s="4">
        <f t="shared" si="356"/>
        <v>78</v>
      </c>
    </row>
    <row r="3666" ht="14.25" spans="1:8">
      <c r="A3666" s="3" t="str">
        <f>"12706212122"</f>
        <v>12706212122</v>
      </c>
      <c r="B3666" s="3">
        <v>2</v>
      </c>
      <c r="C3666" s="3">
        <v>121</v>
      </c>
      <c r="D3666" s="3">
        <v>22</v>
      </c>
      <c r="E3666" s="3" t="s">
        <v>10</v>
      </c>
      <c r="F3666" s="4">
        <v>65.5</v>
      </c>
      <c r="G3666" s="4"/>
      <c r="H3666" s="4">
        <f t="shared" si="356"/>
        <v>65.5</v>
      </c>
    </row>
    <row r="3667" ht="14.25" spans="1:8">
      <c r="A3667" s="3" t="str">
        <f>"12706212123"</f>
        <v>12706212123</v>
      </c>
      <c r="B3667" s="3">
        <v>2</v>
      </c>
      <c r="C3667" s="3">
        <v>121</v>
      </c>
      <c r="D3667" s="3">
        <v>23</v>
      </c>
      <c r="E3667" s="3" t="s">
        <v>10</v>
      </c>
      <c r="F3667" s="4">
        <v>68.5</v>
      </c>
      <c r="G3667" s="4"/>
      <c r="H3667" s="4">
        <f t="shared" si="356"/>
        <v>68.5</v>
      </c>
    </row>
    <row r="3668" ht="14.25" spans="1:8">
      <c r="A3668" s="3" t="str">
        <f>"12706212124"</f>
        <v>12706212124</v>
      </c>
      <c r="B3668" s="3">
        <v>2</v>
      </c>
      <c r="C3668" s="3">
        <v>121</v>
      </c>
      <c r="D3668" s="3">
        <v>24</v>
      </c>
      <c r="E3668" s="3" t="s">
        <v>10</v>
      </c>
      <c r="F3668" s="4">
        <v>65</v>
      </c>
      <c r="G3668" s="4"/>
      <c r="H3668" s="4">
        <f t="shared" si="356"/>
        <v>65</v>
      </c>
    </row>
    <row r="3669" ht="14.25" spans="1:8">
      <c r="A3669" s="3" t="str">
        <f>"12706212125"</f>
        <v>12706212125</v>
      </c>
      <c r="B3669" s="3">
        <v>2</v>
      </c>
      <c r="C3669" s="3">
        <v>121</v>
      </c>
      <c r="D3669" s="3">
        <v>25</v>
      </c>
      <c r="E3669" s="3" t="s">
        <v>10</v>
      </c>
      <c r="F3669" s="4">
        <v>73.5</v>
      </c>
      <c r="G3669" s="4"/>
      <c r="H3669" s="4">
        <f t="shared" si="356"/>
        <v>73.5</v>
      </c>
    </row>
    <row r="3670" ht="14.25" spans="1:8">
      <c r="A3670" s="3" t="str">
        <f>"12706212126"</f>
        <v>12706212126</v>
      </c>
      <c r="B3670" s="3">
        <v>2</v>
      </c>
      <c r="C3670" s="3">
        <v>121</v>
      </c>
      <c r="D3670" s="3">
        <v>26</v>
      </c>
      <c r="E3670" s="3" t="s">
        <v>10</v>
      </c>
      <c r="F3670" s="4">
        <v>75</v>
      </c>
      <c r="G3670" s="4"/>
      <c r="H3670" s="4">
        <f t="shared" si="356"/>
        <v>75</v>
      </c>
    </row>
    <row r="3671" ht="14.25" spans="1:8">
      <c r="A3671" s="3" t="str">
        <f>"12706212127"</f>
        <v>12706212127</v>
      </c>
      <c r="B3671" s="3">
        <v>2</v>
      </c>
      <c r="C3671" s="3">
        <v>121</v>
      </c>
      <c r="D3671" s="3">
        <v>27</v>
      </c>
      <c r="E3671" s="3" t="s">
        <v>10</v>
      </c>
      <c r="F3671" s="3">
        <v>0</v>
      </c>
      <c r="G3671" s="4"/>
      <c r="H3671" s="3">
        <v>0</v>
      </c>
    </row>
    <row r="3672" ht="14.25" spans="1:8">
      <c r="A3672" s="3" t="str">
        <f>"12707212128"</f>
        <v>12707212128</v>
      </c>
      <c r="B3672" s="3">
        <v>2</v>
      </c>
      <c r="C3672" s="3">
        <v>121</v>
      </c>
      <c r="D3672" s="3">
        <v>28</v>
      </c>
      <c r="E3672" s="3" t="s">
        <v>10</v>
      </c>
      <c r="F3672" s="3">
        <v>0</v>
      </c>
      <c r="G3672" s="4"/>
      <c r="H3672" s="3">
        <v>0</v>
      </c>
    </row>
    <row r="3673" ht="14.25" spans="1:8">
      <c r="A3673" s="3" t="str">
        <f>"12707212129"</f>
        <v>12707212129</v>
      </c>
      <c r="B3673" s="3">
        <v>2</v>
      </c>
      <c r="C3673" s="3">
        <v>121</v>
      </c>
      <c r="D3673" s="3">
        <v>29</v>
      </c>
      <c r="E3673" s="3" t="s">
        <v>10</v>
      </c>
      <c r="F3673" s="3">
        <v>0</v>
      </c>
      <c r="G3673" s="4"/>
      <c r="H3673" s="3">
        <v>0</v>
      </c>
    </row>
    <row r="3674" ht="14.25" spans="1:8">
      <c r="A3674" s="3" t="str">
        <f>"12707212130"</f>
        <v>12707212130</v>
      </c>
      <c r="B3674" s="3">
        <v>2</v>
      </c>
      <c r="C3674" s="3">
        <v>121</v>
      </c>
      <c r="D3674" s="3">
        <v>30</v>
      </c>
      <c r="E3674" s="3" t="s">
        <v>10</v>
      </c>
      <c r="F3674" s="3">
        <v>0</v>
      </c>
      <c r="G3674" s="4"/>
      <c r="H3674" s="3">
        <v>0</v>
      </c>
    </row>
    <row r="3675" ht="14.25" spans="1:8">
      <c r="A3675" s="3" t="str">
        <f>"12707212201"</f>
        <v>12707212201</v>
      </c>
      <c r="B3675" s="3">
        <v>2</v>
      </c>
      <c r="C3675" s="3">
        <v>122</v>
      </c>
      <c r="D3675" s="3">
        <v>1</v>
      </c>
      <c r="E3675" s="3" t="s">
        <v>10</v>
      </c>
      <c r="F3675" s="4">
        <v>82.5</v>
      </c>
      <c r="G3675" s="4"/>
      <c r="H3675" s="4">
        <f>F3675+G3675</f>
        <v>82.5</v>
      </c>
    </row>
    <row r="3676" ht="14.25" spans="1:8">
      <c r="A3676" s="3" t="str">
        <f>"12707212202"</f>
        <v>12707212202</v>
      </c>
      <c r="B3676" s="3">
        <v>2</v>
      </c>
      <c r="C3676" s="3">
        <v>122</v>
      </c>
      <c r="D3676" s="3">
        <v>2</v>
      </c>
      <c r="E3676" s="3" t="s">
        <v>10</v>
      </c>
      <c r="F3676" s="3">
        <v>0</v>
      </c>
      <c r="G3676" s="4"/>
      <c r="H3676" s="3">
        <v>0</v>
      </c>
    </row>
    <row r="3677" ht="14.25" spans="1:8">
      <c r="A3677" s="3" t="str">
        <f>"12707212203"</f>
        <v>12707212203</v>
      </c>
      <c r="B3677" s="3">
        <v>2</v>
      </c>
      <c r="C3677" s="3">
        <v>122</v>
      </c>
      <c r="D3677" s="3">
        <v>3</v>
      </c>
      <c r="E3677" s="3" t="s">
        <v>10</v>
      </c>
      <c r="F3677" s="3">
        <v>0</v>
      </c>
      <c r="G3677" s="4"/>
      <c r="H3677" s="3">
        <v>0</v>
      </c>
    </row>
    <row r="3678" ht="14.25" spans="1:8">
      <c r="A3678" s="3" t="str">
        <f>"12707212204"</f>
        <v>12707212204</v>
      </c>
      <c r="B3678" s="3">
        <v>2</v>
      </c>
      <c r="C3678" s="3">
        <v>122</v>
      </c>
      <c r="D3678" s="3">
        <v>4</v>
      </c>
      <c r="E3678" s="3" t="s">
        <v>10</v>
      </c>
      <c r="F3678" s="3">
        <v>0</v>
      </c>
      <c r="G3678" s="4"/>
      <c r="H3678" s="3">
        <v>0</v>
      </c>
    </row>
    <row r="3679" ht="14.25" spans="1:8">
      <c r="A3679" s="3" t="str">
        <f>"12707212205"</f>
        <v>12707212205</v>
      </c>
      <c r="B3679" s="3">
        <v>2</v>
      </c>
      <c r="C3679" s="3">
        <v>122</v>
      </c>
      <c r="D3679" s="3">
        <v>5</v>
      </c>
      <c r="E3679" s="3" t="s">
        <v>10</v>
      </c>
      <c r="F3679" s="3">
        <v>0</v>
      </c>
      <c r="G3679" s="4"/>
      <c r="H3679" s="3">
        <v>0</v>
      </c>
    </row>
    <row r="3680" ht="14.25" spans="1:8">
      <c r="A3680" s="3" t="str">
        <f>"12707212206"</f>
        <v>12707212206</v>
      </c>
      <c r="B3680" s="3">
        <v>2</v>
      </c>
      <c r="C3680" s="3">
        <v>122</v>
      </c>
      <c r="D3680" s="3">
        <v>6</v>
      </c>
      <c r="E3680" s="3" t="s">
        <v>10</v>
      </c>
      <c r="F3680" s="3">
        <v>0</v>
      </c>
      <c r="G3680" s="4"/>
      <c r="H3680" s="3">
        <v>0</v>
      </c>
    </row>
    <row r="3681" ht="14.25" spans="1:8">
      <c r="A3681" s="3" t="str">
        <f>"12707212207"</f>
        <v>12707212207</v>
      </c>
      <c r="B3681" s="3">
        <v>2</v>
      </c>
      <c r="C3681" s="3">
        <v>122</v>
      </c>
      <c r="D3681" s="3">
        <v>7</v>
      </c>
      <c r="E3681" s="3" t="s">
        <v>10</v>
      </c>
      <c r="F3681" s="4">
        <v>54.5</v>
      </c>
      <c r="G3681" s="4"/>
      <c r="H3681" s="4">
        <f t="shared" ref="H3681:H3685" si="357">F3681+G3681</f>
        <v>54.5</v>
      </c>
    </row>
    <row r="3682" ht="14.25" spans="1:8">
      <c r="A3682" s="3" t="str">
        <f>"12707212208"</f>
        <v>12707212208</v>
      </c>
      <c r="B3682" s="3">
        <v>2</v>
      </c>
      <c r="C3682" s="3">
        <v>122</v>
      </c>
      <c r="D3682" s="3">
        <v>8</v>
      </c>
      <c r="E3682" s="3" t="s">
        <v>10</v>
      </c>
      <c r="F3682" s="3">
        <v>0</v>
      </c>
      <c r="G3682" s="4"/>
      <c r="H3682" s="3">
        <v>0</v>
      </c>
    </row>
    <row r="3683" ht="14.25" spans="1:8">
      <c r="A3683" s="3" t="str">
        <f>"12707212209"</f>
        <v>12707212209</v>
      </c>
      <c r="B3683" s="3">
        <v>2</v>
      </c>
      <c r="C3683" s="3">
        <v>122</v>
      </c>
      <c r="D3683" s="3">
        <v>9</v>
      </c>
      <c r="E3683" s="3" t="s">
        <v>10</v>
      </c>
      <c r="F3683" s="3">
        <v>0</v>
      </c>
      <c r="G3683" s="4"/>
      <c r="H3683" s="3">
        <v>0</v>
      </c>
    </row>
    <row r="3684" ht="14.25" spans="1:8">
      <c r="A3684" s="3" t="str">
        <f>"12801212210"</f>
        <v>12801212210</v>
      </c>
      <c r="B3684" s="3">
        <v>2</v>
      </c>
      <c r="C3684" s="3">
        <v>122</v>
      </c>
      <c r="D3684" s="3">
        <v>10</v>
      </c>
      <c r="E3684" s="3" t="s">
        <v>10</v>
      </c>
      <c r="F3684" s="4">
        <v>62.5</v>
      </c>
      <c r="G3684" s="4"/>
      <c r="H3684" s="4">
        <f t="shared" si="357"/>
        <v>62.5</v>
      </c>
    </row>
    <row r="3685" ht="14.25" spans="1:8">
      <c r="A3685" s="3" t="str">
        <f>"12801212211"</f>
        <v>12801212211</v>
      </c>
      <c r="B3685" s="3">
        <v>2</v>
      </c>
      <c r="C3685" s="3">
        <v>122</v>
      </c>
      <c r="D3685" s="3">
        <v>11</v>
      </c>
      <c r="E3685" s="3" t="s">
        <v>10</v>
      </c>
      <c r="F3685" s="4">
        <v>69</v>
      </c>
      <c r="G3685" s="4"/>
      <c r="H3685" s="4">
        <f t="shared" si="357"/>
        <v>69</v>
      </c>
    </row>
    <row r="3686" ht="14.25" spans="1:8">
      <c r="A3686" s="3" t="str">
        <f>"12801212212"</f>
        <v>12801212212</v>
      </c>
      <c r="B3686" s="3">
        <v>2</v>
      </c>
      <c r="C3686" s="3">
        <v>122</v>
      </c>
      <c r="D3686" s="3">
        <v>12</v>
      </c>
      <c r="E3686" s="3" t="s">
        <v>10</v>
      </c>
      <c r="F3686" s="3">
        <v>0</v>
      </c>
      <c r="G3686" s="4"/>
      <c r="H3686" s="3">
        <v>0</v>
      </c>
    </row>
    <row r="3687" ht="14.25" spans="1:8">
      <c r="A3687" s="3" t="str">
        <f>"12801212213"</f>
        <v>12801212213</v>
      </c>
      <c r="B3687" s="3">
        <v>2</v>
      </c>
      <c r="C3687" s="3">
        <v>122</v>
      </c>
      <c r="D3687" s="3">
        <v>13</v>
      </c>
      <c r="E3687" s="3" t="s">
        <v>10</v>
      </c>
      <c r="F3687" s="3">
        <v>0</v>
      </c>
      <c r="G3687" s="4"/>
      <c r="H3687" s="3">
        <v>0</v>
      </c>
    </row>
    <row r="3688" ht="14.25" spans="1:8">
      <c r="A3688" s="3" t="str">
        <f>"12801212214"</f>
        <v>12801212214</v>
      </c>
      <c r="B3688" s="3">
        <v>2</v>
      </c>
      <c r="C3688" s="3">
        <v>122</v>
      </c>
      <c r="D3688" s="3">
        <v>14</v>
      </c>
      <c r="E3688" s="3" t="s">
        <v>10</v>
      </c>
      <c r="F3688" s="3">
        <v>0</v>
      </c>
      <c r="G3688" s="4"/>
      <c r="H3688" s="3">
        <v>0</v>
      </c>
    </row>
    <row r="3689" ht="14.25" spans="1:8">
      <c r="A3689" s="3" t="str">
        <f>"12801212215"</f>
        <v>12801212215</v>
      </c>
      <c r="B3689" s="3">
        <v>2</v>
      </c>
      <c r="C3689" s="3">
        <v>122</v>
      </c>
      <c r="D3689" s="3">
        <v>15</v>
      </c>
      <c r="E3689" s="3" t="s">
        <v>10</v>
      </c>
      <c r="F3689" s="3">
        <v>0</v>
      </c>
      <c r="G3689" s="4"/>
      <c r="H3689" s="3">
        <v>0</v>
      </c>
    </row>
    <row r="3690" ht="14.25" spans="1:8">
      <c r="A3690" s="3" t="str">
        <f>"12801212216"</f>
        <v>12801212216</v>
      </c>
      <c r="B3690" s="3">
        <v>2</v>
      </c>
      <c r="C3690" s="3">
        <v>122</v>
      </c>
      <c r="D3690" s="3">
        <v>16</v>
      </c>
      <c r="E3690" s="3" t="s">
        <v>10</v>
      </c>
      <c r="F3690" s="3">
        <v>0</v>
      </c>
      <c r="G3690" s="4"/>
      <c r="H3690" s="3">
        <v>0</v>
      </c>
    </row>
    <row r="3691" ht="14.25" spans="1:8">
      <c r="A3691" s="3" t="str">
        <f>"12801212217"</f>
        <v>12801212217</v>
      </c>
      <c r="B3691" s="3">
        <v>2</v>
      </c>
      <c r="C3691" s="3">
        <v>122</v>
      </c>
      <c r="D3691" s="3">
        <v>17</v>
      </c>
      <c r="E3691" s="3" t="s">
        <v>10</v>
      </c>
      <c r="F3691" s="4">
        <v>60</v>
      </c>
      <c r="G3691" s="4"/>
      <c r="H3691" s="4">
        <f t="shared" ref="H3691:H3694" si="358">F3691+G3691</f>
        <v>60</v>
      </c>
    </row>
    <row r="3692" ht="14.25" spans="1:8">
      <c r="A3692" s="3" t="str">
        <f>"12801212218"</f>
        <v>12801212218</v>
      </c>
      <c r="B3692" s="3">
        <v>2</v>
      </c>
      <c r="C3692" s="3">
        <v>122</v>
      </c>
      <c r="D3692" s="3">
        <v>18</v>
      </c>
      <c r="E3692" s="3" t="s">
        <v>10</v>
      </c>
      <c r="F3692" s="4">
        <v>84</v>
      </c>
      <c r="G3692" s="4"/>
      <c r="H3692" s="4">
        <f t="shared" si="358"/>
        <v>84</v>
      </c>
    </row>
    <row r="3693" ht="14.25" spans="1:8">
      <c r="A3693" s="3" t="str">
        <f>"12801212219"</f>
        <v>12801212219</v>
      </c>
      <c r="B3693" s="3">
        <v>2</v>
      </c>
      <c r="C3693" s="3">
        <v>122</v>
      </c>
      <c r="D3693" s="3">
        <v>19</v>
      </c>
      <c r="E3693" s="3" t="s">
        <v>10</v>
      </c>
      <c r="F3693" s="4">
        <v>63.5</v>
      </c>
      <c r="G3693" s="4"/>
      <c r="H3693" s="4">
        <f t="shared" si="358"/>
        <v>63.5</v>
      </c>
    </row>
    <row r="3694" ht="14.25" spans="1:8">
      <c r="A3694" s="3" t="str">
        <f>"12801212220"</f>
        <v>12801212220</v>
      </c>
      <c r="B3694" s="3">
        <v>2</v>
      </c>
      <c r="C3694" s="3">
        <v>122</v>
      </c>
      <c r="D3694" s="3">
        <v>20</v>
      </c>
      <c r="E3694" s="3" t="s">
        <v>10</v>
      </c>
      <c r="F3694" s="4">
        <v>71</v>
      </c>
      <c r="G3694" s="4"/>
      <c r="H3694" s="4">
        <f t="shared" si="358"/>
        <v>71</v>
      </c>
    </row>
    <row r="3695" ht="14.25" spans="1:8">
      <c r="A3695" s="3" t="str">
        <f>"12801212221"</f>
        <v>12801212221</v>
      </c>
      <c r="B3695" s="3">
        <v>2</v>
      </c>
      <c r="C3695" s="3">
        <v>122</v>
      </c>
      <c r="D3695" s="3">
        <v>21</v>
      </c>
      <c r="E3695" s="3" t="s">
        <v>10</v>
      </c>
      <c r="F3695" s="3">
        <v>0</v>
      </c>
      <c r="G3695" s="4"/>
      <c r="H3695" s="3">
        <v>0</v>
      </c>
    </row>
    <row r="3696" ht="14.25" spans="1:8">
      <c r="A3696" s="3" t="str">
        <f>"12801212222"</f>
        <v>12801212222</v>
      </c>
      <c r="B3696" s="3">
        <v>2</v>
      </c>
      <c r="C3696" s="3">
        <v>122</v>
      </c>
      <c r="D3696" s="3">
        <v>22</v>
      </c>
      <c r="E3696" s="3" t="s">
        <v>10</v>
      </c>
      <c r="F3696" s="4">
        <v>76.5</v>
      </c>
      <c r="G3696" s="4"/>
      <c r="H3696" s="4">
        <f t="shared" ref="H3696:H3699" si="359">F3696+G3696</f>
        <v>76.5</v>
      </c>
    </row>
    <row r="3697" ht="14.25" spans="1:8">
      <c r="A3697" s="3" t="str">
        <f>"12801212223"</f>
        <v>12801212223</v>
      </c>
      <c r="B3697" s="3">
        <v>2</v>
      </c>
      <c r="C3697" s="3">
        <v>122</v>
      </c>
      <c r="D3697" s="3">
        <v>23</v>
      </c>
      <c r="E3697" s="3" t="s">
        <v>10</v>
      </c>
      <c r="F3697" s="4">
        <v>57</v>
      </c>
      <c r="G3697" s="4"/>
      <c r="H3697" s="4">
        <f t="shared" si="359"/>
        <v>57</v>
      </c>
    </row>
    <row r="3698" ht="14.25" spans="1:8">
      <c r="A3698" s="3" t="str">
        <f>"12801212224"</f>
        <v>12801212224</v>
      </c>
      <c r="B3698" s="3">
        <v>2</v>
      </c>
      <c r="C3698" s="3">
        <v>122</v>
      </c>
      <c r="D3698" s="3">
        <v>24</v>
      </c>
      <c r="E3698" s="3" t="s">
        <v>10</v>
      </c>
      <c r="F3698" s="3">
        <v>0</v>
      </c>
      <c r="G3698" s="4"/>
      <c r="H3698" s="3">
        <v>0</v>
      </c>
    </row>
    <row r="3699" ht="14.25" spans="1:8">
      <c r="A3699" s="3" t="str">
        <f>"12801212225"</f>
        <v>12801212225</v>
      </c>
      <c r="B3699" s="3">
        <v>2</v>
      </c>
      <c r="C3699" s="3">
        <v>122</v>
      </c>
      <c r="D3699" s="3">
        <v>25</v>
      </c>
      <c r="E3699" s="3" t="s">
        <v>10</v>
      </c>
      <c r="F3699" s="4">
        <v>80</v>
      </c>
      <c r="G3699" s="4"/>
      <c r="H3699" s="4">
        <f t="shared" si="359"/>
        <v>80</v>
      </c>
    </row>
    <row r="3700" ht="14.25" spans="1:8">
      <c r="A3700" s="3" t="str">
        <f>"12801212226"</f>
        <v>12801212226</v>
      </c>
      <c r="B3700" s="3">
        <v>2</v>
      </c>
      <c r="C3700" s="3">
        <v>122</v>
      </c>
      <c r="D3700" s="3">
        <v>26</v>
      </c>
      <c r="E3700" s="3" t="s">
        <v>10</v>
      </c>
      <c r="F3700" s="3">
        <v>0</v>
      </c>
      <c r="G3700" s="4"/>
      <c r="H3700" s="3">
        <v>0</v>
      </c>
    </row>
    <row r="3701" ht="14.25" spans="1:8">
      <c r="A3701" s="3" t="str">
        <f>"12801212227"</f>
        <v>12801212227</v>
      </c>
      <c r="B3701" s="3">
        <v>2</v>
      </c>
      <c r="C3701" s="3">
        <v>122</v>
      </c>
      <c r="D3701" s="3">
        <v>27</v>
      </c>
      <c r="E3701" s="3" t="s">
        <v>10</v>
      </c>
      <c r="F3701" s="3">
        <v>0</v>
      </c>
      <c r="G3701" s="4"/>
      <c r="H3701" s="3">
        <v>0</v>
      </c>
    </row>
    <row r="3702" ht="14.25" spans="1:8">
      <c r="A3702" s="3" t="str">
        <f>"12802212228"</f>
        <v>12802212228</v>
      </c>
      <c r="B3702" s="3">
        <v>2</v>
      </c>
      <c r="C3702" s="3">
        <v>122</v>
      </c>
      <c r="D3702" s="3">
        <v>28</v>
      </c>
      <c r="E3702" s="3" t="s">
        <v>10</v>
      </c>
      <c r="F3702" s="4">
        <v>67</v>
      </c>
      <c r="G3702" s="4"/>
      <c r="H3702" s="4">
        <f t="shared" ref="H3702:H3709" si="360">F3702+G3702</f>
        <v>67</v>
      </c>
    </row>
    <row r="3703" ht="14.25" spans="1:8">
      <c r="A3703" s="3" t="str">
        <f>"12802212229"</f>
        <v>12802212229</v>
      </c>
      <c r="B3703" s="3">
        <v>2</v>
      </c>
      <c r="C3703" s="3">
        <v>122</v>
      </c>
      <c r="D3703" s="3">
        <v>29</v>
      </c>
      <c r="E3703" s="3" t="s">
        <v>10</v>
      </c>
      <c r="F3703" s="4">
        <v>83.5</v>
      </c>
      <c r="G3703" s="4"/>
      <c r="H3703" s="4">
        <f t="shared" si="360"/>
        <v>83.5</v>
      </c>
    </row>
    <row r="3704" ht="14.25" spans="1:8">
      <c r="A3704" s="3" t="str">
        <f>"12802212230"</f>
        <v>12802212230</v>
      </c>
      <c r="B3704" s="3">
        <v>2</v>
      </c>
      <c r="C3704" s="3">
        <v>122</v>
      </c>
      <c r="D3704" s="3">
        <v>30</v>
      </c>
      <c r="E3704" s="3" t="s">
        <v>10</v>
      </c>
      <c r="F3704" s="4">
        <v>76</v>
      </c>
      <c r="G3704" s="4"/>
      <c r="H3704" s="4">
        <f t="shared" si="360"/>
        <v>76</v>
      </c>
    </row>
    <row r="3705" ht="14.25" spans="1:8">
      <c r="A3705" s="3" t="str">
        <f>"12802212301"</f>
        <v>12802212301</v>
      </c>
      <c r="B3705" s="3">
        <v>2</v>
      </c>
      <c r="C3705" s="3">
        <v>123</v>
      </c>
      <c r="D3705" s="3">
        <v>1</v>
      </c>
      <c r="E3705" s="3" t="s">
        <v>10</v>
      </c>
      <c r="F3705" s="4">
        <v>88</v>
      </c>
      <c r="G3705" s="4"/>
      <c r="H3705" s="4">
        <f t="shared" si="360"/>
        <v>88</v>
      </c>
    </row>
    <row r="3706" ht="14.25" spans="1:8">
      <c r="A3706" s="3" t="str">
        <f>"12802212302"</f>
        <v>12802212302</v>
      </c>
      <c r="B3706" s="3">
        <v>2</v>
      </c>
      <c r="C3706" s="3">
        <v>123</v>
      </c>
      <c r="D3706" s="3">
        <v>2</v>
      </c>
      <c r="E3706" s="3" t="s">
        <v>10</v>
      </c>
      <c r="F3706" s="4">
        <v>84.5</v>
      </c>
      <c r="G3706" s="4"/>
      <c r="H3706" s="4">
        <f t="shared" si="360"/>
        <v>84.5</v>
      </c>
    </row>
    <row r="3707" ht="14.25" spans="1:8">
      <c r="A3707" s="3" t="str">
        <f>"12802212303"</f>
        <v>12802212303</v>
      </c>
      <c r="B3707" s="3">
        <v>2</v>
      </c>
      <c r="C3707" s="3">
        <v>123</v>
      </c>
      <c r="D3707" s="3">
        <v>3</v>
      </c>
      <c r="E3707" s="3" t="s">
        <v>10</v>
      </c>
      <c r="F3707" s="4">
        <v>81.5</v>
      </c>
      <c r="G3707" s="4"/>
      <c r="H3707" s="4">
        <f t="shared" si="360"/>
        <v>81.5</v>
      </c>
    </row>
    <row r="3708" ht="14.25" spans="1:8">
      <c r="A3708" s="3" t="str">
        <f>"12802212304"</f>
        <v>12802212304</v>
      </c>
      <c r="B3708" s="3">
        <v>2</v>
      </c>
      <c r="C3708" s="3">
        <v>123</v>
      </c>
      <c r="D3708" s="3">
        <v>4</v>
      </c>
      <c r="E3708" s="3" t="s">
        <v>10</v>
      </c>
      <c r="F3708" s="4">
        <v>76</v>
      </c>
      <c r="G3708" s="4"/>
      <c r="H3708" s="4">
        <f t="shared" si="360"/>
        <v>76</v>
      </c>
    </row>
    <row r="3709" ht="14.25" spans="1:8">
      <c r="A3709" s="3" t="str">
        <f>"12802212305"</f>
        <v>12802212305</v>
      </c>
      <c r="B3709" s="3">
        <v>2</v>
      </c>
      <c r="C3709" s="3">
        <v>123</v>
      </c>
      <c r="D3709" s="3">
        <v>5</v>
      </c>
      <c r="E3709" s="3" t="s">
        <v>10</v>
      </c>
      <c r="F3709" s="4">
        <v>76</v>
      </c>
      <c r="G3709" s="4"/>
      <c r="H3709" s="4">
        <f t="shared" si="360"/>
        <v>76</v>
      </c>
    </row>
    <row r="3710" ht="14.25" spans="1:8">
      <c r="A3710" s="3" t="str">
        <f>"12802212306"</f>
        <v>12802212306</v>
      </c>
      <c r="B3710" s="3">
        <v>2</v>
      </c>
      <c r="C3710" s="3">
        <v>123</v>
      </c>
      <c r="D3710" s="3">
        <v>6</v>
      </c>
      <c r="E3710" s="3" t="s">
        <v>10</v>
      </c>
      <c r="F3710" s="3">
        <v>0</v>
      </c>
      <c r="G3710" s="4"/>
      <c r="H3710" s="3">
        <v>0</v>
      </c>
    </row>
    <row r="3711" ht="14.25" spans="1:8">
      <c r="A3711" s="3" t="str">
        <f>"12802212307"</f>
        <v>12802212307</v>
      </c>
      <c r="B3711" s="3">
        <v>2</v>
      </c>
      <c r="C3711" s="3">
        <v>123</v>
      </c>
      <c r="D3711" s="3">
        <v>7</v>
      </c>
      <c r="E3711" s="3" t="s">
        <v>10</v>
      </c>
      <c r="F3711" s="4">
        <v>49.5</v>
      </c>
      <c r="G3711" s="4"/>
      <c r="H3711" s="4">
        <f t="shared" ref="H3711:H3713" si="361">F3711+G3711</f>
        <v>49.5</v>
      </c>
    </row>
    <row r="3712" ht="14.25" spans="1:8">
      <c r="A3712" s="3" t="str">
        <f>"12802212308"</f>
        <v>12802212308</v>
      </c>
      <c r="B3712" s="3">
        <v>2</v>
      </c>
      <c r="C3712" s="3">
        <v>123</v>
      </c>
      <c r="D3712" s="3">
        <v>8</v>
      </c>
      <c r="E3712" s="3" t="s">
        <v>10</v>
      </c>
      <c r="F3712" s="4">
        <v>69.5</v>
      </c>
      <c r="G3712" s="4"/>
      <c r="H3712" s="4">
        <f t="shared" si="361"/>
        <v>69.5</v>
      </c>
    </row>
    <row r="3713" ht="14.25" spans="1:8">
      <c r="A3713" s="3" t="str">
        <f>"12802212309"</f>
        <v>12802212309</v>
      </c>
      <c r="B3713" s="3">
        <v>2</v>
      </c>
      <c r="C3713" s="3">
        <v>123</v>
      </c>
      <c r="D3713" s="3">
        <v>9</v>
      </c>
      <c r="E3713" s="3" t="s">
        <v>10</v>
      </c>
      <c r="F3713" s="4">
        <v>47</v>
      </c>
      <c r="G3713" s="4"/>
      <c r="H3713" s="4">
        <f t="shared" si="361"/>
        <v>47</v>
      </c>
    </row>
    <row r="3714" ht="14.25" spans="1:8">
      <c r="A3714" s="3" t="str">
        <f>"12802212310"</f>
        <v>12802212310</v>
      </c>
      <c r="B3714" s="3">
        <v>2</v>
      </c>
      <c r="C3714" s="3">
        <v>123</v>
      </c>
      <c r="D3714" s="3">
        <v>10</v>
      </c>
      <c r="E3714" s="3" t="s">
        <v>10</v>
      </c>
      <c r="F3714" s="3">
        <v>0</v>
      </c>
      <c r="G3714" s="4"/>
      <c r="H3714" s="3">
        <v>0</v>
      </c>
    </row>
    <row r="3715" ht="14.25" spans="1:8">
      <c r="A3715" s="3" t="str">
        <f>"12802212311"</f>
        <v>12802212311</v>
      </c>
      <c r="B3715" s="3">
        <v>2</v>
      </c>
      <c r="C3715" s="3">
        <v>123</v>
      </c>
      <c r="D3715" s="3">
        <v>11</v>
      </c>
      <c r="E3715" s="3" t="s">
        <v>10</v>
      </c>
      <c r="F3715" s="4">
        <v>79.5</v>
      </c>
      <c r="G3715" s="4"/>
      <c r="H3715" s="4">
        <f t="shared" ref="H3715:H3720" si="362">F3715+G3715</f>
        <v>79.5</v>
      </c>
    </row>
    <row r="3716" ht="14.25" spans="1:8">
      <c r="A3716" s="3" t="str">
        <f>"12802212312"</f>
        <v>12802212312</v>
      </c>
      <c r="B3716" s="3">
        <v>2</v>
      </c>
      <c r="C3716" s="3">
        <v>123</v>
      </c>
      <c r="D3716" s="3">
        <v>12</v>
      </c>
      <c r="E3716" s="3" t="s">
        <v>10</v>
      </c>
      <c r="F3716" s="4">
        <v>70</v>
      </c>
      <c r="G3716" s="4"/>
      <c r="H3716" s="4">
        <f t="shared" si="362"/>
        <v>70</v>
      </c>
    </row>
    <row r="3717" ht="14.25" spans="1:8">
      <c r="A3717" s="3" t="str">
        <f>"12802212313"</f>
        <v>12802212313</v>
      </c>
      <c r="B3717" s="3">
        <v>2</v>
      </c>
      <c r="C3717" s="3">
        <v>123</v>
      </c>
      <c r="D3717" s="3">
        <v>13</v>
      </c>
      <c r="E3717" s="3" t="s">
        <v>10</v>
      </c>
      <c r="F3717" s="3">
        <v>0</v>
      </c>
      <c r="G3717" s="4"/>
      <c r="H3717" s="3">
        <v>0</v>
      </c>
    </row>
    <row r="3718" ht="14.25" spans="1:8">
      <c r="A3718" s="3" t="str">
        <f>"12802212314"</f>
        <v>12802212314</v>
      </c>
      <c r="B3718" s="3">
        <v>2</v>
      </c>
      <c r="C3718" s="3">
        <v>123</v>
      </c>
      <c r="D3718" s="3">
        <v>14</v>
      </c>
      <c r="E3718" s="3" t="s">
        <v>10</v>
      </c>
      <c r="F3718" s="4">
        <v>75</v>
      </c>
      <c r="G3718" s="4"/>
      <c r="H3718" s="4">
        <f t="shared" si="362"/>
        <v>75</v>
      </c>
    </row>
    <row r="3719" ht="14.25" spans="1:8">
      <c r="A3719" s="3" t="str">
        <f>"12802212315"</f>
        <v>12802212315</v>
      </c>
      <c r="B3719" s="3">
        <v>2</v>
      </c>
      <c r="C3719" s="3">
        <v>123</v>
      </c>
      <c r="D3719" s="3">
        <v>15</v>
      </c>
      <c r="E3719" s="3" t="s">
        <v>10</v>
      </c>
      <c r="F3719" s="4">
        <v>86.5</v>
      </c>
      <c r="G3719" s="4"/>
      <c r="H3719" s="4">
        <f t="shared" si="362"/>
        <v>86.5</v>
      </c>
    </row>
    <row r="3720" ht="14.25" spans="1:8">
      <c r="A3720" s="3" t="str">
        <f>"12802212316"</f>
        <v>12802212316</v>
      </c>
      <c r="B3720" s="3">
        <v>2</v>
      </c>
      <c r="C3720" s="3">
        <v>123</v>
      </c>
      <c r="D3720" s="3">
        <v>16</v>
      </c>
      <c r="E3720" s="3" t="s">
        <v>10</v>
      </c>
      <c r="F3720" s="4">
        <v>83</v>
      </c>
      <c r="G3720" s="4"/>
      <c r="H3720" s="4">
        <f t="shared" si="362"/>
        <v>83</v>
      </c>
    </row>
    <row r="3721" ht="14.25" spans="1:8">
      <c r="A3721" s="3" t="str">
        <f>"12803212317"</f>
        <v>12803212317</v>
      </c>
      <c r="B3721" s="3">
        <v>2</v>
      </c>
      <c r="C3721" s="3">
        <v>123</v>
      </c>
      <c r="D3721" s="3">
        <v>17</v>
      </c>
      <c r="E3721" s="3" t="s">
        <v>10</v>
      </c>
      <c r="F3721" s="3">
        <v>0</v>
      </c>
      <c r="G3721" s="4"/>
      <c r="H3721" s="3">
        <v>0</v>
      </c>
    </row>
    <row r="3722" ht="14.25" spans="1:8">
      <c r="A3722" s="3" t="str">
        <f>"12803212318"</f>
        <v>12803212318</v>
      </c>
      <c r="B3722" s="3">
        <v>2</v>
      </c>
      <c r="C3722" s="3">
        <v>123</v>
      </c>
      <c r="D3722" s="3">
        <v>18</v>
      </c>
      <c r="E3722" s="3" t="s">
        <v>10</v>
      </c>
      <c r="F3722" s="4">
        <v>77</v>
      </c>
      <c r="G3722" s="4"/>
      <c r="H3722" s="4">
        <f t="shared" ref="H3722:H3737" si="363">F3722+G3722</f>
        <v>77</v>
      </c>
    </row>
    <row r="3723" ht="14.25" spans="1:8">
      <c r="A3723" s="3" t="str">
        <f>"12803212319"</f>
        <v>12803212319</v>
      </c>
      <c r="B3723" s="3">
        <v>2</v>
      </c>
      <c r="C3723" s="3">
        <v>123</v>
      </c>
      <c r="D3723" s="3">
        <v>19</v>
      </c>
      <c r="E3723" s="3" t="s">
        <v>10</v>
      </c>
      <c r="F3723" s="3">
        <v>0</v>
      </c>
      <c r="G3723" s="4"/>
      <c r="H3723" s="3">
        <v>0</v>
      </c>
    </row>
    <row r="3724" ht="14.25" spans="1:8">
      <c r="A3724" s="3" t="str">
        <f>"12803212320"</f>
        <v>12803212320</v>
      </c>
      <c r="B3724" s="3">
        <v>2</v>
      </c>
      <c r="C3724" s="3">
        <v>123</v>
      </c>
      <c r="D3724" s="3">
        <v>20</v>
      </c>
      <c r="E3724" s="3" t="s">
        <v>10</v>
      </c>
      <c r="F3724" s="4">
        <v>57</v>
      </c>
      <c r="G3724" s="4"/>
      <c r="H3724" s="4">
        <f t="shared" si="363"/>
        <v>57</v>
      </c>
    </row>
    <row r="3725" ht="14.25" spans="1:8">
      <c r="A3725" s="3" t="str">
        <f>"12803212321"</f>
        <v>12803212321</v>
      </c>
      <c r="B3725" s="3">
        <v>2</v>
      </c>
      <c r="C3725" s="3">
        <v>123</v>
      </c>
      <c r="D3725" s="3">
        <v>21</v>
      </c>
      <c r="E3725" s="3" t="s">
        <v>10</v>
      </c>
      <c r="F3725" s="4">
        <v>60.5</v>
      </c>
      <c r="G3725" s="4"/>
      <c r="H3725" s="4">
        <f t="shared" si="363"/>
        <v>60.5</v>
      </c>
    </row>
    <row r="3726" ht="14.25" spans="1:8">
      <c r="A3726" s="3" t="str">
        <f>"12803212322"</f>
        <v>12803212322</v>
      </c>
      <c r="B3726" s="3">
        <v>2</v>
      </c>
      <c r="C3726" s="3">
        <v>123</v>
      </c>
      <c r="D3726" s="3">
        <v>22</v>
      </c>
      <c r="E3726" s="3" t="s">
        <v>10</v>
      </c>
      <c r="F3726" s="4">
        <v>84.5</v>
      </c>
      <c r="G3726" s="4"/>
      <c r="H3726" s="4">
        <f t="shared" si="363"/>
        <v>84.5</v>
      </c>
    </row>
    <row r="3727" ht="14.25" spans="1:8">
      <c r="A3727" s="3" t="str">
        <f>"12803212323"</f>
        <v>12803212323</v>
      </c>
      <c r="B3727" s="3">
        <v>2</v>
      </c>
      <c r="C3727" s="3">
        <v>123</v>
      </c>
      <c r="D3727" s="3">
        <v>23</v>
      </c>
      <c r="E3727" s="3" t="s">
        <v>10</v>
      </c>
      <c r="F3727" s="4">
        <v>64.5</v>
      </c>
      <c r="G3727" s="4"/>
      <c r="H3727" s="4">
        <f t="shared" si="363"/>
        <v>64.5</v>
      </c>
    </row>
    <row r="3728" ht="14.25" spans="1:8">
      <c r="A3728" s="3" t="str">
        <f>"12803212324"</f>
        <v>12803212324</v>
      </c>
      <c r="B3728" s="3">
        <v>2</v>
      </c>
      <c r="C3728" s="3">
        <v>123</v>
      </c>
      <c r="D3728" s="3">
        <v>24</v>
      </c>
      <c r="E3728" s="3" t="s">
        <v>10</v>
      </c>
      <c r="F3728" s="4">
        <v>65</v>
      </c>
      <c r="G3728" s="4"/>
      <c r="H3728" s="4">
        <f t="shared" si="363"/>
        <v>65</v>
      </c>
    </row>
    <row r="3729" ht="14.25" spans="1:8">
      <c r="A3729" s="3" t="str">
        <f>"12803212325"</f>
        <v>12803212325</v>
      </c>
      <c r="B3729" s="3">
        <v>2</v>
      </c>
      <c r="C3729" s="3">
        <v>123</v>
      </c>
      <c r="D3729" s="3">
        <v>25</v>
      </c>
      <c r="E3729" s="3" t="s">
        <v>10</v>
      </c>
      <c r="F3729" s="4">
        <v>82.5</v>
      </c>
      <c r="G3729" s="4"/>
      <c r="H3729" s="4">
        <f t="shared" si="363"/>
        <v>82.5</v>
      </c>
    </row>
    <row r="3730" ht="14.25" spans="1:8">
      <c r="A3730" s="3" t="str">
        <f>"12803212326"</f>
        <v>12803212326</v>
      </c>
      <c r="B3730" s="3">
        <v>2</v>
      </c>
      <c r="C3730" s="3">
        <v>123</v>
      </c>
      <c r="D3730" s="3">
        <v>26</v>
      </c>
      <c r="E3730" s="3" t="s">
        <v>10</v>
      </c>
      <c r="F3730" s="4">
        <v>77.5</v>
      </c>
      <c r="G3730" s="4"/>
      <c r="H3730" s="4">
        <f t="shared" si="363"/>
        <v>77.5</v>
      </c>
    </row>
    <row r="3731" ht="14.25" spans="1:8">
      <c r="A3731" s="3" t="str">
        <f>"12803212327"</f>
        <v>12803212327</v>
      </c>
      <c r="B3731" s="3">
        <v>2</v>
      </c>
      <c r="C3731" s="3">
        <v>123</v>
      </c>
      <c r="D3731" s="3">
        <v>27</v>
      </c>
      <c r="E3731" s="3" t="s">
        <v>10</v>
      </c>
      <c r="F3731" s="4">
        <v>65.5</v>
      </c>
      <c r="G3731" s="4"/>
      <c r="H3731" s="4">
        <f t="shared" si="363"/>
        <v>65.5</v>
      </c>
    </row>
    <row r="3732" ht="14.25" spans="1:8">
      <c r="A3732" s="3" t="str">
        <f>"12804212328"</f>
        <v>12804212328</v>
      </c>
      <c r="B3732" s="3">
        <v>2</v>
      </c>
      <c r="C3732" s="3">
        <v>123</v>
      </c>
      <c r="D3732" s="3">
        <v>28</v>
      </c>
      <c r="E3732" s="3" t="s">
        <v>10</v>
      </c>
      <c r="F3732" s="4">
        <v>61</v>
      </c>
      <c r="G3732" s="4"/>
      <c r="H3732" s="4">
        <f t="shared" si="363"/>
        <v>61</v>
      </c>
    </row>
    <row r="3733" ht="14.25" spans="1:8">
      <c r="A3733" s="3" t="str">
        <f>"12804212329"</f>
        <v>12804212329</v>
      </c>
      <c r="B3733" s="3">
        <v>2</v>
      </c>
      <c r="C3733" s="3">
        <v>123</v>
      </c>
      <c r="D3733" s="3">
        <v>29</v>
      </c>
      <c r="E3733" s="3" t="s">
        <v>10</v>
      </c>
      <c r="F3733" s="4">
        <v>62.5</v>
      </c>
      <c r="G3733" s="4"/>
      <c r="H3733" s="4">
        <f t="shared" si="363"/>
        <v>62.5</v>
      </c>
    </row>
    <row r="3734" ht="14.25" spans="1:8">
      <c r="A3734" s="3" t="str">
        <f>"12804212330"</f>
        <v>12804212330</v>
      </c>
      <c r="B3734" s="3">
        <v>2</v>
      </c>
      <c r="C3734" s="3">
        <v>123</v>
      </c>
      <c r="D3734" s="3">
        <v>30</v>
      </c>
      <c r="E3734" s="3" t="s">
        <v>10</v>
      </c>
      <c r="F3734" s="4">
        <v>66.5</v>
      </c>
      <c r="G3734" s="4"/>
      <c r="H3734" s="4">
        <f t="shared" si="363"/>
        <v>66.5</v>
      </c>
    </row>
    <row r="3735" ht="14.25" spans="1:8">
      <c r="A3735" s="3" t="str">
        <f>"12804212401"</f>
        <v>12804212401</v>
      </c>
      <c r="B3735" s="3">
        <v>2</v>
      </c>
      <c r="C3735" s="3">
        <v>124</v>
      </c>
      <c r="D3735" s="3">
        <v>1</v>
      </c>
      <c r="E3735" s="3" t="s">
        <v>10</v>
      </c>
      <c r="F3735" s="4">
        <v>63.5</v>
      </c>
      <c r="G3735" s="4"/>
      <c r="H3735" s="4">
        <f t="shared" si="363"/>
        <v>63.5</v>
      </c>
    </row>
    <row r="3736" ht="14.25" spans="1:8">
      <c r="A3736" s="3" t="str">
        <f>"12805212402"</f>
        <v>12805212402</v>
      </c>
      <c r="B3736" s="3">
        <v>2</v>
      </c>
      <c r="C3736" s="3">
        <v>124</v>
      </c>
      <c r="D3736" s="3">
        <v>2</v>
      </c>
      <c r="E3736" s="3" t="s">
        <v>10</v>
      </c>
      <c r="F3736" s="4">
        <v>60</v>
      </c>
      <c r="G3736" s="4"/>
      <c r="H3736" s="4">
        <f t="shared" si="363"/>
        <v>60</v>
      </c>
    </row>
    <row r="3737" ht="14.25" spans="1:8">
      <c r="A3737" s="3" t="str">
        <f>"12805212403"</f>
        <v>12805212403</v>
      </c>
      <c r="B3737" s="3">
        <v>2</v>
      </c>
      <c r="C3737" s="3">
        <v>124</v>
      </c>
      <c r="D3737" s="3">
        <v>3</v>
      </c>
      <c r="E3737" s="3" t="s">
        <v>10</v>
      </c>
      <c r="F3737" s="4">
        <v>83.5</v>
      </c>
      <c r="G3737" s="4"/>
      <c r="H3737" s="4">
        <f t="shared" si="363"/>
        <v>83.5</v>
      </c>
    </row>
    <row r="3738" ht="14.25" spans="1:8">
      <c r="A3738" s="3" t="str">
        <f>"12806212404"</f>
        <v>12806212404</v>
      </c>
      <c r="B3738" s="3">
        <v>2</v>
      </c>
      <c r="C3738" s="3">
        <v>124</v>
      </c>
      <c r="D3738" s="3">
        <v>4</v>
      </c>
      <c r="E3738" s="3" t="s">
        <v>10</v>
      </c>
      <c r="F3738" s="3">
        <v>0</v>
      </c>
      <c r="G3738" s="4"/>
      <c r="H3738" s="3">
        <v>0</v>
      </c>
    </row>
    <row r="3739" ht="14.25" spans="1:8">
      <c r="A3739" s="3" t="str">
        <f>"12806212405"</f>
        <v>12806212405</v>
      </c>
      <c r="B3739" s="3">
        <v>2</v>
      </c>
      <c r="C3739" s="3">
        <v>124</v>
      </c>
      <c r="D3739" s="3">
        <v>5</v>
      </c>
      <c r="E3739" s="3" t="s">
        <v>10</v>
      </c>
      <c r="F3739" s="3">
        <v>0</v>
      </c>
      <c r="G3739" s="4"/>
      <c r="H3739" s="3">
        <v>0</v>
      </c>
    </row>
    <row r="3740" ht="14.25" spans="1:8">
      <c r="A3740" s="3" t="str">
        <f>"12806212406"</f>
        <v>12806212406</v>
      </c>
      <c r="B3740" s="3">
        <v>2</v>
      </c>
      <c r="C3740" s="3">
        <v>124</v>
      </c>
      <c r="D3740" s="3">
        <v>6</v>
      </c>
      <c r="E3740" s="3" t="s">
        <v>10</v>
      </c>
      <c r="F3740" s="4">
        <v>63.5</v>
      </c>
      <c r="G3740" s="4"/>
      <c r="H3740" s="4">
        <f t="shared" ref="H3740:H3744" si="364">F3740+G3740</f>
        <v>63.5</v>
      </c>
    </row>
    <row r="3741" ht="14.25" spans="1:8">
      <c r="A3741" s="3" t="str">
        <f>"12806212407"</f>
        <v>12806212407</v>
      </c>
      <c r="B3741" s="3">
        <v>2</v>
      </c>
      <c r="C3741" s="3">
        <v>124</v>
      </c>
      <c r="D3741" s="3">
        <v>7</v>
      </c>
      <c r="E3741" s="3" t="s">
        <v>10</v>
      </c>
      <c r="F3741" s="4">
        <v>53.5</v>
      </c>
      <c r="G3741" s="4"/>
      <c r="H3741" s="4">
        <f t="shared" si="364"/>
        <v>53.5</v>
      </c>
    </row>
    <row r="3742" ht="14.25" spans="1:8">
      <c r="A3742" s="3" t="str">
        <f>"12806212408"</f>
        <v>12806212408</v>
      </c>
      <c r="B3742" s="3">
        <v>2</v>
      </c>
      <c r="C3742" s="3">
        <v>124</v>
      </c>
      <c r="D3742" s="3">
        <v>8</v>
      </c>
      <c r="E3742" s="3" t="s">
        <v>10</v>
      </c>
      <c r="F3742" s="4">
        <v>82</v>
      </c>
      <c r="G3742" s="4"/>
      <c r="H3742" s="4">
        <f t="shared" si="364"/>
        <v>82</v>
      </c>
    </row>
    <row r="3743" ht="14.25" spans="1:8">
      <c r="A3743" s="3" t="str">
        <f>"12806212409"</f>
        <v>12806212409</v>
      </c>
      <c r="B3743" s="3">
        <v>2</v>
      </c>
      <c r="C3743" s="3">
        <v>124</v>
      </c>
      <c r="D3743" s="3">
        <v>9</v>
      </c>
      <c r="E3743" s="3" t="s">
        <v>10</v>
      </c>
      <c r="F3743" s="4">
        <v>55.5</v>
      </c>
      <c r="G3743" s="4"/>
      <c r="H3743" s="4">
        <f t="shared" si="364"/>
        <v>55.5</v>
      </c>
    </row>
    <row r="3744" ht="14.25" spans="1:8">
      <c r="A3744" s="3" t="str">
        <f>"12806212410"</f>
        <v>12806212410</v>
      </c>
      <c r="B3744" s="3">
        <v>2</v>
      </c>
      <c r="C3744" s="3">
        <v>124</v>
      </c>
      <c r="D3744" s="3">
        <v>10</v>
      </c>
      <c r="E3744" s="3" t="s">
        <v>10</v>
      </c>
      <c r="F3744" s="4">
        <v>80</v>
      </c>
      <c r="G3744" s="4"/>
      <c r="H3744" s="4">
        <f t="shared" si="364"/>
        <v>80</v>
      </c>
    </row>
    <row r="3745" ht="14.25" spans="1:8">
      <c r="A3745" s="3" t="str">
        <f>"12806212411"</f>
        <v>12806212411</v>
      </c>
      <c r="B3745" s="3">
        <v>2</v>
      </c>
      <c r="C3745" s="3">
        <v>124</v>
      </c>
      <c r="D3745" s="3">
        <v>11</v>
      </c>
      <c r="E3745" s="3" t="s">
        <v>10</v>
      </c>
      <c r="F3745" s="3">
        <v>0</v>
      </c>
      <c r="G3745" s="4"/>
      <c r="H3745" s="3">
        <v>0</v>
      </c>
    </row>
    <row r="3746" ht="14.25" spans="1:8">
      <c r="A3746" s="3" t="str">
        <f>"12807212412"</f>
        <v>12807212412</v>
      </c>
      <c r="B3746" s="3">
        <v>2</v>
      </c>
      <c r="C3746" s="3">
        <v>124</v>
      </c>
      <c r="D3746" s="3">
        <v>12</v>
      </c>
      <c r="E3746" s="3" t="s">
        <v>10</v>
      </c>
      <c r="F3746" s="3">
        <v>0</v>
      </c>
      <c r="G3746" s="4"/>
      <c r="H3746" s="3">
        <v>0</v>
      </c>
    </row>
    <row r="3747" ht="14.25" spans="1:8">
      <c r="A3747" s="3" t="str">
        <f>"12807212413"</f>
        <v>12807212413</v>
      </c>
      <c r="B3747" s="3">
        <v>2</v>
      </c>
      <c r="C3747" s="3">
        <v>124</v>
      </c>
      <c r="D3747" s="3">
        <v>13</v>
      </c>
      <c r="E3747" s="3" t="s">
        <v>10</v>
      </c>
      <c r="F3747" s="4">
        <v>72.5</v>
      </c>
      <c r="G3747" s="4"/>
      <c r="H3747" s="4">
        <f t="shared" ref="H3747:H3750" si="365">F3747+G3747</f>
        <v>72.5</v>
      </c>
    </row>
    <row r="3748" ht="14.25" spans="1:8">
      <c r="A3748" s="3" t="str">
        <f>"12807212414"</f>
        <v>12807212414</v>
      </c>
      <c r="B3748" s="3">
        <v>2</v>
      </c>
      <c r="C3748" s="3">
        <v>124</v>
      </c>
      <c r="D3748" s="3">
        <v>14</v>
      </c>
      <c r="E3748" s="3" t="s">
        <v>10</v>
      </c>
      <c r="F3748" s="4">
        <v>86</v>
      </c>
      <c r="G3748" s="4"/>
      <c r="H3748" s="4">
        <f t="shared" si="365"/>
        <v>86</v>
      </c>
    </row>
    <row r="3749" ht="14.25" spans="1:8">
      <c r="A3749" s="3" t="str">
        <f>"12807212415"</f>
        <v>12807212415</v>
      </c>
      <c r="B3749" s="3">
        <v>2</v>
      </c>
      <c r="C3749" s="3">
        <v>124</v>
      </c>
      <c r="D3749" s="3">
        <v>15</v>
      </c>
      <c r="E3749" s="3" t="s">
        <v>10</v>
      </c>
      <c r="F3749" s="3">
        <v>0</v>
      </c>
      <c r="G3749" s="4"/>
      <c r="H3749" s="3">
        <v>0</v>
      </c>
    </row>
    <row r="3750" ht="14.25" spans="1:8">
      <c r="A3750" s="3" t="str">
        <f>"12807212416"</f>
        <v>12807212416</v>
      </c>
      <c r="B3750" s="3">
        <v>2</v>
      </c>
      <c r="C3750" s="3">
        <v>124</v>
      </c>
      <c r="D3750" s="3">
        <v>16</v>
      </c>
      <c r="E3750" s="3" t="s">
        <v>10</v>
      </c>
      <c r="F3750" s="4">
        <v>86.5</v>
      </c>
      <c r="G3750" s="4"/>
      <c r="H3750" s="4">
        <f t="shared" si="365"/>
        <v>86.5</v>
      </c>
    </row>
    <row r="3751" ht="14.25" spans="1:8">
      <c r="A3751" s="3" t="str">
        <f>"12807212417"</f>
        <v>12807212417</v>
      </c>
      <c r="B3751" s="3">
        <v>2</v>
      </c>
      <c r="C3751" s="3">
        <v>124</v>
      </c>
      <c r="D3751" s="3">
        <v>17</v>
      </c>
      <c r="E3751" s="3" t="s">
        <v>10</v>
      </c>
      <c r="F3751" s="3">
        <v>0</v>
      </c>
      <c r="G3751" s="4"/>
      <c r="H3751" s="3">
        <v>0</v>
      </c>
    </row>
    <row r="3752" ht="14.25" spans="1:8">
      <c r="A3752" s="3" t="str">
        <f>"12807212418"</f>
        <v>12807212418</v>
      </c>
      <c r="B3752" s="3">
        <v>2</v>
      </c>
      <c r="C3752" s="3">
        <v>124</v>
      </c>
      <c r="D3752" s="3">
        <v>18</v>
      </c>
      <c r="E3752" s="3" t="s">
        <v>10</v>
      </c>
      <c r="F3752" s="3">
        <v>0</v>
      </c>
      <c r="G3752" s="4"/>
      <c r="H3752" s="3">
        <v>0</v>
      </c>
    </row>
    <row r="3753" ht="14.25" spans="1:8">
      <c r="A3753" s="3" t="str">
        <f>"12807212419"</f>
        <v>12807212419</v>
      </c>
      <c r="B3753" s="3">
        <v>2</v>
      </c>
      <c r="C3753" s="3">
        <v>124</v>
      </c>
      <c r="D3753" s="3">
        <v>19</v>
      </c>
      <c r="E3753" s="3" t="s">
        <v>10</v>
      </c>
      <c r="F3753" s="4">
        <v>55</v>
      </c>
      <c r="G3753" s="4"/>
      <c r="H3753" s="4">
        <f t="shared" ref="H3753:H3755" si="366">F3753+G3753</f>
        <v>55</v>
      </c>
    </row>
    <row r="3754" ht="14.25" spans="1:8">
      <c r="A3754" s="3" t="str">
        <f>"12807212420"</f>
        <v>12807212420</v>
      </c>
      <c r="B3754" s="3">
        <v>2</v>
      </c>
      <c r="C3754" s="3">
        <v>124</v>
      </c>
      <c r="D3754" s="3">
        <v>20</v>
      </c>
      <c r="E3754" s="3" t="s">
        <v>10</v>
      </c>
      <c r="F3754" s="4">
        <v>63.5</v>
      </c>
      <c r="G3754" s="4"/>
      <c r="H3754" s="4">
        <f t="shared" si="366"/>
        <v>63.5</v>
      </c>
    </row>
    <row r="3755" ht="14.25" spans="1:8">
      <c r="A3755" s="3" t="str">
        <f>"12808212421"</f>
        <v>12808212421</v>
      </c>
      <c r="B3755" s="3">
        <v>2</v>
      </c>
      <c r="C3755" s="3">
        <v>124</v>
      </c>
      <c r="D3755" s="3">
        <v>21</v>
      </c>
      <c r="E3755" s="3" t="s">
        <v>10</v>
      </c>
      <c r="F3755" s="4">
        <v>78</v>
      </c>
      <c r="G3755" s="4"/>
      <c r="H3755" s="4">
        <f t="shared" si="366"/>
        <v>78</v>
      </c>
    </row>
    <row r="3756" ht="14.25" spans="1:8">
      <c r="A3756" s="3" t="str">
        <f>"12808212422"</f>
        <v>12808212422</v>
      </c>
      <c r="B3756" s="3">
        <v>2</v>
      </c>
      <c r="C3756" s="3">
        <v>124</v>
      </c>
      <c r="D3756" s="3">
        <v>22</v>
      </c>
      <c r="E3756" s="3" t="s">
        <v>10</v>
      </c>
      <c r="F3756" s="3">
        <v>0</v>
      </c>
      <c r="G3756" s="4"/>
      <c r="H3756" s="3">
        <v>0</v>
      </c>
    </row>
    <row r="3757" ht="14.25" spans="1:8">
      <c r="A3757" s="3" t="str">
        <f>"12808212423"</f>
        <v>12808212423</v>
      </c>
      <c r="B3757" s="3">
        <v>2</v>
      </c>
      <c r="C3757" s="3">
        <v>124</v>
      </c>
      <c r="D3757" s="3">
        <v>23</v>
      </c>
      <c r="E3757" s="3" t="s">
        <v>10</v>
      </c>
      <c r="F3757" s="3">
        <v>0</v>
      </c>
      <c r="G3757" s="4"/>
      <c r="H3757" s="3">
        <v>0</v>
      </c>
    </row>
    <row r="3758" ht="14.25" spans="1:8">
      <c r="A3758" s="3" t="str">
        <f>"12808212424"</f>
        <v>12808212424</v>
      </c>
      <c r="B3758" s="3">
        <v>2</v>
      </c>
      <c r="C3758" s="3">
        <v>124</v>
      </c>
      <c r="D3758" s="3">
        <v>24</v>
      </c>
      <c r="E3758" s="3" t="s">
        <v>10</v>
      </c>
      <c r="F3758" s="4">
        <v>83</v>
      </c>
      <c r="G3758" s="4"/>
      <c r="H3758" s="4">
        <f t="shared" ref="H3758:H3762" si="367">F3758+G3758</f>
        <v>83</v>
      </c>
    </row>
    <row r="3759" ht="14.25" spans="1:8">
      <c r="A3759" s="3" t="str">
        <f>"12808212425"</f>
        <v>12808212425</v>
      </c>
      <c r="B3759" s="3">
        <v>2</v>
      </c>
      <c r="C3759" s="3">
        <v>124</v>
      </c>
      <c r="D3759" s="3">
        <v>25</v>
      </c>
      <c r="E3759" s="3" t="s">
        <v>10</v>
      </c>
      <c r="F3759" s="4">
        <v>70</v>
      </c>
      <c r="G3759" s="4"/>
      <c r="H3759" s="4">
        <f t="shared" si="367"/>
        <v>70</v>
      </c>
    </row>
    <row r="3760" ht="14.25" spans="1:8">
      <c r="A3760" s="3" t="str">
        <f>"12808212426"</f>
        <v>12808212426</v>
      </c>
      <c r="B3760" s="3">
        <v>2</v>
      </c>
      <c r="C3760" s="3">
        <v>124</v>
      </c>
      <c r="D3760" s="3">
        <v>26</v>
      </c>
      <c r="E3760" s="3" t="s">
        <v>10</v>
      </c>
      <c r="F3760" s="3">
        <v>0</v>
      </c>
      <c r="G3760" s="4"/>
      <c r="H3760" s="3">
        <v>0</v>
      </c>
    </row>
    <row r="3761" ht="14.25" spans="1:8">
      <c r="A3761" s="3" t="str">
        <f>"12808212427"</f>
        <v>12808212427</v>
      </c>
      <c r="B3761" s="3">
        <v>2</v>
      </c>
      <c r="C3761" s="3">
        <v>124</v>
      </c>
      <c r="D3761" s="3">
        <v>27</v>
      </c>
      <c r="E3761" s="3" t="s">
        <v>10</v>
      </c>
      <c r="F3761" s="4">
        <v>75.5</v>
      </c>
      <c r="G3761" s="4"/>
      <c r="H3761" s="4">
        <f t="shared" si="367"/>
        <v>75.5</v>
      </c>
    </row>
    <row r="3762" ht="14.25" spans="1:8">
      <c r="A3762" s="3" t="str">
        <f>"12808212428"</f>
        <v>12808212428</v>
      </c>
      <c r="B3762" s="3">
        <v>2</v>
      </c>
      <c r="C3762" s="3">
        <v>124</v>
      </c>
      <c r="D3762" s="3">
        <v>28</v>
      </c>
      <c r="E3762" s="3" t="s">
        <v>10</v>
      </c>
      <c r="F3762" s="4">
        <v>71.5</v>
      </c>
      <c r="G3762" s="4"/>
      <c r="H3762" s="4">
        <f t="shared" si="367"/>
        <v>71.5</v>
      </c>
    </row>
    <row r="3763" ht="14.25" spans="1:8">
      <c r="A3763" s="3" t="str">
        <f>"12808212429"</f>
        <v>12808212429</v>
      </c>
      <c r="B3763" s="3">
        <v>2</v>
      </c>
      <c r="C3763" s="3">
        <v>124</v>
      </c>
      <c r="D3763" s="3">
        <v>29</v>
      </c>
      <c r="E3763" s="3" t="s">
        <v>10</v>
      </c>
      <c r="F3763" s="3">
        <v>0</v>
      </c>
      <c r="G3763" s="4"/>
      <c r="H3763" s="3">
        <v>0</v>
      </c>
    </row>
    <row r="3764" ht="14.25" spans="1:8">
      <c r="A3764" s="3" t="str">
        <f>"12808212430"</f>
        <v>12808212430</v>
      </c>
      <c r="B3764" s="3">
        <v>2</v>
      </c>
      <c r="C3764" s="3">
        <v>124</v>
      </c>
      <c r="D3764" s="3">
        <v>30</v>
      </c>
      <c r="E3764" s="3" t="s">
        <v>10</v>
      </c>
      <c r="F3764" s="4">
        <v>55.5</v>
      </c>
      <c r="G3764" s="4"/>
      <c r="H3764" s="4">
        <f t="shared" ref="H3764:H3771" si="368">F3764+G3764</f>
        <v>55.5</v>
      </c>
    </row>
    <row r="3765" ht="14.25" spans="1:8">
      <c r="A3765" s="3" t="str">
        <f>"12808212501"</f>
        <v>12808212501</v>
      </c>
      <c r="B3765" s="3">
        <v>2</v>
      </c>
      <c r="C3765" s="3">
        <v>125</v>
      </c>
      <c r="D3765" s="3">
        <v>1</v>
      </c>
      <c r="E3765" s="3" t="s">
        <v>10</v>
      </c>
      <c r="F3765" s="4">
        <v>77.5</v>
      </c>
      <c r="G3765" s="4"/>
      <c r="H3765" s="4">
        <f t="shared" si="368"/>
        <v>77.5</v>
      </c>
    </row>
    <row r="3766" ht="14.25" spans="1:8">
      <c r="A3766" s="3" t="str">
        <f>"12809212502"</f>
        <v>12809212502</v>
      </c>
      <c r="B3766" s="3">
        <v>2</v>
      </c>
      <c r="C3766" s="3">
        <v>125</v>
      </c>
      <c r="D3766" s="3">
        <v>2</v>
      </c>
      <c r="E3766" s="3" t="s">
        <v>10</v>
      </c>
      <c r="F3766" s="3">
        <v>0</v>
      </c>
      <c r="G3766" s="4"/>
      <c r="H3766" s="3">
        <v>0</v>
      </c>
    </row>
    <row r="3767" ht="14.25" spans="1:8">
      <c r="A3767" s="3" t="str">
        <f>"12809212503"</f>
        <v>12809212503</v>
      </c>
      <c r="B3767" s="3">
        <v>2</v>
      </c>
      <c r="C3767" s="3">
        <v>125</v>
      </c>
      <c r="D3767" s="3">
        <v>3</v>
      </c>
      <c r="E3767" s="3" t="s">
        <v>10</v>
      </c>
      <c r="F3767" s="3">
        <v>0</v>
      </c>
      <c r="G3767" s="4"/>
      <c r="H3767" s="3">
        <v>0</v>
      </c>
    </row>
    <row r="3768" ht="14.25" spans="1:8">
      <c r="A3768" s="3" t="str">
        <f>"12809212504"</f>
        <v>12809212504</v>
      </c>
      <c r="B3768" s="3">
        <v>2</v>
      </c>
      <c r="C3768" s="3">
        <v>125</v>
      </c>
      <c r="D3768" s="3">
        <v>4</v>
      </c>
      <c r="E3768" s="3" t="s">
        <v>10</v>
      </c>
      <c r="F3768" s="4">
        <v>76.5</v>
      </c>
      <c r="G3768" s="4"/>
      <c r="H3768" s="4">
        <f t="shared" si="368"/>
        <v>76.5</v>
      </c>
    </row>
    <row r="3769" ht="14.25" spans="1:8">
      <c r="A3769" s="3" t="str">
        <f>"12809212505"</f>
        <v>12809212505</v>
      </c>
      <c r="B3769" s="3">
        <v>2</v>
      </c>
      <c r="C3769" s="3">
        <v>125</v>
      </c>
      <c r="D3769" s="3">
        <v>5</v>
      </c>
      <c r="E3769" s="3" t="s">
        <v>10</v>
      </c>
      <c r="F3769" s="4">
        <v>74</v>
      </c>
      <c r="G3769" s="4"/>
      <c r="H3769" s="4">
        <f t="shared" si="368"/>
        <v>74</v>
      </c>
    </row>
    <row r="3770" ht="14.25" spans="1:8">
      <c r="A3770" s="3" t="str">
        <f>"12809212506"</f>
        <v>12809212506</v>
      </c>
      <c r="B3770" s="3">
        <v>2</v>
      </c>
      <c r="C3770" s="3">
        <v>125</v>
      </c>
      <c r="D3770" s="3">
        <v>6</v>
      </c>
      <c r="E3770" s="3" t="s">
        <v>10</v>
      </c>
      <c r="F3770" s="4">
        <v>62.5</v>
      </c>
      <c r="G3770" s="4"/>
      <c r="H3770" s="4">
        <f t="shared" si="368"/>
        <v>62.5</v>
      </c>
    </row>
    <row r="3771" ht="14.25" spans="1:8">
      <c r="A3771" s="3" t="str">
        <f>"12809212507"</f>
        <v>12809212507</v>
      </c>
      <c r="B3771" s="3">
        <v>2</v>
      </c>
      <c r="C3771" s="3">
        <v>125</v>
      </c>
      <c r="D3771" s="3">
        <v>7</v>
      </c>
      <c r="E3771" s="3" t="s">
        <v>10</v>
      </c>
      <c r="F3771" s="4">
        <v>62.5</v>
      </c>
      <c r="G3771" s="4">
        <v>10</v>
      </c>
      <c r="H3771" s="4">
        <f t="shared" si="368"/>
        <v>72.5</v>
      </c>
    </row>
    <row r="3772" ht="14.25" spans="1:8">
      <c r="A3772" s="3" t="str">
        <f>"12809212508"</f>
        <v>12809212508</v>
      </c>
      <c r="B3772" s="3">
        <v>2</v>
      </c>
      <c r="C3772" s="3">
        <v>125</v>
      </c>
      <c r="D3772" s="3">
        <v>8</v>
      </c>
      <c r="E3772" s="3" t="s">
        <v>10</v>
      </c>
      <c r="F3772" s="3">
        <v>0</v>
      </c>
      <c r="G3772" s="4"/>
      <c r="H3772" s="3">
        <v>0</v>
      </c>
    </row>
    <row r="3773" ht="14.25" spans="1:8">
      <c r="A3773" s="3" t="str">
        <f>"12809212509"</f>
        <v>12809212509</v>
      </c>
      <c r="B3773" s="3">
        <v>2</v>
      </c>
      <c r="C3773" s="3">
        <v>125</v>
      </c>
      <c r="D3773" s="3">
        <v>9</v>
      </c>
      <c r="E3773" s="3" t="s">
        <v>10</v>
      </c>
      <c r="F3773" s="4">
        <v>74</v>
      </c>
      <c r="G3773" s="4"/>
      <c r="H3773" s="4">
        <f t="shared" ref="H3773:H3775" si="369">F3773+G3773</f>
        <v>74</v>
      </c>
    </row>
    <row r="3774" ht="14.25" spans="1:8">
      <c r="A3774" s="3" t="str">
        <f>"12809212510"</f>
        <v>12809212510</v>
      </c>
      <c r="B3774" s="3">
        <v>2</v>
      </c>
      <c r="C3774" s="3">
        <v>125</v>
      </c>
      <c r="D3774" s="3">
        <v>10</v>
      </c>
      <c r="E3774" s="3" t="s">
        <v>10</v>
      </c>
      <c r="F3774" s="4">
        <v>79</v>
      </c>
      <c r="G3774" s="4"/>
      <c r="H3774" s="4">
        <f t="shared" si="369"/>
        <v>79</v>
      </c>
    </row>
    <row r="3775" ht="14.25" spans="1:8">
      <c r="A3775" s="3" t="str">
        <f>"12809212511"</f>
        <v>12809212511</v>
      </c>
      <c r="B3775" s="3">
        <v>2</v>
      </c>
      <c r="C3775" s="3">
        <v>125</v>
      </c>
      <c r="D3775" s="3">
        <v>11</v>
      </c>
      <c r="E3775" s="3" t="s">
        <v>10</v>
      </c>
      <c r="F3775" s="4">
        <v>85.5</v>
      </c>
      <c r="G3775" s="4"/>
      <c r="H3775" s="4">
        <f t="shared" si="369"/>
        <v>85.5</v>
      </c>
    </row>
    <row r="3776" ht="14.25" spans="1:8">
      <c r="A3776" s="3" t="str">
        <f>"20101212512"</f>
        <v>20101212512</v>
      </c>
      <c r="B3776" s="3">
        <v>2</v>
      </c>
      <c r="C3776" s="3">
        <v>125</v>
      </c>
      <c r="D3776" s="3">
        <v>12</v>
      </c>
      <c r="E3776" s="3" t="s">
        <v>10</v>
      </c>
      <c r="F3776" s="3">
        <v>0</v>
      </c>
      <c r="G3776" s="4"/>
      <c r="H3776" s="3">
        <v>0</v>
      </c>
    </row>
    <row r="3777" ht="14.25" spans="1:8">
      <c r="A3777" s="3" t="str">
        <f>"20101212513"</f>
        <v>20101212513</v>
      </c>
      <c r="B3777" s="3">
        <v>2</v>
      </c>
      <c r="C3777" s="3">
        <v>125</v>
      </c>
      <c r="D3777" s="3">
        <v>13</v>
      </c>
      <c r="E3777" s="3" t="s">
        <v>10</v>
      </c>
      <c r="F3777" s="4">
        <v>51.5</v>
      </c>
      <c r="G3777" s="4"/>
      <c r="H3777" s="4">
        <f>F3777+G3777</f>
        <v>51.5</v>
      </c>
    </row>
    <row r="3778" ht="14.25" spans="1:8">
      <c r="A3778" s="3" t="str">
        <f>"20101212514"</f>
        <v>20101212514</v>
      </c>
      <c r="B3778" s="3">
        <v>2</v>
      </c>
      <c r="C3778" s="3">
        <v>125</v>
      </c>
      <c r="D3778" s="3">
        <v>14</v>
      </c>
      <c r="E3778" s="3" t="s">
        <v>10</v>
      </c>
      <c r="F3778" s="3">
        <v>0</v>
      </c>
      <c r="G3778" s="4"/>
      <c r="H3778" s="3">
        <v>0</v>
      </c>
    </row>
    <row r="3779" ht="14.25" spans="1:8">
      <c r="A3779" s="3" t="str">
        <f>"20101212515"</f>
        <v>20101212515</v>
      </c>
      <c r="B3779" s="3">
        <v>2</v>
      </c>
      <c r="C3779" s="3">
        <v>125</v>
      </c>
      <c r="D3779" s="3">
        <v>15</v>
      </c>
      <c r="E3779" s="3" t="s">
        <v>10</v>
      </c>
      <c r="F3779" s="3">
        <v>0</v>
      </c>
      <c r="G3779" s="4"/>
      <c r="H3779" s="3">
        <v>0</v>
      </c>
    </row>
    <row r="3780" ht="14.25" spans="1:8">
      <c r="A3780" s="3" t="str">
        <f>"20101212516"</f>
        <v>20101212516</v>
      </c>
      <c r="B3780" s="3">
        <v>2</v>
      </c>
      <c r="C3780" s="3">
        <v>125</v>
      </c>
      <c r="D3780" s="3">
        <v>16</v>
      </c>
      <c r="E3780" s="3" t="s">
        <v>10</v>
      </c>
      <c r="F3780" s="3">
        <v>0</v>
      </c>
      <c r="G3780" s="4"/>
      <c r="H3780" s="3">
        <v>0</v>
      </c>
    </row>
    <row r="3781" ht="14.25" spans="1:8">
      <c r="A3781" s="3" t="str">
        <f>"20101212517"</f>
        <v>20101212517</v>
      </c>
      <c r="B3781" s="3">
        <v>2</v>
      </c>
      <c r="C3781" s="3">
        <v>125</v>
      </c>
      <c r="D3781" s="3">
        <v>17</v>
      </c>
      <c r="E3781" s="3" t="s">
        <v>10</v>
      </c>
      <c r="F3781" s="4">
        <v>61</v>
      </c>
      <c r="G3781" s="4"/>
      <c r="H3781" s="4">
        <f t="shared" ref="H3781:H3786" si="370">F3781+G3781</f>
        <v>61</v>
      </c>
    </row>
    <row r="3782" ht="14.25" spans="1:8">
      <c r="A3782" s="3" t="str">
        <f>"20101212518"</f>
        <v>20101212518</v>
      </c>
      <c r="B3782" s="3">
        <v>2</v>
      </c>
      <c r="C3782" s="3">
        <v>125</v>
      </c>
      <c r="D3782" s="3">
        <v>18</v>
      </c>
      <c r="E3782" s="3" t="s">
        <v>10</v>
      </c>
      <c r="F3782" s="3">
        <v>0</v>
      </c>
      <c r="G3782" s="4"/>
      <c r="H3782" s="3">
        <v>0</v>
      </c>
    </row>
    <row r="3783" ht="14.25" spans="1:8">
      <c r="A3783" s="3" t="str">
        <f>"20101212519"</f>
        <v>20101212519</v>
      </c>
      <c r="B3783" s="3">
        <v>2</v>
      </c>
      <c r="C3783" s="3">
        <v>125</v>
      </c>
      <c r="D3783" s="3">
        <v>19</v>
      </c>
      <c r="E3783" s="3" t="s">
        <v>10</v>
      </c>
      <c r="F3783" s="4">
        <v>78</v>
      </c>
      <c r="G3783" s="4"/>
      <c r="H3783" s="4">
        <f t="shared" si="370"/>
        <v>78</v>
      </c>
    </row>
    <row r="3784" ht="14.25" spans="1:8">
      <c r="A3784" s="3" t="str">
        <f>"20101212520"</f>
        <v>20101212520</v>
      </c>
      <c r="B3784" s="3">
        <v>2</v>
      </c>
      <c r="C3784" s="3">
        <v>125</v>
      </c>
      <c r="D3784" s="3">
        <v>20</v>
      </c>
      <c r="E3784" s="3" t="s">
        <v>10</v>
      </c>
      <c r="F3784" s="3">
        <v>0</v>
      </c>
      <c r="G3784" s="4"/>
      <c r="H3784" s="3">
        <v>0</v>
      </c>
    </row>
    <row r="3785" ht="14.25" spans="1:8">
      <c r="A3785" s="3" t="str">
        <f>"20101212521"</f>
        <v>20101212521</v>
      </c>
      <c r="B3785" s="3">
        <v>2</v>
      </c>
      <c r="C3785" s="3">
        <v>125</v>
      </c>
      <c r="D3785" s="3">
        <v>21</v>
      </c>
      <c r="E3785" s="3" t="s">
        <v>10</v>
      </c>
      <c r="F3785" s="3">
        <v>0</v>
      </c>
      <c r="G3785" s="4"/>
      <c r="H3785" s="3">
        <v>0</v>
      </c>
    </row>
    <row r="3786" ht="14.25" spans="1:8">
      <c r="A3786" s="3" t="str">
        <f>"20101212522"</f>
        <v>20101212522</v>
      </c>
      <c r="B3786" s="3">
        <v>2</v>
      </c>
      <c r="C3786" s="3">
        <v>125</v>
      </c>
      <c r="D3786" s="3">
        <v>22</v>
      </c>
      <c r="E3786" s="3" t="s">
        <v>10</v>
      </c>
      <c r="F3786" s="4">
        <v>81.5</v>
      </c>
      <c r="G3786" s="4"/>
      <c r="H3786" s="4">
        <f t="shared" si="370"/>
        <v>81.5</v>
      </c>
    </row>
    <row r="3787" ht="14.25" spans="1:8">
      <c r="A3787" s="3" t="str">
        <f>"20101212523"</f>
        <v>20101212523</v>
      </c>
      <c r="B3787" s="3">
        <v>2</v>
      </c>
      <c r="C3787" s="3">
        <v>125</v>
      </c>
      <c r="D3787" s="3">
        <v>23</v>
      </c>
      <c r="E3787" s="3" t="s">
        <v>10</v>
      </c>
      <c r="F3787" s="3">
        <v>0</v>
      </c>
      <c r="G3787" s="4"/>
      <c r="H3787" s="3">
        <v>0</v>
      </c>
    </row>
    <row r="3788" ht="14.25" spans="1:8">
      <c r="A3788" s="3" t="str">
        <f>"20101212524"</f>
        <v>20101212524</v>
      </c>
      <c r="B3788" s="3">
        <v>2</v>
      </c>
      <c r="C3788" s="3">
        <v>125</v>
      </c>
      <c r="D3788" s="3">
        <v>24</v>
      </c>
      <c r="E3788" s="3" t="s">
        <v>10</v>
      </c>
      <c r="F3788" s="4">
        <v>47</v>
      </c>
      <c r="G3788" s="4"/>
      <c r="H3788" s="4">
        <f t="shared" ref="H3788:H3791" si="371">F3788+G3788</f>
        <v>47</v>
      </c>
    </row>
    <row r="3789" ht="14.25" spans="1:8">
      <c r="A3789" s="3" t="str">
        <f>"20101212525"</f>
        <v>20101212525</v>
      </c>
      <c r="B3789" s="3">
        <v>2</v>
      </c>
      <c r="C3789" s="3">
        <v>125</v>
      </c>
      <c r="D3789" s="3">
        <v>25</v>
      </c>
      <c r="E3789" s="3" t="s">
        <v>10</v>
      </c>
      <c r="F3789" s="3">
        <v>0</v>
      </c>
      <c r="G3789" s="4"/>
      <c r="H3789" s="3">
        <v>0</v>
      </c>
    </row>
    <row r="3790" ht="14.25" spans="1:8">
      <c r="A3790" s="3" t="str">
        <f>"20101212526"</f>
        <v>20101212526</v>
      </c>
      <c r="B3790" s="3">
        <v>2</v>
      </c>
      <c r="C3790" s="3">
        <v>125</v>
      </c>
      <c r="D3790" s="3">
        <v>26</v>
      </c>
      <c r="E3790" s="3" t="s">
        <v>10</v>
      </c>
      <c r="F3790" s="4">
        <v>88</v>
      </c>
      <c r="G3790" s="4"/>
      <c r="H3790" s="4">
        <f t="shared" si="371"/>
        <v>88</v>
      </c>
    </row>
    <row r="3791" ht="14.25" spans="1:8">
      <c r="A3791" s="3" t="str">
        <f>"20101212527"</f>
        <v>20101212527</v>
      </c>
      <c r="B3791" s="3">
        <v>2</v>
      </c>
      <c r="C3791" s="3">
        <v>125</v>
      </c>
      <c r="D3791" s="3">
        <v>27</v>
      </c>
      <c r="E3791" s="3" t="s">
        <v>10</v>
      </c>
      <c r="F3791" s="4">
        <v>43</v>
      </c>
      <c r="G3791" s="4"/>
      <c r="H3791" s="4">
        <f t="shared" si="371"/>
        <v>43</v>
      </c>
    </row>
    <row r="3792" ht="14.25" spans="1:8">
      <c r="A3792" s="3" t="str">
        <f>"20101212528"</f>
        <v>20101212528</v>
      </c>
      <c r="B3792" s="3">
        <v>2</v>
      </c>
      <c r="C3792" s="3">
        <v>125</v>
      </c>
      <c r="D3792" s="3">
        <v>28</v>
      </c>
      <c r="E3792" s="3" t="s">
        <v>10</v>
      </c>
      <c r="F3792" s="3">
        <v>0</v>
      </c>
      <c r="G3792" s="4"/>
      <c r="H3792" s="3">
        <v>0</v>
      </c>
    </row>
    <row r="3793" ht="14.25" spans="1:8">
      <c r="A3793" s="3" t="str">
        <f>"20101212529"</f>
        <v>20101212529</v>
      </c>
      <c r="B3793" s="3">
        <v>2</v>
      </c>
      <c r="C3793" s="3">
        <v>125</v>
      </c>
      <c r="D3793" s="3">
        <v>29</v>
      </c>
      <c r="E3793" s="3" t="s">
        <v>10</v>
      </c>
      <c r="F3793" s="4">
        <v>64.5</v>
      </c>
      <c r="G3793" s="4"/>
      <c r="H3793" s="4">
        <f t="shared" ref="H3793:H3797" si="372">F3793+G3793</f>
        <v>64.5</v>
      </c>
    </row>
    <row r="3794" ht="14.25" spans="1:8">
      <c r="A3794" s="3" t="str">
        <f>"20101212530"</f>
        <v>20101212530</v>
      </c>
      <c r="B3794" s="3">
        <v>2</v>
      </c>
      <c r="C3794" s="3">
        <v>125</v>
      </c>
      <c r="D3794" s="3">
        <v>30</v>
      </c>
      <c r="E3794" s="3" t="s">
        <v>10</v>
      </c>
      <c r="F3794" s="4">
        <v>52.5</v>
      </c>
      <c r="G3794" s="4"/>
      <c r="H3794" s="4">
        <f t="shared" si="372"/>
        <v>52.5</v>
      </c>
    </row>
    <row r="3795" ht="14.25" spans="1:8">
      <c r="A3795" s="3" t="str">
        <f>"20101212601"</f>
        <v>20101212601</v>
      </c>
      <c r="B3795" s="3">
        <v>2</v>
      </c>
      <c r="C3795" s="3">
        <v>126</v>
      </c>
      <c r="D3795" s="3">
        <v>1</v>
      </c>
      <c r="E3795" s="3" t="s">
        <v>10</v>
      </c>
      <c r="F3795" s="4">
        <v>73.5</v>
      </c>
      <c r="G3795" s="4"/>
      <c r="H3795" s="4">
        <f t="shared" si="372"/>
        <v>73.5</v>
      </c>
    </row>
    <row r="3796" ht="14.25" spans="1:8">
      <c r="A3796" s="3" t="str">
        <f>"20101212602"</f>
        <v>20101212602</v>
      </c>
      <c r="B3796" s="3">
        <v>2</v>
      </c>
      <c r="C3796" s="3">
        <v>126</v>
      </c>
      <c r="D3796" s="3">
        <v>2</v>
      </c>
      <c r="E3796" s="3" t="s">
        <v>10</v>
      </c>
      <c r="F3796" s="4">
        <v>79</v>
      </c>
      <c r="G3796" s="4"/>
      <c r="H3796" s="4">
        <f t="shared" si="372"/>
        <v>79</v>
      </c>
    </row>
    <row r="3797" ht="14.25" spans="1:8">
      <c r="A3797" s="3" t="str">
        <f>"20101212603"</f>
        <v>20101212603</v>
      </c>
      <c r="B3797" s="3">
        <v>2</v>
      </c>
      <c r="C3797" s="3">
        <v>126</v>
      </c>
      <c r="D3797" s="3">
        <v>3</v>
      </c>
      <c r="E3797" s="3" t="s">
        <v>10</v>
      </c>
      <c r="F3797" s="4">
        <v>80</v>
      </c>
      <c r="G3797" s="4"/>
      <c r="H3797" s="4">
        <f t="shared" si="372"/>
        <v>80</v>
      </c>
    </row>
    <row r="3798" ht="14.25" spans="1:8">
      <c r="A3798" s="3" t="str">
        <f>"20101212604"</f>
        <v>20101212604</v>
      </c>
      <c r="B3798" s="3">
        <v>2</v>
      </c>
      <c r="C3798" s="3">
        <v>126</v>
      </c>
      <c r="D3798" s="3">
        <v>4</v>
      </c>
      <c r="E3798" s="3" t="s">
        <v>10</v>
      </c>
      <c r="F3798" s="3">
        <v>0</v>
      </c>
      <c r="G3798" s="4"/>
      <c r="H3798" s="3">
        <v>0</v>
      </c>
    </row>
    <row r="3799" ht="14.25" spans="1:8">
      <c r="A3799" s="3" t="str">
        <f>"20101212605"</f>
        <v>20101212605</v>
      </c>
      <c r="B3799" s="3">
        <v>2</v>
      </c>
      <c r="C3799" s="3">
        <v>126</v>
      </c>
      <c r="D3799" s="3">
        <v>5</v>
      </c>
      <c r="E3799" s="3" t="s">
        <v>10</v>
      </c>
      <c r="F3799" s="4">
        <v>71.5</v>
      </c>
      <c r="G3799" s="4"/>
      <c r="H3799" s="4">
        <f t="shared" ref="H3799:H3803" si="373">F3799+G3799</f>
        <v>71.5</v>
      </c>
    </row>
    <row r="3800" ht="14.25" spans="1:8">
      <c r="A3800" s="3" t="str">
        <f>"20101212606"</f>
        <v>20101212606</v>
      </c>
      <c r="B3800" s="3">
        <v>2</v>
      </c>
      <c r="C3800" s="3">
        <v>126</v>
      </c>
      <c r="D3800" s="3">
        <v>6</v>
      </c>
      <c r="E3800" s="3" t="s">
        <v>10</v>
      </c>
      <c r="F3800" s="3">
        <v>0</v>
      </c>
      <c r="G3800" s="4"/>
      <c r="H3800" s="3">
        <v>0</v>
      </c>
    </row>
    <row r="3801" ht="14.25" spans="1:8">
      <c r="A3801" s="3" t="str">
        <f>"20102212607"</f>
        <v>20102212607</v>
      </c>
      <c r="B3801" s="3">
        <v>2</v>
      </c>
      <c r="C3801" s="3">
        <v>126</v>
      </c>
      <c r="D3801" s="3">
        <v>7</v>
      </c>
      <c r="E3801" s="3" t="s">
        <v>10</v>
      </c>
      <c r="F3801" s="4">
        <v>70.5</v>
      </c>
      <c r="G3801" s="4"/>
      <c r="H3801" s="4">
        <f t="shared" si="373"/>
        <v>70.5</v>
      </c>
    </row>
    <row r="3802" ht="14.25" spans="1:8">
      <c r="A3802" s="3" t="str">
        <f>"20102212608"</f>
        <v>20102212608</v>
      </c>
      <c r="B3802" s="3">
        <v>2</v>
      </c>
      <c r="C3802" s="3">
        <v>126</v>
      </c>
      <c r="D3802" s="3">
        <v>8</v>
      </c>
      <c r="E3802" s="3" t="s">
        <v>10</v>
      </c>
      <c r="F3802" s="3">
        <v>0</v>
      </c>
      <c r="G3802" s="4"/>
      <c r="H3802" s="3">
        <v>0</v>
      </c>
    </row>
    <row r="3803" ht="14.25" spans="1:8">
      <c r="A3803" s="3" t="str">
        <f>"20102212609"</f>
        <v>20102212609</v>
      </c>
      <c r="B3803" s="3">
        <v>2</v>
      </c>
      <c r="C3803" s="3">
        <v>126</v>
      </c>
      <c r="D3803" s="3">
        <v>9</v>
      </c>
      <c r="E3803" s="3" t="s">
        <v>10</v>
      </c>
      <c r="F3803" s="4">
        <v>46.5</v>
      </c>
      <c r="G3803" s="4"/>
      <c r="H3803" s="4">
        <f t="shared" si="373"/>
        <v>46.5</v>
      </c>
    </row>
    <row r="3804" ht="14.25" spans="1:8">
      <c r="A3804" s="3" t="str">
        <f>"20102212610"</f>
        <v>20102212610</v>
      </c>
      <c r="B3804" s="3">
        <v>2</v>
      </c>
      <c r="C3804" s="3">
        <v>126</v>
      </c>
      <c r="D3804" s="3">
        <v>10</v>
      </c>
      <c r="E3804" s="3" t="s">
        <v>10</v>
      </c>
      <c r="F3804" s="3">
        <v>0</v>
      </c>
      <c r="G3804" s="4"/>
      <c r="H3804" s="3">
        <v>0</v>
      </c>
    </row>
    <row r="3805" ht="14.25" spans="1:8">
      <c r="A3805" s="3" t="str">
        <f>"20102212611"</f>
        <v>20102212611</v>
      </c>
      <c r="B3805" s="3">
        <v>2</v>
      </c>
      <c r="C3805" s="3">
        <v>126</v>
      </c>
      <c r="D3805" s="3">
        <v>11</v>
      </c>
      <c r="E3805" s="3" t="s">
        <v>10</v>
      </c>
      <c r="F3805" s="4">
        <v>69</v>
      </c>
      <c r="G3805" s="4"/>
      <c r="H3805" s="4">
        <f t="shared" ref="H3805:H3812" si="374">F3805+G3805</f>
        <v>69</v>
      </c>
    </row>
    <row r="3806" ht="14.25" spans="1:8">
      <c r="A3806" s="3" t="str">
        <f>"20102212612"</f>
        <v>20102212612</v>
      </c>
      <c r="B3806" s="3">
        <v>2</v>
      </c>
      <c r="C3806" s="3">
        <v>126</v>
      </c>
      <c r="D3806" s="3">
        <v>12</v>
      </c>
      <c r="E3806" s="3" t="s">
        <v>10</v>
      </c>
      <c r="F3806" s="4">
        <v>61</v>
      </c>
      <c r="G3806" s="4"/>
      <c r="H3806" s="4">
        <f t="shared" si="374"/>
        <v>61</v>
      </c>
    </row>
    <row r="3807" ht="14.25" spans="1:8">
      <c r="A3807" s="3" t="str">
        <f>"20102212613"</f>
        <v>20102212613</v>
      </c>
      <c r="B3807" s="3">
        <v>2</v>
      </c>
      <c r="C3807" s="3">
        <v>126</v>
      </c>
      <c r="D3807" s="3">
        <v>13</v>
      </c>
      <c r="E3807" s="3" t="s">
        <v>10</v>
      </c>
      <c r="F3807" s="4">
        <v>68.5</v>
      </c>
      <c r="G3807" s="4"/>
      <c r="H3807" s="4">
        <f t="shared" si="374"/>
        <v>68.5</v>
      </c>
    </row>
    <row r="3808" ht="14.25" spans="1:8">
      <c r="A3808" s="3" t="str">
        <f>"20102212614"</f>
        <v>20102212614</v>
      </c>
      <c r="B3808" s="3">
        <v>2</v>
      </c>
      <c r="C3808" s="3">
        <v>126</v>
      </c>
      <c r="D3808" s="3">
        <v>14</v>
      </c>
      <c r="E3808" s="3" t="s">
        <v>10</v>
      </c>
      <c r="F3808" s="4">
        <v>60</v>
      </c>
      <c r="G3808" s="4"/>
      <c r="H3808" s="4">
        <f t="shared" si="374"/>
        <v>60</v>
      </c>
    </row>
    <row r="3809" ht="14.25" spans="1:8">
      <c r="A3809" s="3" t="str">
        <f>"20102212615"</f>
        <v>20102212615</v>
      </c>
      <c r="B3809" s="3">
        <v>2</v>
      </c>
      <c r="C3809" s="3">
        <v>126</v>
      </c>
      <c r="D3809" s="3">
        <v>15</v>
      </c>
      <c r="E3809" s="3" t="s">
        <v>10</v>
      </c>
      <c r="F3809" s="4">
        <v>84.5</v>
      </c>
      <c r="G3809" s="4"/>
      <c r="H3809" s="4">
        <f t="shared" si="374"/>
        <v>84.5</v>
      </c>
    </row>
    <row r="3810" ht="14.25" spans="1:8">
      <c r="A3810" s="3" t="str">
        <f>"20102212616"</f>
        <v>20102212616</v>
      </c>
      <c r="B3810" s="3">
        <v>2</v>
      </c>
      <c r="C3810" s="3">
        <v>126</v>
      </c>
      <c r="D3810" s="3">
        <v>16</v>
      </c>
      <c r="E3810" s="3" t="s">
        <v>10</v>
      </c>
      <c r="F3810" s="4">
        <v>77.5</v>
      </c>
      <c r="G3810" s="4"/>
      <c r="H3810" s="4">
        <f t="shared" si="374"/>
        <v>77.5</v>
      </c>
    </row>
    <row r="3811" ht="14.25" spans="1:8">
      <c r="A3811" s="3" t="str">
        <f>"20102212617"</f>
        <v>20102212617</v>
      </c>
      <c r="B3811" s="3">
        <v>2</v>
      </c>
      <c r="C3811" s="3">
        <v>126</v>
      </c>
      <c r="D3811" s="3">
        <v>17</v>
      </c>
      <c r="E3811" s="3" t="s">
        <v>10</v>
      </c>
      <c r="F3811" s="4">
        <v>66</v>
      </c>
      <c r="G3811" s="4"/>
      <c r="H3811" s="4">
        <f t="shared" si="374"/>
        <v>66</v>
      </c>
    </row>
    <row r="3812" ht="14.25" spans="1:8">
      <c r="A3812" s="3" t="str">
        <f>"20103212618"</f>
        <v>20103212618</v>
      </c>
      <c r="B3812" s="3">
        <v>2</v>
      </c>
      <c r="C3812" s="3">
        <v>126</v>
      </c>
      <c r="D3812" s="3">
        <v>18</v>
      </c>
      <c r="E3812" s="3" t="s">
        <v>10</v>
      </c>
      <c r="F3812" s="4">
        <v>80.5</v>
      </c>
      <c r="G3812" s="4"/>
      <c r="H3812" s="4">
        <f t="shared" si="374"/>
        <v>80.5</v>
      </c>
    </row>
    <row r="3813" ht="14.25" spans="1:8">
      <c r="A3813" s="3" t="str">
        <f>"20103212619"</f>
        <v>20103212619</v>
      </c>
      <c r="B3813" s="3">
        <v>2</v>
      </c>
      <c r="C3813" s="3">
        <v>126</v>
      </c>
      <c r="D3813" s="3">
        <v>19</v>
      </c>
      <c r="E3813" s="3" t="s">
        <v>10</v>
      </c>
      <c r="F3813" s="3">
        <v>0</v>
      </c>
      <c r="G3813" s="4"/>
      <c r="H3813" s="3">
        <v>0</v>
      </c>
    </row>
    <row r="3814" ht="14.25" spans="1:8">
      <c r="A3814" s="3" t="str">
        <f>"20103212620"</f>
        <v>20103212620</v>
      </c>
      <c r="B3814" s="3">
        <v>2</v>
      </c>
      <c r="C3814" s="3">
        <v>126</v>
      </c>
      <c r="D3814" s="3">
        <v>20</v>
      </c>
      <c r="E3814" s="3" t="s">
        <v>10</v>
      </c>
      <c r="F3814" s="4">
        <v>79</v>
      </c>
      <c r="G3814" s="4"/>
      <c r="H3814" s="4">
        <f t="shared" ref="H3814:H3820" si="375">F3814+G3814</f>
        <v>79</v>
      </c>
    </row>
    <row r="3815" ht="14.25" spans="1:8">
      <c r="A3815" s="3" t="str">
        <f>"20103212621"</f>
        <v>20103212621</v>
      </c>
      <c r="B3815" s="3">
        <v>2</v>
      </c>
      <c r="C3815" s="3">
        <v>126</v>
      </c>
      <c r="D3815" s="3">
        <v>21</v>
      </c>
      <c r="E3815" s="3" t="s">
        <v>10</v>
      </c>
      <c r="F3815" s="4">
        <v>54</v>
      </c>
      <c r="G3815" s="4"/>
      <c r="H3815" s="4">
        <f t="shared" si="375"/>
        <v>54</v>
      </c>
    </row>
    <row r="3816" ht="14.25" spans="1:8">
      <c r="A3816" s="3" t="str">
        <f>"20103212622"</f>
        <v>20103212622</v>
      </c>
      <c r="B3816" s="3">
        <v>2</v>
      </c>
      <c r="C3816" s="3">
        <v>126</v>
      </c>
      <c r="D3816" s="3">
        <v>22</v>
      </c>
      <c r="E3816" s="3" t="s">
        <v>10</v>
      </c>
      <c r="F3816" s="4">
        <v>56</v>
      </c>
      <c r="G3816" s="4"/>
      <c r="H3816" s="4">
        <f t="shared" si="375"/>
        <v>56</v>
      </c>
    </row>
    <row r="3817" ht="14.25" spans="1:8">
      <c r="A3817" s="3" t="str">
        <f>"20103212623"</f>
        <v>20103212623</v>
      </c>
      <c r="B3817" s="3">
        <v>2</v>
      </c>
      <c r="C3817" s="3">
        <v>126</v>
      </c>
      <c r="D3817" s="3">
        <v>23</v>
      </c>
      <c r="E3817" s="3" t="s">
        <v>10</v>
      </c>
      <c r="F3817" s="4">
        <v>70</v>
      </c>
      <c r="G3817" s="4"/>
      <c r="H3817" s="4">
        <f t="shared" si="375"/>
        <v>70</v>
      </c>
    </row>
    <row r="3818" ht="14.25" spans="1:8">
      <c r="A3818" s="3" t="str">
        <f>"20103212624"</f>
        <v>20103212624</v>
      </c>
      <c r="B3818" s="3">
        <v>2</v>
      </c>
      <c r="C3818" s="3">
        <v>126</v>
      </c>
      <c r="D3818" s="3">
        <v>24</v>
      </c>
      <c r="E3818" s="3" t="s">
        <v>10</v>
      </c>
      <c r="F3818" s="4">
        <v>83</v>
      </c>
      <c r="G3818" s="4"/>
      <c r="H3818" s="4">
        <f t="shared" si="375"/>
        <v>83</v>
      </c>
    </row>
    <row r="3819" ht="14.25" spans="1:8">
      <c r="A3819" s="3" t="str">
        <f>"20103212625"</f>
        <v>20103212625</v>
      </c>
      <c r="B3819" s="3">
        <v>2</v>
      </c>
      <c r="C3819" s="3">
        <v>126</v>
      </c>
      <c r="D3819" s="3">
        <v>25</v>
      </c>
      <c r="E3819" s="3" t="s">
        <v>10</v>
      </c>
      <c r="F3819" s="4">
        <v>75</v>
      </c>
      <c r="G3819" s="4"/>
      <c r="H3819" s="4">
        <f t="shared" si="375"/>
        <v>75</v>
      </c>
    </row>
    <row r="3820" ht="14.25" spans="1:8">
      <c r="A3820" s="3" t="str">
        <f>"20103212626"</f>
        <v>20103212626</v>
      </c>
      <c r="B3820" s="3">
        <v>2</v>
      </c>
      <c r="C3820" s="3">
        <v>126</v>
      </c>
      <c r="D3820" s="3">
        <v>26</v>
      </c>
      <c r="E3820" s="3" t="s">
        <v>10</v>
      </c>
      <c r="F3820" s="4">
        <v>68.5</v>
      </c>
      <c r="G3820" s="4"/>
      <c r="H3820" s="4">
        <f t="shared" si="375"/>
        <v>68.5</v>
      </c>
    </row>
    <row r="3821" ht="14.25" spans="1:8">
      <c r="A3821" s="3" t="str">
        <f>"20201212627"</f>
        <v>20201212627</v>
      </c>
      <c r="B3821" s="3">
        <v>2</v>
      </c>
      <c r="C3821" s="3">
        <v>126</v>
      </c>
      <c r="D3821" s="3">
        <v>27</v>
      </c>
      <c r="E3821" s="3" t="s">
        <v>10</v>
      </c>
      <c r="F3821" s="3">
        <v>0</v>
      </c>
      <c r="G3821" s="4"/>
      <c r="H3821" s="3">
        <v>0</v>
      </c>
    </row>
    <row r="3822" ht="14.25" spans="1:8">
      <c r="A3822" s="3" t="str">
        <f>"20201212628"</f>
        <v>20201212628</v>
      </c>
      <c r="B3822" s="3">
        <v>2</v>
      </c>
      <c r="C3822" s="3">
        <v>126</v>
      </c>
      <c r="D3822" s="3">
        <v>28</v>
      </c>
      <c r="E3822" s="3" t="s">
        <v>10</v>
      </c>
      <c r="F3822" s="3">
        <v>0</v>
      </c>
      <c r="G3822" s="4"/>
      <c r="H3822" s="3">
        <v>0</v>
      </c>
    </row>
    <row r="3823" ht="14.25" spans="1:8">
      <c r="A3823" s="3" t="str">
        <f>"20201212629"</f>
        <v>20201212629</v>
      </c>
      <c r="B3823" s="3">
        <v>2</v>
      </c>
      <c r="C3823" s="3">
        <v>126</v>
      </c>
      <c r="D3823" s="3">
        <v>29</v>
      </c>
      <c r="E3823" s="3" t="s">
        <v>10</v>
      </c>
      <c r="F3823" s="3">
        <v>0</v>
      </c>
      <c r="G3823" s="4"/>
      <c r="H3823" s="3">
        <v>0</v>
      </c>
    </row>
    <row r="3824" ht="14.25" spans="1:8">
      <c r="A3824" s="3" t="str">
        <f>"20201212630"</f>
        <v>20201212630</v>
      </c>
      <c r="B3824" s="3">
        <v>2</v>
      </c>
      <c r="C3824" s="3">
        <v>126</v>
      </c>
      <c r="D3824" s="3">
        <v>30</v>
      </c>
      <c r="E3824" s="3" t="s">
        <v>10</v>
      </c>
      <c r="F3824" s="3">
        <v>0</v>
      </c>
      <c r="G3824" s="4"/>
      <c r="H3824" s="3">
        <v>0</v>
      </c>
    </row>
    <row r="3825" ht="14.25" spans="1:8">
      <c r="A3825" s="3" t="str">
        <f>"20201212701"</f>
        <v>20201212701</v>
      </c>
      <c r="B3825" s="3">
        <v>2</v>
      </c>
      <c r="C3825" s="3">
        <v>127</v>
      </c>
      <c r="D3825" s="3">
        <v>1</v>
      </c>
      <c r="E3825" s="3" t="s">
        <v>10</v>
      </c>
      <c r="F3825" s="3">
        <v>0</v>
      </c>
      <c r="G3825" s="4"/>
      <c r="H3825" s="3">
        <v>0</v>
      </c>
    </row>
    <row r="3826" ht="14.25" spans="1:8">
      <c r="A3826" s="3" t="str">
        <f>"20201212702"</f>
        <v>20201212702</v>
      </c>
      <c r="B3826" s="3">
        <v>2</v>
      </c>
      <c r="C3826" s="3">
        <v>127</v>
      </c>
      <c r="D3826" s="3">
        <v>2</v>
      </c>
      <c r="E3826" s="3" t="s">
        <v>10</v>
      </c>
      <c r="F3826" s="4">
        <v>61</v>
      </c>
      <c r="G3826" s="4"/>
      <c r="H3826" s="4">
        <f t="shared" ref="H3826:H3829" si="376">F3826+G3826</f>
        <v>61</v>
      </c>
    </row>
    <row r="3827" ht="14.25" spans="1:8">
      <c r="A3827" s="3" t="str">
        <f>"20201212703"</f>
        <v>20201212703</v>
      </c>
      <c r="B3827" s="3">
        <v>2</v>
      </c>
      <c r="C3827" s="3">
        <v>127</v>
      </c>
      <c r="D3827" s="3">
        <v>3</v>
      </c>
      <c r="E3827" s="3" t="s">
        <v>10</v>
      </c>
      <c r="F3827" s="3">
        <v>0</v>
      </c>
      <c r="G3827" s="4"/>
      <c r="H3827" s="3">
        <v>0</v>
      </c>
    </row>
    <row r="3828" ht="14.25" spans="1:8">
      <c r="A3828" s="3" t="str">
        <f>"20201212704"</f>
        <v>20201212704</v>
      </c>
      <c r="B3828" s="3">
        <v>2</v>
      </c>
      <c r="C3828" s="3">
        <v>127</v>
      </c>
      <c r="D3828" s="3">
        <v>4</v>
      </c>
      <c r="E3828" s="3" t="s">
        <v>10</v>
      </c>
      <c r="F3828" s="4">
        <v>75.5</v>
      </c>
      <c r="G3828" s="4"/>
      <c r="H3828" s="4">
        <f t="shared" si="376"/>
        <v>75.5</v>
      </c>
    </row>
    <row r="3829" ht="14.25" spans="1:8">
      <c r="A3829" s="3" t="str">
        <f>"20201212705"</f>
        <v>20201212705</v>
      </c>
      <c r="B3829" s="3">
        <v>2</v>
      </c>
      <c r="C3829" s="3">
        <v>127</v>
      </c>
      <c r="D3829" s="3">
        <v>5</v>
      </c>
      <c r="E3829" s="3" t="s">
        <v>10</v>
      </c>
      <c r="F3829" s="4">
        <v>82</v>
      </c>
      <c r="G3829" s="4"/>
      <c r="H3829" s="4">
        <f t="shared" si="376"/>
        <v>82</v>
      </c>
    </row>
    <row r="3830" ht="14.25" spans="1:8">
      <c r="A3830" s="3" t="str">
        <f>"20201212706"</f>
        <v>20201212706</v>
      </c>
      <c r="B3830" s="3">
        <v>2</v>
      </c>
      <c r="C3830" s="3">
        <v>127</v>
      </c>
      <c r="D3830" s="3">
        <v>6</v>
      </c>
      <c r="E3830" s="3" t="s">
        <v>10</v>
      </c>
      <c r="F3830" s="3">
        <v>0</v>
      </c>
      <c r="G3830" s="4"/>
      <c r="H3830" s="3">
        <v>0</v>
      </c>
    </row>
    <row r="3831" ht="14.25" spans="1:8">
      <c r="A3831" s="3" t="str">
        <f>"20201212707"</f>
        <v>20201212707</v>
      </c>
      <c r="B3831" s="3">
        <v>2</v>
      </c>
      <c r="C3831" s="3">
        <v>127</v>
      </c>
      <c r="D3831" s="3">
        <v>7</v>
      </c>
      <c r="E3831" s="3" t="s">
        <v>10</v>
      </c>
      <c r="F3831" s="4">
        <v>38</v>
      </c>
      <c r="G3831" s="4"/>
      <c r="H3831" s="4">
        <f t="shared" ref="H3831:H3838" si="377">F3831+G3831</f>
        <v>38</v>
      </c>
    </row>
    <row r="3832" ht="14.25" spans="1:8">
      <c r="A3832" s="3" t="str">
        <f>"20201212708"</f>
        <v>20201212708</v>
      </c>
      <c r="B3832" s="3">
        <v>2</v>
      </c>
      <c r="C3832" s="3">
        <v>127</v>
      </c>
      <c r="D3832" s="3">
        <v>8</v>
      </c>
      <c r="E3832" s="3" t="s">
        <v>10</v>
      </c>
      <c r="F3832" s="3">
        <v>0</v>
      </c>
      <c r="G3832" s="4"/>
      <c r="H3832" s="3">
        <v>0</v>
      </c>
    </row>
    <row r="3833" ht="14.25" spans="1:8">
      <c r="A3833" s="3" t="str">
        <f>"20201212709"</f>
        <v>20201212709</v>
      </c>
      <c r="B3833" s="3">
        <v>2</v>
      </c>
      <c r="C3833" s="3">
        <v>127</v>
      </c>
      <c r="D3833" s="3">
        <v>9</v>
      </c>
      <c r="E3833" s="3" t="s">
        <v>10</v>
      </c>
      <c r="F3833" s="3">
        <v>0</v>
      </c>
      <c r="G3833" s="4"/>
      <c r="H3833" s="3">
        <v>0</v>
      </c>
    </row>
    <row r="3834" ht="14.25" spans="1:8">
      <c r="A3834" s="3" t="str">
        <f>"20202212710"</f>
        <v>20202212710</v>
      </c>
      <c r="B3834" s="3">
        <v>2</v>
      </c>
      <c r="C3834" s="3">
        <v>127</v>
      </c>
      <c r="D3834" s="3">
        <v>10</v>
      </c>
      <c r="E3834" s="3" t="s">
        <v>10</v>
      </c>
      <c r="F3834" s="4">
        <v>73.5</v>
      </c>
      <c r="G3834" s="4"/>
      <c r="H3834" s="4">
        <f t="shared" si="377"/>
        <v>73.5</v>
      </c>
    </row>
    <row r="3835" ht="14.25" spans="1:8">
      <c r="A3835" s="3" t="str">
        <f>"20202212711"</f>
        <v>20202212711</v>
      </c>
      <c r="B3835" s="3">
        <v>2</v>
      </c>
      <c r="C3835" s="3">
        <v>127</v>
      </c>
      <c r="D3835" s="3">
        <v>11</v>
      </c>
      <c r="E3835" s="3" t="s">
        <v>10</v>
      </c>
      <c r="F3835" s="4">
        <v>60.5</v>
      </c>
      <c r="G3835" s="4"/>
      <c r="H3835" s="4">
        <f t="shared" si="377"/>
        <v>60.5</v>
      </c>
    </row>
    <row r="3836" ht="14.25" spans="1:8">
      <c r="A3836" s="3" t="str">
        <f>"20202212712"</f>
        <v>20202212712</v>
      </c>
      <c r="B3836" s="3">
        <v>2</v>
      </c>
      <c r="C3836" s="3">
        <v>127</v>
      </c>
      <c r="D3836" s="3">
        <v>12</v>
      </c>
      <c r="E3836" s="3" t="s">
        <v>10</v>
      </c>
      <c r="F3836" s="4">
        <v>58.5</v>
      </c>
      <c r="G3836" s="4"/>
      <c r="H3836" s="4">
        <f t="shared" si="377"/>
        <v>58.5</v>
      </c>
    </row>
    <row r="3837" ht="14.25" spans="1:8">
      <c r="A3837" s="3" t="str">
        <f>"20202212713"</f>
        <v>20202212713</v>
      </c>
      <c r="B3837" s="3">
        <v>2</v>
      </c>
      <c r="C3837" s="3">
        <v>127</v>
      </c>
      <c r="D3837" s="3">
        <v>13</v>
      </c>
      <c r="E3837" s="3" t="s">
        <v>10</v>
      </c>
      <c r="F3837" s="4">
        <v>79.5</v>
      </c>
      <c r="G3837" s="4"/>
      <c r="H3837" s="4">
        <f t="shared" si="377"/>
        <v>79.5</v>
      </c>
    </row>
    <row r="3838" ht="14.25" spans="1:8">
      <c r="A3838" s="3" t="str">
        <f>"20202212714"</f>
        <v>20202212714</v>
      </c>
      <c r="B3838" s="3">
        <v>2</v>
      </c>
      <c r="C3838" s="3">
        <v>127</v>
      </c>
      <c r="D3838" s="3">
        <v>14</v>
      </c>
      <c r="E3838" s="3" t="s">
        <v>10</v>
      </c>
      <c r="F3838" s="4">
        <v>46.5</v>
      </c>
      <c r="G3838" s="4"/>
      <c r="H3838" s="4">
        <f t="shared" si="377"/>
        <v>46.5</v>
      </c>
    </row>
    <row r="3839" ht="14.25" spans="1:8">
      <c r="A3839" s="3" t="str">
        <f>"20202212715"</f>
        <v>20202212715</v>
      </c>
      <c r="B3839" s="3">
        <v>2</v>
      </c>
      <c r="C3839" s="3">
        <v>127</v>
      </c>
      <c r="D3839" s="3">
        <v>15</v>
      </c>
      <c r="E3839" s="3" t="s">
        <v>10</v>
      </c>
      <c r="F3839" s="3">
        <v>0</v>
      </c>
      <c r="G3839" s="4"/>
      <c r="H3839" s="3">
        <v>0</v>
      </c>
    </row>
    <row r="3840" ht="14.25" spans="1:8">
      <c r="A3840" s="3" t="str">
        <f>"20202212716"</f>
        <v>20202212716</v>
      </c>
      <c r="B3840" s="3">
        <v>2</v>
      </c>
      <c r="C3840" s="3">
        <v>127</v>
      </c>
      <c r="D3840" s="3">
        <v>16</v>
      </c>
      <c r="E3840" s="3" t="s">
        <v>10</v>
      </c>
      <c r="F3840" s="4">
        <v>56.5</v>
      </c>
      <c r="G3840" s="4"/>
      <c r="H3840" s="4">
        <f t="shared" ref="H3840:H3844" si="378">F3840+G3840</f>
        <v>56.5</v>
      </c>
    </row>
    <row r="3841" ht="14.25" spans="1:8">
      <c r="A3841" s="3" t="str">
        <f>"20203212717"</f>
        <v>20203212717</v>
      </c>
      <c r="B3841" s="3">
        <v>2</v>
      </c>
      <c r="C3841" s="3">
        <v>127</v>
      </c>
      <c r="D3841" s="3">
        <v>17</v>
      </c>
      <c r="E3841" s="3" t="s">
        <v>10</v>
      </c>
      <c r="F3841" s="4">
        <v>62.5</v>
      </c>
      <c r="G3841" s="4"/>
      <c r="H3841" s="4">
        <f t="shared" si="378"/>
        <v>62.5</v>
      </c>
    </row>
    <row r="3842" ht="14.25" spans="1:8">
      <c r="A3842" s="3" t="str">
        <f>"20203212718"</f>
        <v>20203212718</v>
      </c>
      <c r="B3842" s="3">
        <v>2</v>
      </c>
      <c r="C3842" s="3">
        <v>127</v>
      </c>
      <c r="D3842" s="3">
        <v>18</v>
      </c>
      <c r="E3842" s="3" t="s">
        <v>10</v>
      </c>
      <c r="F3842" s="4">
        <v>36</v>
      </c>
      <c r="G3842" s="4"/>
      <c r="H3842" s="4">
        <f t="shared" si="378"/>
        <v>36</v>
      </c>
    </row>
    <row r="3843" ht="14.25" spans="1:8">
      <c r="A3843" s="3" t="str">
        <f>"20203212719"</f>
        <v>20203212719</v>
      </c>
      <c r="B3843" s="3">
        <v>2</v>
      </c>
      <c r="C3843" s="3">
        <v>127</v>
      </c>
      <c r="D3843" s="3">
        <v>19</v>
      </c>
      <c r="E3843" s="3" t="s">
        <v>10</v>
      </c>
      <c r="F3843" s="4">
        <v>58</v>
      </c>
      <c r="G3843" s="4"/>
      <c r="H3843" s="4">
        <f t="shared" si="378"/>
        <v>58</v>
      </c>
    </row>
    <row r="3844" ht="14.25" spans="1:8">
      <c r="A3844" s="3" t="str">
        <f>"20203212720"</f>
        <v>20203212720</v>
      </c>
      <c r="B3844" s="3">
        <v>2</v>
      </c>
      <c r="C3844" s="3">
        <v>127</v>
      </c>
      <c r="D3844" s="3">
        <v>20</v>
      </c>
      <c r="E3844" s="3" t="s">
        <v>10</v>
      </c>
      <c r="F3844" s="4">
        <v>57</v>
      </c>
      <c r="G3844" s="4"/>
      <c r="H3844" s="4">
        <f t="shared" si="378"/>
        <v>57</v>
      </c>
    </row>
    <row r="3845" ht="14.25" spans="1:8">
      <c r="A3845" s="3" t="str">
        <f>"20203212721"</f>
        <v>20203212721</v>
      </c>
      <c r="B3845" s="3">
        <v>2</v>
      </c>
      <c r="C3845" s="3">
        <v>127</v>
      </c>
      <c r="D3845" s="3">
        <v>21</v>
      </c>
      <c r="E3845" s="3" t="s">
        <v>10</v>
      </c>
      <c r="F3845" s="3">
        <v>0</v>
      </c>
      <c r="G3845" s="4"/>
      <c r="H3845" s="3">
        <v>0</v>
      </c>
    </row>
    <row r="3846" ht="14.25" spans="1:8">
      <c r="A3846" s="3" t="str">
        <f>"20203212722"</f>
        <v>20203212722</v>
      </c>
      <c r="B3846" s="3">
        <v>2</v>
      </c>
      <c r="C3846" s="3">
        <v>127</v>
      </c>
      <c r="D3846" s="3">
        <v>22</v>
      </c>
      <c r="E3846" s="3" t="s">
        <v>10</v>
      </c>
      <c r="F3846" s="4">
        <v>77.5</v>
      </c>
      <c r="G3846" s="4"/>
      <c r="H3846" s="4">
        <f t="shared" ref="H3846:H3850" si="379">F3846+G3846</f>
        <v>77.5</v>
      </c>
    </row>
    <row r="3847" ht="14.25" spans="1:8">
      <c r="A3847" s="3" t="str">
        <f>"20203212723"</f>
        <v>20203212723</v>
      </c>
      <c r="B3847" s="3">
        <v>2</v>
      </c>
      <c r="C3847" s="3">
        <v>127</v>
      </c>
      <c r="D3847" s="3">
        <v>23</v>
      </c>
      <c r="E3847" s="3" t="s">
        <v>10</v>
      </c>
      <c r="F3847" s="4">
        <v>73</v>
      </c>
      <c r="G3847" s="4"/>
      <c r="H3847" s="4">
        <f t="shared" si="379"/>
        <v>73</v>
      </c>
    </row>
    <row r="3848" ht="14.25" spans="1:8">
      <c r="A3848" s="3" t="str">
        <f>"20203212724"</f>
        <v>20203212724</v>
      </c>
      <c r="B3848" s="3">
        <v>2</v>
      </c>
      <c r="C3848" s="3">
        <v>127</v>
      </c>
      <c r="D3848" s="3">
        <v>24</v>
      </c>
      <c r="E3848" s="3" t="s">
        <v>10</v>
      </c>
      <c r="F3848" s="3">
        <v>0</v>
      </c>
      <c r="G3848" s="4"/>
      <c r="H3848" s="3">
        <v>0</v>
      </c>
    </row>
    <row r="3849" ht="14.25" spans="1:8">
      <c r="A3849" s="3" t="str">
        <f>"20203212725"</f>
        <v>20203212725</v>
      </c>
      <c r="B3849" s="3">
        <v>2</v>
      </c>
      <c r="C3849" s="3">
        <v>127</v>
      </c>
      <c r="D3849" s="3">
        <v>25</v>
      </c>
      <c r="E3849" s="3" t="s">
        <v>10</v>
      </c>
      <c r="F3849" s="4">
        <v>87</v>
      </c>
      <c r="G3849" s="4"/>
      <c r="H3849" s="4">
        <f t="shared" si="379"/>
        <v>87</v>
      </c>
    </row>
    <row r="3850" ht="14.25" spans="1:8">
      <c r="A3850" s="3" t="str">
        <f>"20301212726"</f>
        <v>20301212726</v>
      </c>
      <c r="B3850" s="3">
        <v>2</v>
      </c>
      <c r="C3850" s="3">
        <v>127</v>
      </c>
      <c r="D3850" s="3">
        <v>26</v>
      </c>
      <c r="E3850" s="3" t="s">
        <v>10</v>
      </c>
      <c r="F3850" s="4">
        <v>50.5</v>
      </c>
      <c r="G3850" s="4"/>
      <c r="H3850" s="4">
        <f t="shared" si="379"/>
        <v>50.5</v>
      </c>
    </row>
    <row r="3851" ht="14.25" spans="1:8">
      <c r="A3851" s="3" t="str">
        <f>"20301212727"</f>
        <v>20301212727</v>
      </c>
      <c r="B3851" s="3">
        <v>2</v>
      </c>
      <c r="C3851" s="3">
        <v>127</v>
      </c>
      <c r="D3851" s="3">
        <v>27</v>
      </c>
      <c r="E3851" s="3" t="s">
        <v>10</v>
      </c>
      <c r="F3851" s="3">
        <v>0</v>
      </c>
      <c r="G3851" s="4"/>
      <c r="H3851" s="3">
        <v>0</v>
      </c>
    </row>
    <row r="3852" ht="14.25" spans="1:8">
      <c r="A3852" s="3" t="str">
        <f>"20301212728"</f>
        <v>20301212728</v>
      </c>
      <c r="B3852" s="3">
        <v>2</v>
      </c>
      <c r="C3852" s="3">
        <v>127</v>
      </c>
      <c r="D3852" s="3">
        <v>28</v>
      </c>
      <c r="E3852" s="3" t="s">
        <v>10</v>
      </c>
      <c r="F3852" s="3">
        <v>0</v>
      </c>
      <c r="G3852" s="4"/>
      <c r="H3852" s="3">
        <v>0</v>
      </c>
    </row>
    <row r="3853" ht="14.25" spans="1:8">
      <c r="A3853" s="3" t="str">
        <f>"20301212729"</f>
        <v>20301212729</v>
      </c>
      <c r="B3853" s="3">
        <v>2</v>
      </c>
      <c r="C3853" s="3">
        <v>127</v>
      </c>
      <c r="D3853" s="3">
        <v>29</v>
      </c>
      <c r="E3853" s="3" t="s">
        <v>10</v>
      </c>
      <c r="F3853" s="3">
        <v>0</v>
      </c>
      <c r="G3853" s="4"/>
      <c r="H3853" s="3">
        <v>0</v>
      </c>
    </row>
    <row r="3854" ht="14.25" spans="1:8">
      <c r="A3854" s="3" t="str">
        <f>"20301212730"</f>
        <v>20301212730</v>
      </c>
      <c r="B3854" s="3">
        <v>2</v>
      </c>
      <c r="C3854" s="3">
        <v>127</v>
      </c>
      <c r="D3854" s="3">
        <v>30</v>
      </c>
      <c r="E3854" s="3" t="s">
        <v>10</v>
      </c>
      <c r="F3854" s="3">
        <v>0</v>
      </c>
      <c r="G3854" s="4"/>
      <c r="H3854" s="3">
        <v>0</v>
      </c>
    </row>
    <row r="3855" ht="14.25" spans="1:8">
      <c r="A3855" s="3" t="str">
        <f>"20301212801"</f>
        <v>20301212801</v>
      </c>
      <c r="B3855" s="3">
        <v>2</v>
      </c>
      <c r="C3855" s="3">
        <v>128</v>
      </c>
      <c r="D3855" s="3">
        <v>1</v>
      </c>
      <c r="E3855" s="3" t="s">
        <v>10</v>
      </c>
      <c r="F3855" s="4">
        <v>75</v>
      </c>
      <c r="G3855" s="4"/>
      <c r="H3855" s="4">
        <f t="shared" ref="H3855:H3859" si="380">F3855+G3855</f>
        <v>75</v>
      </c>
    </row>
    <row r="3856" ht="14.25" spans="1:8">
      <c r="A3856" s="3" t="str">
        <f>"20301212802"</f>
        <v>20301212802</v>
      </c>
      <c r="B3856" s="3">
        <v>2</v>
      </c>
      <c r="C3856" s="3">
        <v>128</v>
      </c>
      <c r="D3856" s="3">
        <v>2</v>
      </c>
      <c r="E3856" s="3" t="s">
        <v>10</v>
      </c>
      <c r="F3856" s="3">
        <v>0</v>
      </c>
      <c r="G3856" s="4"/>
      <c r="H3856" s="3">
        <v>0</v>
      </c>
    </row>
    <row r="3857" ht="14.25" spans="1:8">
      <c r="A3857" s="3" t="str">
        <f>"20301212803"</f>
        <v>20301212803</v>
      </c>
      <c r="B3857" s="3">
        <v>2</v>
      </c>
      <c r="C3857" s="3">
        <v>128</v>
      </c>
      <c r="D3857" s="3">
        <v>3</v>
      </c>
      <c r="E3857" s="3" t="s">
        <v>10</v>
      </c>
      <c r="F3857" s="4">
        <v>59.5</v>
      </c>
      <c r="G3857" s="4"/>
      <c r="H3857" s="4">
        <f t="shared" si="380"/>
        <v>59.5</v>
      </c>
    </row>
    <row r="3858" ht="14.25" spans="1:8">
      <c r="A3858" s="3" t="str">
        <f>"20301212804"</f>
        <v>20301212804</v>
      </c>
      <c r="B3858" s="3">
        <v>2</v>
      </c>
      <c r="C3858" s="3">
        <v>128</v>
      </c>
      <c r="D3858" s="3">
        <v>4</v>
      </c>
      <c r="E3858" s="3" t="s">
        <v>10</v>
      </c>
      <c r="F3858" s="3">
        <v>0</v>
      </c>
      <c r="G3858" s="4"/>
      <c r="H3858" s="3">
        <v>0</v>
      </c>
    </row>
    <row r="3859" ht="14.25" spans="1:8">
      <c r="A3859" s="3" t="str">
        <f>"20301212805"</f>
        <v>20301212805</v>
      </c>
      <c r="B3859" s="3">
        <v>2</v>
      </c>
      <c r="C3859" s="3">
        <v>128</v>
      </c>
      <c r="D3859" s="3">
        <v>5</v>
      </c>
      <c r="E3859" s="3" t="s">
        <v>10</v>
      </c>
      <c r="F3859" s="4">
        <v>50.5</v>
      </c>
      <c r="G3859" s="4"/>
      <c r="H3859" s="4">
        <f t="shared" si="380"/>
        <v>50.5</v>
      </c>
    </row>
    <row r="3860" ht="14.25" spans="1:8">
      <c r="A3860" s="3" t="str">
        <f>"20301212806"</f>
        <v>20301212806</v>
      </c>
      <c r="B3860" s="3">
        <v>2</v>
      </c>
      <c r="C3860" s="3">
        <v>128</v>
      </c>
      <c r="D3860" s="3">
        <v>6</v>
      </c>
      <c r="E3860" s="3" t="s">
        <v>10</v>
      </c>
      <c r="F3860" s="3">
        <v>0</v>
      </c>
      <c r="G3860" s="4"/>
      <c r="H3860" s="3">
        <v>0</v>
      </c>
    </row>
    <row r="3861" ht="14.25" spans="1:8">
      <c r="A3861" s="3" t="str">
        <f>"20301212807"</f>
        <v>20301212807</v>
      </c>
      <c r="B3861" s="3">
        <v>2</v>
      </c>
      <c r="C3861" s="3">
        <v>128</v>
      </c>
      <c r="D3861" s="3">
        <v>7</v>
      </c>
      <c r="E3861" s="3" t="s">
        <v>10</v>
      </c>
      <c r="F3861" s="4">
        <v>54</v>
      </c>
      <c r="G3861" s="4"/>
      <c r="H3861" s="4">
        <f>F3861+G3861</f>
        <v>54</v>
      </c>
    </row>
    <row r="3862" ht="14.25" spans="1:8">
      <c r="A3862" s="3" t="str">
        <f>"20301212808"</f>
        <v>20301212808</v>
      </c>
      <c r="B3862" s="3">
        <v>2</v>
      </c>
      <c r="C3862" s="3">
        <v>128</v>
      </c>
      <c r="D3862" s="3">
        <v>8</v>
      </c>
      <c r="E3862" s="3" t="s">
        <v>10</v>
      </c>
      <c r="F3862" s="3">
        <v>0</v>
      </c>
      <c r="G3862" s="4"/>
      <c r="H3862" s="3">
        <v>0</v>
      </c>
    </row>
    <row r="3863" ht="14.25" spans="1:8">
      <c r="A3863" s="3" t="str">
        <f>"20301212809"</f>
        <v>20301212809</v>
      </c>
      <c r="B3863" s="3">
        <v>2</v>
      </c>
      <c r="C3863" s="3">
        <v>128</v>
      </c>
      <c r="D3863" s="3">
        <v>9</v>
      </c>
      <c r="E3863" s="3" t="s">
        <v>10</v>
      </c>
      <c r="F3863" s="3">
        <v>0</v>
      </c>
      <c r="G3863" s="4"/>
      <c r="H3863" s="3">
        <v>0</v>
      </c>
    </row>
    <row r="3864" ht="14.25" spans="1:8">
      <c r="A3864" s="3" t="str">
        <f>"20301212810"</f>
        <v>20301212810</v>
      </c>
      <c r="B3864" s="3">
        <v>2</v>
      </c>
      <c r="C3864" s="3">
        <v>128</v>
      </c>
      <c r="D3864" s="3">
        <v>10</v>
      </c>
      <c r="E3864" s="3" t="s">
        <v>10</v>
      </c>
      <c r="F3864" s="3">
        <v>0</v>
      </c>
      <c r="G3864" s="4"/>
      <c r="H3864" s="3">
        <v>0</v>
      </c>
    </row>
    <row r="3865" ht="14.25" spans="1:8">
      <c r="A3865" s="3" t="str">
        <f>"20301212811"</f>
        <v>20301212811</v>
      </c>
      <c r="B3865" s="3">
        <v>2</v>
      </c>
      <c r="C3865" s="3">
        <v>128</v>
      </c>
      <c r="D3865" s="3">
        <v>11</v>
      </c>
      <c r="E3865" s="3" t="s">
        <v>10</v>
      </c>
      <c r="F3865" s="3">
        <v>0</v>
      </c>
      <c r="G3865" s="4"/>
      <c r="H3865" s="3">
        <v>0</v>
      </c>
    </row>
    <row r="3866" ht="14.25" spans="1:8">
      <c r="A3866" s="3" t="str">
        <f>"20301212812"</f>
        <v>20301212812</v>
      </c>
      <c r="B3866" s="3">
        <v>2</v>
      </c>
      <c r="C3866" s="3">
        <v>128</v>
      </c>
      <c r="D3866" s="3">
        <v>12</v>
      </c>
      <c r="E3866" s="3" t="s">
        <v>10</v>
      </c>
      <c r="F3866" s="3">
        <v>0</v>
      </c>
      <c r="G3866" s="4"/>
      <c r="H3866" s="3">
        <v>0</v>
      </c>
    </row>
    <row r="3867" ht="14.25" spans="1:8">
      <c r="A3867" s="3" t="str">
        <f>"20301212813"</f>
        <v>20301212813</v>
      </c>
      <c r="B3867" s="3">
        <v>2</v>
      </c>
      <c r="C3867" s="3">
        <v>128</v>
      </c>
      <c r="D3867" s="3">
        <v>13</v>
      </c>
      <c r="E3867" s="3" t="s">
        <v>10</v>
      </c>
      <c r="F3867" s="4">
        <v>61.5</v>
      </c>
      <c r="G3867" s="4"/>
      <c r="H3867" s="4">
        <f t="shared" ref="H3867:H3873" si="381">F3867+G3867</f>
        <v>61.5</v>
      </c>
    </row>
    <row r="3868" ht="14.25" spans="1:8">
      <c r="A3868" s="3" t="str">
        <f>"20302212814"</f>
        <v>20302212814</v>
      </c>
      <c r="B3868" s="3">
        <v>2</v>
      </c>
      <c r="C3868" s="3">
        <v>128</v>
      </c>
      <c r="D3868" s="3">
        <v>14</v>
      </c>
      <c r="E3868" s="3" t="s">
        <v>10</v>
      </c>
      <c r="F3868" s="4">
        <v>77.5</v>
      </c>
      <c r="G3868" s="4"/>
      <c r="H3868" s="4">
        <f t="shared" si="381"/>
        <v>77.5</v>
      </c>
    </row>
    <row r="3869" ht="14.25" spans="1:8">
      <c r="A3869" s="3" t="str">
        <f>"20302212815"</f>
        <v>20302212815</v>
      </c>
      <c r="B3869" s="3">
        <v>2</v>
      </c>
      <c r="C3869" s="3">
        <v>128</v>
      </c>
      <c r="D3869" s="3">
        <v>15</v>
      </c>
      <c r="E3869" s="3" t="s">
        <v>10</v>
      </c>
      <c r="F3869" s="4">
        <v>74</v>
      </c>
      <c r="G3869" s="4"/>
      <c r="H3869" s="4">
        <f t="shared" si="381"/>
        <v>74</v>
      </c>
    </row>
    <row r="3870" ht="14.25" spans="1:8">
      <c r="A3870" s="3" t="str">
        <f>"20302212816"</f>
        <v>20302212816</v>
      </c>
      <c r="B3870" s="3">
        <v>2</v>
      </c>
      <c r="C3870" s="3">
        <v>128</v>
      </c>
      <c r="D3870" s="3">
        <v>16</v>
      </c>
      <c r="E3870" s="3" t="s">
        <v>10</v>
      </c>
      <c r="F3870" s="4">
        <v>86</v>
      </c>
      <c r="G3870" s="4"/>
      <c r="H3870" s="4">
        <f t="shared" si="381"/>
        <v>86</v>
      </c>
    </row>
    <row r="3871" ht="14.25" spans="1:8">
      <c r="A3871" s="3" t="str">
        <f>"20302212817"</f>
        <v>20302212817</v>
      </c>
      <c r="B3871" s="3">
        <v>2</v>
      </c>
      <c r="C3871" s="3">
        <v>128</v>
      </c>
      <c r="D3871" s="3">
        <v>17</v>
      </c>
      <c r="E3871" s="3" t="s">
        <v>10</v>
      </c>
      <c r="F3871" s="4">
        <v>69</v>
      </c>
      <c r="G3871" s="4"/>
      <c r="H3871" s="4">
        <f t="shared" si="381"/>
        <v>69</v>
      </c>
    </row>
    <row r="3872" ht="14.25" spans="1:8">
      <c r="A3872" s="3" t="str">
        <f>"20302212818"</f>
        <v>20302212818</v>
      </c>
      <c r="B3872" s="3">
        <v>2</v>
      </c>
      <c r="C3872" s="3">
        <v>128</v>
      </c>
      <c r="D3872" s="3">
        <v>18</v>
      </c>
      <c r="E3872" s="3" t="s">
        <v>10</v>
      </c>
      <c r="F3872" s="4">
        <v>56.5</v>
      </c>
      <c r="G3872" s="4"/>
      <c r="H3872" s="4">
        <f t="shared" si="381"/>
        <v>56.5</v>
      </c>
    </row>
    <row r="3873" ht="14.25" spans="1:8">
      <c r="A3873" s="3" t="str">
        <f>"20302212819"</f>
        <v>20302212819</v>
      </c>
      <c r="B3873" s="3">
        <v>2</v>
      </c>
      <c r="C3873" s="3">
        <v>128</v>
      </c>
      <c r="D3873" s="3">
        <v>19</v>
      </c>
      <c r="E3873" s="3" t="s">
        <v>10</v>
      </c>
      <c r="F3873" s="4">
        <v>57.5</v>
      </c>
      <c r="G3873" s="4"/>
      <c r="H3873" s="4">
        <f t="shared" si="381"/>
        <v>57.5</v>
      </c>
    </row>
    <row r="3874" ht="14.25" spans="1:8">
      <c r="A3874" s="3" t="str">
        <f>"20302212820"</f>
        <v>20302212820</v>
      </c>
      <c r="B3874" s="3">
        <v>2</v>
      </c>
      <c r="C3874" s="3">
        <v>128</v>
      </c>
      <c r="D3874" s="3">
        <v>20</v>
      </c>
      <c r="E3874" s="3" t="s">
        <v>10</v>
      </c>
      <c r="F3874" s="3">
        <v>0</v>
      </c>
      <c r="G3874" s="4"/>
      <c r="H3874" s="3">
        <v>0</v>
      </c>
    </row>
    <row r="3875" ht="14.25" spans="1:8">
      <c r="A3875" s="3" t="str">
        <f>"20302212821"</f>
        <v>20302212821</v>
      </c>
      <c r="B3875" s="3">
        <v>2</v>
      </c>
      <c r="C3875" s="3">
        <v>128</v>
      </c>
      <c r="D3875" s="3">
        <v>21</v>
      </c>
      <c r="E3875" s="3" t="s">
        <v>10</v>
      </c>
      <c r="F3875" s="4">
        <v>73</v>
      </c>
      <c r="G3875" s="4"/>
      <c r="H3875" s="4">
        <f t="shared" ref="H3875:H3883" si="382">F3875+G3875</f>
        <v>73</v>
      </c>
    </row>
    <row r="3876" ht="14.25" spans="1:8">
      <c r="A3876" s="3" t="str">
        <f>"20302212822"</f>
        <v>20302212822</v>
      </c>
      <c r="B3876" s="3">
        <v>2</v>
      </c>
      <c r="C3876" s="3">
        <v>128</v>
      </c>
      <c r="D3876" s="3">
        <v>22</v>
      </c>
      <c r="E3876" s="3" t="s">
        <v>10</v>
      </c>
      <c r="F3876" s="4">
        <v>64.5</v>
      </c>
      <c r="G3876" s="4"/>
      <c r="H3876" s="4">
        <f t="shared" si="382"/>
        <v>64.5</v>
      </c>
    </row>
    <row r="3877" ht="14.25" spans="1:8">
      <c r="A3877" s="3" t="str">
        <f>"20302212823"</f>
        <v>20302212823</v>
      </c>
      <c r="B3877" s="3">
        <v>2</v>
      </c>
      <c r="C3877" s="3">
        <v>128</v>
      </c>
      <c r="D3877" s="3">
        <v>23</v>
      </c>
      <c r="E3877" s="3" t="s">
        <v>10</v>
      </c>
      <c r="F3877" s="4">
        <v>47.5</v>
      </c>
      <c r="G3877" s="4"/>
      <c r="H3877" s="4">
        <f t="shared" si="382"/>
        <v>47.5</v>
      </c>
    </row>
    <row r="3878" ht="14.25" spans="1:8">
      <c r="A3878" s="3" t="str">
        <f>"20302212824"</f>
        <v>20302212824</v>
      </c>
      <c r="B3878" s="3">
        <v>2</v>
      </c>
      <c r="C3878" s="3">
        <v>128</v>
      </c>
      <c r="D3878" s="3">
        <v>24</v>
      </c>
      <c r="E3878" s="3" t="s">
        <v>10</v>
      </c>
      <c r="F3878" s="4">
        <v>70</v>
      </c>
      <c r="G3878" s="4"/>
      <c r="H3878" s="4">
        <f t="shared" si="382"/>
        <v>70</v>
      </c>
    </row>
    <row r="3879" ht="14.25" spans="1:8">
      <c r="A3879" s="3" t="str">
        <f>"20302212825"</f>
        <v>20302212825</v>
      </c>
      <c r="B3879" s="3">
        <v>2</v>
      </c>
      <c r="C3879" s="3">
        <v>128</v>
      </c>
      <c r="D3879" s="3">
        <v>25</v>
      </c>
      <c r="E3879" s="3" t="s">
        <v>10</v>
      </c>
      <c r="F3879" s="4">
        <v>42</v>
      </c>
      <c r="G3879" s="4"/>
      <c r="H3879" s="4">
        <f t="shared" si="382"/>
        <v>42</v>
      </c>
    </row>
    <row r="3880" ht="14.25" spans="1:8">
      <c r="A3880" s="3" t="str">
        <f>"20302212826"</f>
        <v>20302212826</v>
      </c>
      <c r="B3880" s="3">
        <v>2</v>
      </c>
      <c r="C3880" s="3">
        <v>128</v>
      </c>
      <c r="D3880" s="3">
        <v>26</v>
      </c>
      <c r="E3880" s="3" t="s">
        <v>10</v>
      </c>
      <c r="F3880" s="4">
        <v>74</v>
      </c>
      <c r="G3880" s="4"/>
      <c r="H3880" s="4">
        <f t="shared" si="382"/>
        <v>74</v>
      </c>
    </row>
    <row r="3881" ht="14.25" spans="1:8">
      <c r="A3881" s="3" t="str">
        <f>"20302212827"</f>
        <v>20302212827</v>
      </c>
      <c r="B3881" s="3">
        <v>2</v>
      </c>
      <c r="C3881" s="3">
        <v>128</v>
      </c>
      <c r="D3881" s="3">
        <v>27</v>
      </c>
      <c r="E3881" s="3" t="s">
        <v>10</v>
      </c>
      <c r="F3881" s="4">
        <v>80.5</v>
      </c>
      <c r="G3881" s="4"/>
      <c r="H3881" s="4">
        <f t="shared" si="382"/>
        <v>80.5</v>
      </c>
    </row>
    <row r="3882" ht="14.25" spans="1:8">
      <c r="A3882" s="3" t="str">
        <f>"20302212828"</f>
        <v>20302212828</v>
      </c>
      <c r="B3882" s="3">
        <v>2</v>
      </c>
      <c r="C3882" s="3">
        <v>128</v>
      </c>
      <c r="D3882" s="3">
        <v>28</v>
      </c>
      <c r="E3882" s="3" t="s">
        <v>10</v>
      </c>
      <c r="F3882" s="4">
        <v>63.5</v>
      </c>
      <c r="G3882" s="4"/>
      <c r="H3882" s="4">
        <f t="shared" si="382"/>
        <v>63.5</v>
      </c>
    </row>
    <row r="3883" ht="14.25" spans="1:8">
      <c r="A3883" s="3" t="str">
        <f>"20302212829"</f>
        <v>20302212829</v>
      </c>
      <c r="B3883" s="3">
        <v>2</v>
      </c>
      <c r="C3883" s="3">
        <v>128</v>
      </c>
      <c r="D3883" s="3">
        <v>29</v>
      </c>
      <c r="E3883" s="3" t="s">
        <v>10</v>
      </c>
      <c r="F3883" s="4">
        <v>71</v>
      </c>
      <c r="G3883" s="4"/>
      <c r="H3883" s="4">
        <f t="shared" si="382"/>
        <v>71</v>
      </c>
    </row>
    <row r="3884" ht="14.25" spans="1:8">
      <c r="A3884" s="3" t="str">
        <f>"20303212830"</f>
        <v>20303212830</v>
      </c>
      <c r="B3884" s="3">
        <v>2</v>
      </c>
      <c r="C3884" s="3">
        <v>128</v>
      </c>
      <c r="D3884" s="3">
        <v>30</v>
      </c>
      <c r="E3884" s="3" t="s">
        <v>10</v>
      </c>
      <c r="F3884" s="3">
        <v>0</v>
      </c>
      <c r="G3884" s="4"/>
      <c r="H3884" s="3">
        <v>0</v>
      </c>
    </row>
    <row r="3885" ht="14.25" spans="1:8">
      <c r="A3885" s="3" t="str">
        <f>"20303212901"</f>
        <v>20303212901</v>
      </c>
      <c r="B3885" s="3">
        <v>2</v>
      </c>
      <c r="C3885" s="3">
        <v>129</v>
      </c>
      <c r="D3885" s="3">
        <v>1</v>
      </c>
      <c r="E3885" s="3" t="s">
        <v>10</v>
      </c>
      <c r="F3885" s="3">
        <v>0</v>
      </c>
      <c r="G3885" s="4"/>
      <c r="H3885" s="3">
        <v>0</v>
      </c>
    </row>
    <row r="3886" ht="14.25" spans="1:8">
      <c r="A3886" s="3" t="str">
        <f>"20303212902"</f>
        <v>20303212902</v>
      </c>
      <c r="B3886" s="3">
        <v>2</v>
      </c>
      <c r="C3886" s="3">
        <v>129</v>
      </c>
      <c r="D3886" s="3">
        <v>2</v>
      </c>
      <c r="E3886" s="3" t="s">
        <v>10</v>
      </c>
      <c r="F3886" s="4">
        <v>88</v>
      </c>
      <c r="G3886" s="4"/>
      <c r="H3886" s="4">
        <f t="shared" ref="H3886:H3888" si="383">F3886+G3886</f>
        <v>88</v>
      </c>
    </row>
    <row r="3887" ht="14.25" spans="1:8">
      <c r="A3887" s="3" t="str">
        <f>"20303212903"</f>
        <v>20303212903</v>
      </c>
      <c r="B3887" s="3">
        <v>2</v>
      </c>
      <c r="C3887" s="3">
        <v>129</v>
      </c>
      <c r="D3887" s="3">
        <v>3</v>
      </c>
      <c r="E3887" s="3" t="s">
        <v>10</v>
      </c>
      <c r="F3887" s="4">
        <v>65.5</v>
      </c>
      <c r="G3887" s="4"/>
      <c r="H3887" s="4">
        <f t="shared" si="383"/>
        <v>65.5</v>
      </c>
    </row>
    <row r="3888" ht="14.25" spans="1:8">
      <c r="A3888" s="3" t="str">
        <f>"20303212904"</f>
        <v>20303212904</v>
      </c>
      <c r="B3888" s="3">
        <v>2</v>
      </c>
      <c r="C3888" s="3">
        <v>129</v>
      </c>
      <c r="D3888" s="3">
        <v>4</v>
      </c>
      <c r="E3888" s="3" t="s">
        <v>10</v>
      </c>
      <c r="F3888" s="4">
        <v>71.5</v>
      </c>
      <c r="G3888" s="4"/>
      <c r="H3888" s="4">
        <f t="shared" si="383"/>
        <v>71.5</v>
      </c>
    </row>
    <row r="3889" ht="14.25" spans="1:8">
      <c r="A3889" s="3" t="str">
        <f>"20303212905"</f>
        <v>20303212905</v>
      </c>
      <c r="B3889" s="3">
        <v>2</v>
      </c>
      <c r="C3889" s="3">
        <v>129</v>
      </c>
      <c r="D3889" s="3">
        <v>5</v>
      </c>
      <c r="E3889" s="3" t="s">
        <v>10</v>
      </c>
      <c r="F3889" s="3">
        <v>0</v>
      </c>
      <c r="G3889" s="4"/>
      <c r="H3889" s="3">
        <v>0</v>
      </c>
    </row>
    <row r="3890" ht="14.25" spans="1:8">
      <c r="A3890" s="3" t="str">
        <f>"20304212906"</f>
        <v>20304212906</v>
      </c>
      <c r="B3890" s="3">
        <v>2</v>
      </c>
      <c r="C3890" s="3">
        <v>129</v>
      </c>
      <c r="D3890" s="3">
        <v>6</v>
      </c>
      <c r="E3890" s="3" t="s">
        <v>10</v>
      </c>
      <c r="F3890" s="3">
        <v>0</v>
      </c>
      <c r="G3890" s="4"/>
      <c r="H3890" s="3">
        <v>0</v>
      </c>
    </row>
    <row r="3891" ht="14.25" spans="1:8">
      <c r="A3891" s="3" t="str">
        <f>"20304212907"</f>
        <v>20304212907</v>
      </c>
      <c r="B3891" s="3">
        <v>2</v>
      </c>
      <c r="C3891" s="3">
        <v>129</v>
      </c>
      <c r="D3891" s="3">
        <v>7</v>
      </c>
      <c r="E3891" s="3" t="s">
        <v>10</v>
      </c>
      <c r="F3891" s="4">
        <v>76.5</v>
      </c>
      <c r="G3891" s="4"/>
      <c r="H3891" s="4">
        <f t="shared" ref="H3891:H3904" si="384">F3891+G3891</f>
        <v>76.5</v>
      </c>
    </row>
    <row r="3892" ht="14.25" spans="1:8">
      <c r="A3892" s="3" t="str">
        <f>"20304212908"</f>
        <v>20304212908</v>
      </c>
      <c r="B3892" s="3">
        <v>2</v>
      </c>
      <c r="C3892" s="3">
        <v>129</v>
      </c>
      <c r="D3892" s="3">
        <v>8</v>
      </c>
      <c r="E3892" s="3" t="s">
        <v>10</v>
      </c>
      <c r="F3892" s="3">
        <v>0</v>
      </c>
      <c r="G3892" s="4"/>
      <c r="H3892" s="3">
        <v>0</v>
      </c>
    </row>
    <row r="3893" ht="14.25" spans="1:8">
      <c r="A3893" s="3" t="str">
        <f>"20304212909"</f>
        <v>20304212909</v>
      </c>
      <c r="B3893" s="3">
        <v>2</v>
      </c>
      <c r="C3893" s="3">
        <v>129</v>
      </c>
      <c r="D3893" s="3">
        <v>9</v>
      </c>
      <c r="E3893" s="3" t="s">
        <v>10</v>
      </c>
      <c r="F3893" s="4">
        <v>66</v>
      </c>
      <c r="G3893" s="4"/>
      <c r="H3893" s="4">
        <f t="shared" si="384"/>
        <v>66</v>
      </c>
    </row>
    <row r="3894" ht="14.25" spans="1:8">
      <c r="A3894" s="3" t="str">
        <f>"20304212910"</f>
        <v>20304212910</v>
      </c>
      <c r="B3894" s="3">
        <v>2</v>
      </c>
      <c r="C3894" s="3">
        <v>129</v>
      </c>
      <c r="D3894" s="3">
        <v>10</v>
      </c>
      <c r="E3894" s="3" t="s">
        <v>10</v>
      </c>
      <c r="F3894" s="4">
        <v>73</v>
      </c>
      <c r="G3894" s="4"/>
      <c r="H3894" s="4">
        <f t="shared" si="384"/>
        <v>73</v>
      </c>
    </row>
    <row r="3895" ht="14.25" spans="1:8">
      <c r="A3895" s="3" t="str">
        <f>"20304212911"</f>
        <v>20304212911</v>
      </c>
      <c r="B3895" s="3">
        <v>2</v>
      </c>
      <c r="C3895" s="3">
        <v>129</v>
      </c>
      <c r="D3895" s="3">
        <v>11</v>
      </c>
      <c r="E3895" s="3" t="s">
        <v>10</v>
      </c>
      <c r="F3895" s="4">
        <v>43</v>
      </c>
      <c r="G3895" s="4"/>
      <c r="H3895" s="4">
        <f t="shared" si="384"/>
        <v>43</v>
      </c>
    </row>
    <row r="3896" ht="14.25" spans="1:8">
      <c r="A3896" s="3" t="str">
        <f>"20304212912"</f>
        <v>20304212912</v>
      </c>
      <c r="B3896" s="3">
        <v>2</v>
      </c>
      <c r="C3896" s="3">
        <v>129</v>
      </c>
      <c r="D3896" s="3">
        <v>12</v>
      </c>
      <c r="E3896" s="3" t="s">
        <v>10</v>
      </c>
      <c r="F3896" s="4">
        <v>62</v>
      </c>
      <c r="G3896" s="4"/>
      <c r="H3896" s="4">
        <f t="shared" si="384"/>
        <v>62</v>
      </c>
    </row>
    <row r="3897" ht="14.25" spans="1:8">
      <c r="A3897" s="3" t="str">
        <f>"20304212913"</f>
        <v>20304212913</v>
      </c>
      <c r="B3897" s="3">
        <v>2</v>
      </c>
      <c r="C3897" s="3">
        <v>129</v>
      </c>
      <c r="D3897" s="3">
        <v>13</v>
      </c>
      <c r="E3897" s="3" t="s">
        <v>10</v>
      </c>
      <c r="F3897" s="4">
        <v>74.5</v>
      </c>
      <c r="G3897" s="4"/>
      <c r="H3897" s="4">
        <f t="shared" si="384"/>
        <v>74.5</v>
      </c>
    </row>
    <row r="3898" ht="14.25" spans="1:8">
      <c r="A3898" s="3" t="str">
        <f>"20304212914"</f>
        <v>20304212914</v>
      </c>
      <c r="B3898" s="3">
        <v>2</v>
      </c>
      <c r="C3898" s="3">
        <v>129</v>
      </c>
      <c r="D3898" s="3">
        <v>14</v>
      </c>
      <c r="E3898" s="3" t="s">
        <v>10</v>
      </c>
      <c r="F3898" s="4">
        <v>67</v>
      </c>
      <c r="G3898" s="4"/>
      <c r="H3898" s="4">
        <f t="shared" si="384"/>
        <v>67</v>
      </c>
    </row>
    <row r="3899" ht="14.25" spans="1:8">
      <c r="A3899" s="3" t="str">
        <f>"20401212915"</f>
        <v>20401212915</v>
      </c>
      <c r="B3899" s="3">
        <v>2</v>
      </c>
      <c r="C3899" s="3">
        <v>129</v>
      </c>
      <c r="D3899" s="3">
        <v>15</v>
      </c>
      <c r="E3899" s="3" t="s">
        <v>10</v>
      </c>
      <c r="F3899" s="4">
        <v>82.5</v>
      </c>
      <c r="G3899" s="4"/>
      <c r="H3899" s="4">
        <f t="shared" si="384"/>
        <v>82.5</v>
      </c>
    </row>
    <row r="3900" ht="14.25" spans="1:8">
      <c r="A3900" s="3" t="str">
        <f>"20401212916"</f>
        <v>20401212916</v>
      </c>
      <c r="B3900" s="3">
        <v>2</v>
      </c>
      <c r="C3900" s="3">
        <v>129</v>
      </c>
      <c r="D3900" s="3">
        <v>16</v>
      </c>
      <c r="E3900" s="3" t="s">
        <v>10</v>
      </c>
      <c r="F3900" s="4">
        <v>68.5</v>
      </c>
      <c r="G3900" s="4"/>
      <c r="H3900" s="4">
        <f t="shared" si="384"/>
        <v>68.5</v>
      </c>
    </row>
    <row r="3901" ht="14.25" spans="1:8">
      <c r="A3901" s="3" t="str">
        <f>"20401212917"</f>
        <v>20401212917</v>
      </c>
      <c r="B3901" s="3">
        <v>2</v>
      </c>
      <c r="C3901" s="3">
        <v>129</v>
      </c>
      <c r="D3901" s="3">
        <v>17</v>
      </c>
      <c r="E3901" s="3" t="s">
        <v>10</v>
      </c>
      <c r="F3901" s="4">
        <v>80.5</v>
      </c>
      <c r="G3901" s="4"/>
      <c r="H3901" s="4">
        <f t="shared" si="384"/>
        <v>80.5</v>
      </c>
    </row>
    <row r="3902" ht="14.25" spans="1:8">
      <c r="A3902" s="3" t="str">
        <f>"20401212918"</f>
        <v>20401212918</v>
      </c>
      <c r="B3902" s="3">
        <v>2</v>
      </c>
      <c r="C3902" s="3">
        <v>129</v>
      </c>
      <c r="D3902" s="3">
        <v>18</v>
      </c>
      <c r="E3902" s="3" t="s">
        <v>10</v>
      </c>
      <c r="F3902" s="4">
        <v>87</v>
      </c>
      <c r="G3902" s="4"/>
      <c r="H3902" s="4">
        <f t="shared" si="384"/>
        <v>87</v>
      </c>
    </row>
    <row r="3903" ht="14.25" spans="1:8">
      <c r="A3903" s="3" t="str">
        <f>"20401212919"</f>
        <v>20401212919</v>
      </c>
      <c r="B3903" s="3">
        <v>2</v>
      </c>
      <c r="C3903" s="3">
        <v>129</v>
      </c>
      <c r="D3903" s="3">
        <v>19</v>
      </c>
      <c r="E3903" s="3" t="s">
        <v>10</v>
      </c>
      <c r="F3903" s="4">
        <v>67.5</v>
      </c>
      <c r="G3903" s="4"/>
      <c r="H3903" s="4">
        <f t="shared" si="384"/>
        <v>67.5</v>
      </c>
    </row>
    <row r="3904" ht="14.25" spans="1:8">
      <c r="A3904" s="3" t="str">
        <f>"20401212920"</f>
        <v>20401212920</v>
      </c>
      <c r="B3904" s="3">
        <v>2</v>
      </c>
      <c r="C3904" s="3">
        <v>129</v>
      </c>
      <c r="D3904" s="3">
        <v>20</v>
      </c>
      <c r="E3904" s="3" t="s">
        <v>10</v>
      </c>
      <c r="F3904" s="4">
        <v>73.5</v>
      </c>
      <c r="G3904" s="4"/>
      <c r="H3904" s="4">
        <f t="shared" si="384"/>
        <v>73.5</v>
      </c>
    </row>
    <row r="3905" ht="14.25" spans="1:8">
      <c r="A3905" s="3" t="str">
        <f>"20401212921"</f>
        <v>20401212921</v>
      </c>
      <c r="B3905" s="3">
        <v>2</v>
      </c>
      <c r="C3905" s="3">
        <v>129</v>
      </c>
      <c r="D3905" s="3">
        <v>21</v>
      </c>
      <c r="E3905" s="3" t="s">
        <v>10</v>
      </c>
      <c r="F3905" s="3">
        <v>0</v>
      </c>
      <c r="G3905" s="4"/>
      <c r="H3905" s="3">
        <v>0</v>
      </c>
    </row>
    <row r="3906" ht="14.25" spans="1:8">
      <c r="A3906" s="3" t="str">
        <f>"20401212922"</f>
        <v>20401212922</v>
      </c>
      <c r="B3906" s="3">
        <v>2</v>
      </c>
      <c r="C3906" s="3">
        <v>129</v>
      </c>
      <c r="D3906" s="3">
        <v>22</v>
      </c>
      <c r="E3906" s="3" t="s">
        <v>10</v>
      </c>
      <c r="F3906" s="3">
        <v>0</v>
      </c>
      <c r="G3906" s="4"/>
      <c r="H3906" s="3">
        <v>0</v>
      </c>
    </row>
    <row r="3907" ht="14.25" spans="1:8">
      <c r="A3907" s="3" t="str">
        <f>"20401212923"</f>
        <v>20401212923</v>
      </c>
      <c r="B3907" s="3">
        <v>2</v>
      </c>
      <c r="C3907" s="3">
        <v>129</v>
      </c>
      <c r="D3907" s="3">
        <v>23</v>
      </c>
      <c r="E3907" s="3" t="s">
        <v>10</v>
      </c>
      <c r="F3907" s="3">
        <v>0</v>
      </c>
      <c r="G3907" s="4"/>
      <c r="H3907" s="3">
        <v>0</v>
      </c>
    </row>
    <row r="3908" ht="14.25" spans="1:8">
      <c r="A3908" s="3" t="str">
        <f>"20401212924"</f>
        <v>20401212924</v>
      </c>
      <c r="B3908" s="3">
        <v>2</v>
      </c>
      <c r="C3908" s="3">
        <v>129</v>
      </c>
      <c r="D3908" s="3">
        <v>24</v>
      </c>
      <c r="E3908" s="3" t="s">
        <v>10</v>
      </c>
      <c r="F3908" s="3">
        <v>0</v>
      </c>
      <c r="G3908" s="4"/>
      <c r="H3908" s="3">
        <v>0</v>
      </c>
    </row>
    <row r="3909" ht="14.25" spans="1:8">
      <c r="A3909" s="3" t="str">
        <f>"20401212925"</f>
        <v>20401212925</v>
      </c>
      <c r="B3909" s="3">
        <v>2</v>
      </c>
      <c r="C3909" s="3">
        <v>129</v>
      </c>
      <c r="D3909" s="3">
        <v>25</v>
      </c>
      <c r="E3909" s="3" t="s">
        <v>10</v>
      </c>
      <c r="F3909" s="4">
        <v>78</v>
      </c>
      <c r="G3909" s="4"/>
      <c r="H3909" s="4">
        <f t="shared" ref="H3909:H3914" si="385">F3909+G3909</f>
        <v>78</v>
      </c>
    </row>
    <row r="3910" ht="14.25" spans="1:8">
      <c r="A3910" s="3" t="str">
        <f>"20401212926"</f>
        <v>20401212926</v>
      </c>
      <c r="B3910" s="3">
        <v>2</v>
      </c>
      <c r="C3910" s="3">
        <v>129</v>
      </c>
      <c r="D3910" s="3">
        <v>26</v>
      </c>
      <c r="E3910" s="3" t="s">
        <v>10</v>
      </c>
      <c r="F3910" s="4">
        <v>69</v>
      </c>
      <c r="G3910" s="4"/>
      <c r="H3910" s="4">
        <f t="shared" si="385"/>
        <v>69</v>
      </c>
    </row>
    <row r="3911" ht="14.25" spans="1:8">
      <c r="A3911" s="3" t="str">
        <f>"20401212927"</f>
        <v>20401212927</v>
      </c>
      <c r="B3911" s="3">
        <v>2</v>
      </c>
      <c r="C3911" s="3">
        <v>129</v>
      </c>
      <c r="D3911" s="3">
        <v>27</v>
      </c>
      <c r="E3911" s="3" t="s">
        <v>10</v>
      </c>
      <c r="F3911" s="4">
        <v>70.5</v>
      </c>
      <c r="G3911" s="4"/>
      <c r="H3911" s="4">
        <f t="shared" si="385"/>
        <v>70.5</v>
      </c>
    </row>
    <row r="3912" ht="14.25" spans="1:8">
      <c r="A3912" s="3" t="str">
        <f>"20401212928"</f>
        <v>20401212928</v>
      </c>
      <c r="B3912" s="3">
        <v>2</v>
      </c>
      <c r="C3912" s="3">
        <v>129</v>
      </c>
      <c r="D3912" s="3">
        <v>28</v>
      </c>
      <c r="E3912" s="3" t="s">
        <v>10</v>
      </c>
      <c r="F3912" s="4">
        <v>57.5</v>
      </c>
      <c r="G3912" s="4"/>
      <c r="H3912" s="4">
        <f t="shared" si="385"/>
        <v>57.5</v>
      </c>
    </row>
    <row r="3913" ht="14.25" spans="1:8">
      <c r="A3913" s="3" t="str">
        <f>"20401212929"</f>
        <v>20401212929</v>
      </c>
      <c r="B3913" s="3">
        <v>2</v>
      </c>
      <c r="C3913" s="3">
        <v>129</v>
      </c>
      <c r="D3913" s="3">
        <v>29</v>
      </c>
      <c r="E3913" s="3" t="s">
        <v>10</v>
      </c>
      <c r="F3913" s="4">
        <v>69.5</v>
      </c>
      <c r="G3913" s="4"/>
      <c r="H3913" s="4">
        <f t="shared" si="385"/>
        <v>69.5</v>
      </c>
    </row>
    <row r="3914" ht="14.25" spans="1:8">
      <c r="A3914" s="3" t="str">
        <f>"20401212930"</f>
        <v>20401212930</v>
      </c>
      <c r="B3914" s="3">
        <v>2</v>
      </c>
      <c r="C3914" s="3">
        <v>129</v>
      </c>
      <c r="D3914" s="3">
        <v>30</v>
      </c>
      <c r="E3914" s="3" t="s">
        <v>10</v>
      </c>
      <c r="F3914" s="4">
        <v>71.5</v>
      </c>
      <c r="G3914" s="4"/>
      <c r="H3914" s="4">
        <f t="shared" si="385"/>
        <v>71.5</v>
      </c>
    </row>
    <row r="3915" ht="14.25" spans="1:8">
      <c r="A3915" s="3" t="str">
        <f>"20401213001"</f>
        <v>20401213001</v>
      </c>
      <c r="B3915" s="3">
        <v>2</v>
      </c>
      <c r="C3915" s="3">
        <v>130</v>
      </c>
      <c r="D3915" s="3">
        <v>1</v>
      </c>
      <c r="E3915" s="3" t="s">
        <v>10</v>
      </c>
      <c r="F3915" s="3">
        <v>0</v>
      </c>
      <c r="G3915" s="4"/>
      <c r="H3915" s="3">
        <v>0</v>
      </c>
    </row>
    <row r="3916" ht="14.25" spans="1:8">
      <c r="A3916" s="3" t="str">
        <f>"20401213002"</f>
        <v>20401213002</v>
      </c>
      <c r="B3916" s="3">
        <v>2</v>
      </c>
      <c r="C3916" s="3">
        <v>130</v>
      </c>
      <c r="D3916" s="3">
        <v>2</v>
      </c>
      <c r="E3916" s="3" t="s">
        <v>10</v>
      </c>
      <c r="F3916" s="4">
        <v>72.5</v>
      </c>
      <c r="G3916" s="4"/>
      <c r="H3916" s="4">
        <f t="shared" ref="H3916:H3921" si="386">F3916+G3916</f>
        <v>72.5</v>
      </c>
    </row>
    <row r="3917" ht="14.25" spans="1:8">
      <c r="A3917" s="3" t="str">
        <f>"20401213003"</f>
        <v>20401213003</v>
      </c>
      <c r="B3917" s="3">
        <v>2</v>
      </c>
      <c r="C3917" s="3">
        <v>130</v>
      </c>
      <c r="D3917" s="3">
        <v>3</v>
      </c>
      <c r="E3917" s="3" t="s">
        <v>10</v>
      </c>
      <c r="F3917" s="4">
        <v>54.5</v>
      </c>
      <c r="G3917" s="4"/>
      <c r="H3917" s="4">
        <f t="shared" si="386"/>
        <v>54.5</v>
      </c>
    </row>
    <row r="3918" ht="14.25" spans="1:8">
      <c r="A3918" s="3" t="str">
        <f>"20401213004"</f>
        <v>20401213004</v>
      </c>
      <c r="B3918" s="3">
        <v>2</v>
      </c>
      <c r="C3918" s="3">
        <v>130</v>
      </c>
      <c r="D3918" s="3">
        <v>4</v>
      </c>
      <c r="E3918" s="3" t="s">
        <v>10</v>
      </c>
      <c r="F3918" s="4">
        <v>50</v>
      </c>
      <c r="G3918" s="4"/>
      <c r="H3918" s="4">
        <f t="shared" si="386"/>
        <v>50</v>
      </c>
    </row>
    <row r="3919" ht="14.25" spans="1:8">
      <c r="A3919" s="3" t="str">
        <f>"20401213005"</f>
        <v>20401213005</v>
      </c>
      <c r="B3919" s="3">
        <v>2</v>
      </c>
      <c r="C3919" s="3">
        <v>130</v>
      </c>
      <c r="D3919" s="3">
        <v>5</v>
      </c>
      <c r="E3919" s="3" t="s">
        <v>10</v>
      </c>
      <c r="F3919" s="4">
        <v>65</v>
      </c>
      <c r="G3919" s="4"/>
      <c r="H3919" s="4">
        <f t="shared" si="386"/>
        <v>65</v>
      </c>
    </row>
    <row r="3920" ht="14.25" spans="1:8">
      <c r="A3920" s="3" t="str">
        <f>"20401213006"</f>
        <v>20401213006</v>
      </c>
      <c r="B3920" s="3">
        <v>2</v>
      </c>
      <c r="C3920" s="3">
        <v>130</v>
      </c>
      <c r="D3920" s="3">
        <v>6</v>
      </c>
      <c r="E3920" s="3" t="s">
        <v>10</v>
      </c>
      <c r="F3920" s="4">
        <v>76</v>
      </c>
      <c r="G3920" s="4"/>
      <c r="H3920" s="4">
        <f t="shared" si="386"/>
        <v>76</v>
      </c>
    </row>
    <row r="3921" ht="14.25" spans="1:8">
      <c r="A3921" s="3" t="str">
        <f>"20401213007"</f>
        <v>20401213007</v>
      </c>
      <c r="B3921" s="3">
        <v>2</v>
      </c>
      <c r="C3921" s="3">
        <v>130</v>
      </c>
      <c r="D3921" s="3">
        <v>7</v>
      </c>
      <c r="E3921" s="3" t="s">
        <v>10</v>
      </c>
      <c r="F3921" s="4">
        <v>82</v>
      </c>
      <c r="G3921" s="4"/>
      <c r="H3921" s="4">
        <f t="shared" si="386"/>
        <v>82</v>
      </c>
    </row>
    <row r="3922" ht="14.25" spans="1:8">
      <c r="A3922" s="3" t="str">
        <f>"20401213008"</f>
        <v>20401213008</v>
      </c>
      <c r="B3922" s="3">
        <v>2</v>
      </c>
      <c r="C3922" s="3">
        <v>130</v>
      </c>
      <c r="D3922" s="3">
        <v>8</v>
      </c>
      <c r="E3922" s="3" t="s">
        <v>10</v>
      </c>
      <c r="F3922" s="3">
        <v>0</v>
      </c>
      <c r="G3922" s="4"/>
      <c r="H3922" s="3">
        <v>0</v>
      </c>
    </row>
    <row r="3923" ht="14.25" spans="1:8">
      <c r="A3923" s="3" t="str">
        <f>"20401213009"</f>
        <v>20401213009</v>
      </c>
      <c r="B3923" s="3">
        <v>2</v>
      </c>
      <c r="C3923" s="3">
        <v>130</v>
      </c>
      <c r="D3923" s="3">
        <v>9</v>
      </c>
      <c r="E3923" s="3" t="s">
        <v>10</v>
      </c>
      <c r="F3923" s="4">
        <v>69.5</v>
      </c>
      <c r="G3923" s="4"/>
      <c r="H3923" s="4">
        <f t="shared" ref="H3923:H3929" si="387">F3923+G3923</f>
        <v>69.5</v>
      </c>
    </row>
    <row r="3924" ht="14.25" spans="1:8">
      <c r="A3924" s="3" t="str">
        <f>"20401213010"</f>
        <v>20401213010</v>
      </c>
      <c r="B3924" s="3">
        <v>2</v>
      </c>
      <c r="C3924" s="3">
        <v>130</v>
      </c>
      <c r="D3924" s="3">
        <v>10</v>
      </c>
      <c r="E3924" s="3" t="s">
        <v>10</v>
      </c>
      <c r="F3924" s="4">
        <v>63.5</v>
      </c>
      <c r="G3924" s="4"/>
      <c r="H3924" s="4">
        <f t="shared" si="387"/>
        <v>63.5</v>
      </c>
    </row>
    <row r="3925" ht="14.25" spans="1:8">
      <c r="A3925" s="3" t="str">
        <f>"20401213011"</f>
        <v>20401213011</v>
      </c>
      <c r="B3925" s="3">
        <v>2</v>
      </c>
      <c r="C3925" s="3">
        <v>130</v>
      </c>
      <c r="D3925" s="3">
        <v>11</v>
      </c>
      <c r="E3925" s="3" t="s">
        <v>10</v>
      </c>
      <c r="F3925" s="3">
        <v>0</v>
      </c>
      <c r="G3925" s="4"/>
      <c r="H3925" s="3">
        <v>0</v>
      </c>
    </row>
    <row r="3926" ht="14.25" spans="1:8">
      <c r="A3926" s="3" t="str">
        <f>"20401213012"</f>
        <v>20401213012</v>
      </c>
      <c r="B3926" s="3">
        <v>2</v>
      </c>
      <c r="C3926" s="3">
        <v>130</v>
      </c>
      <c r="D3926" s="3">
        <v>12</v>
      </c>
      <c r="E3926" s="3" t="s">
        <v>10</v>
      </c>
      <c r="F3926" s="4">
        <v>86</v>
      </c>
      <c r="G3926" s="4"/>
      <c r="H3926" s="4">
        <f t="shared" si="387"/>
        <v>86</v>
      </c>
    </row>
    <row r="3927" ht="14.25" spans="1:8">
      <c r="A3927" s="3" t="str">
        <f>"20401213013"</f>
        <v>20401213013</v>
      </c>
      <c r="B3927" s="3">
        <v>2</v>
      </c>
      <c r="C3927" s="3">
        <v>130</v>
      </c>
      <c r="D3927" s="3">
        <v>13</v>
      </c>
      <c r="E3927" s="3" t="s">
        <v>10</v>
      </c>
      <c r="F3927" s="4">
        <v>68.5</v>
      </c>
      <c r="G3927" s="4"/>
      <c r="H3927" s="4">
        <f t="shared" si="387"/>
        <v>68.5</v>
      </c>
    </row>
    <row r="3928" ht="14.25" spans="1:8">
      <c r="A3928" s="3" t="str">
        <f>"20401213014"</f>
        <v>20401213014</v>
      </c>
      <c r="B3928" s="3">
        <v>2</v>
      </c>
      <c r="C3928" s="3">
        <v>130</v>
      </c>
      <c r="D3928" s="3">
        <v>14</v>
      </c>
      <c r="E3928" s="3" t="s">
        <v>10</v>
      </c>
      <c r="F3928" s="4">
        <v>73.5</v>
      </c>
      <c r="G3928" s="4"/>
      <c r="H3928" s="4">
        <f t="shared" si="387"/>
        <v>73.5</v>
      </c>
    </row>
    <row r="3929" ht="14.25" spans="1:8">
      <c r="A3929" s="3" t="str">
        <f>"20401213015"</f>
        <v>20401213015</v>
      </c>
      <c r="B3929" s="3">
        <v>2</v>
      </c>
      <c r="C3929" s="3">
        <v>130</v>
      </c>
      <c r="D3929" s="3">
        <v>15</v>
      </c>
      <c r="E3929" s="3" t="s">
        <v>10</v>
      </c>
      <c r="F3929" s="4">
        <v>86.5</v>
      </c>
      <c r="G3929" s="4"/>
      <c r="H3929" s="4">
        <f t="shared" si="387"/>
        <v>86.5</v>
      </c>
    </row>
    <row r="3930" ht="14.25" spans="1:8">
      <c r="A3930" s="3" t="str">
        <f>"20401213016"</f>
        <v>20401213016</v>
      </c>
      <c r="B3930" s="3">
        <v>2</v>
      </c>
      <c r="C3930" s="3">
        <v>130</v>
      </c>
      <c r="D3930" s="3">
        <v>16</v>
      </c>
      <c r="E3930" s="3" t="s">
        <v>10</v>
      </c>
      <c r="F3930" s="3">
        <v>0</v>
      </c>
      <c r="G3930" s="4"/>
      <c r="H3930" s="3">
        <v>0</v>
      </c>
    </row>
    <row r="3931" ht="14.25" spans="1:8">
      <c r="A3931" s="3" t="str">
        <f>"20401213017"</f>
        <v>20401213017</v>
      </c>
      <c r="B3931" s="3">
        <v>2</v>
      </c>
      <c r="C3931" s="3">
        <v>130</v>
      </c>
      <c r="D3931" s="3">
        <v>17</v>
      </c>
      <c r="E3931" s="3" t="s">
        <v>10</v>
      </c>
      <c r="F3931" s="4">
        <v>81.5</v>
      </c>
      <c r="G3931" s="4"/>
      <c r="H3931" s="4">
        <f t="shared" ref="H3931:H3938" si="388">F3931+G3931</f>
        <v>81.5</v>
      </c>
    </row>
    <row r="3932" ht="14.25" spans="1:8">
      <c r="A3932" s="3" t="str">
        <f>"20401213018"</f>
        <v>20401213018</v>
      </c>
      <c r="B3932" s="3">
        <v>2</v>
      </c>
      <c r="C3932" s="3">
        <v>130</v>
      </c>
      <c r="D3932" s="3">
        <v>18</v>
      </c>
      <c r="E3932" s="3" t="s">
        <v>10</v>
      </c>
      <c r="F3932" s="4">
        <v>80</v>
      </c>
      <c r="G3932" s="4"/>
      <c r="H3932" s="4">
        <f t="shared" si="388"/>
        <v>80</v>
      </c>
    </row>
    <row r="3933" ht="14.25" spans="1:8">
      <c r="A3933" s="3" t="str">
        <f>"20401213019"</f>
        <v>20401213019</v>
      </c>
      <c r="B3933" s="3">
        <v>2</v>
      </c>
      <c r="C3933" s="3">
        <v>130</v>
      </c>
      <c r="D3933" s="3">
        <v>19</v>
      </c>
      <c r="E3933" s="3" t="s">
        <v>10</v>
      </c>
      <c r="F3933" s="3">
        <v>0</v>
      </c>
      <c r="G3933" s="4"/>
      <c r="H3933" s="3">
        <v>0</v>
      </c>
    </row>
    <row r="3934" ht="14.25" spans="1:8">
      <c r="A3934" s="3" t="str">
        <f>"20401213020"</f>
        <v>20401213020</v>
      </c>
      <c r="B3934" s="3">
        <v>2</v>
      </c>
      <c r="C3934" s="3">
        <v>130</v>
      </c>
      <c r="D3934" s="3">
        <v>20</v>
      </c>
      <c r="E3934" s="3" t="s">
        <v>10</v>
      </c>
      <c r="F3934" s="4">
        <v>78.5</v>
      </c>
      <c r="G3934" s="4"/>
      <c r="H3934" s="4">
        <f t="shared" si="388"/>
        <v>78.5</v>
      </c>
    </row>
    <row r="3935" ht="14.25" spans="1:8">
      <c r="A3935" s="3" t="str">
        <f>"20401213021"</f>
        <v>20401213021</v>
      </c>
      <c r="B3935" s="3">
        <v>2</v>
      </c>
      <c r="C3935" s="3">
        <v>130</v>
      </c>
      <c r="D3935" s="3">
        <v>21</v>
      </c>
      <c r="E3935" s="3" t="s">
        <v>10</v>
      </c>
      <c r="F3935" s="4">
        <v>74</v>
      </c>
      <c r="G3935" s="4"/>
      <c r="H3935" s="4">
        <f t="shared" si="388"/>
        <v>74</v>
      </c>
    </row>
    <row r="3936" ht="14.25" spans="1:8">
      <c r="A3936" s="3" t="str">
        <f>"20401213022"</f>
        <v>20401213022</v>
      </c>
      <c r="B3936" s="3">
        <v>2</v>
      </c>
      <c r="C3936" s="3">
        <v>130</v>
      </c>
      <c r="D3936" s="3">
        <v>22</v>
      </c>
      <c r="E3936" s="3" t="s">
        <v>10</v>
      </c>
      <c r="F3936" s="4">
        <v>70</v>
      </c>
      <c r="G3936" s="4"/>
      <c r="H3936" s="4">
        <f t="shared" si="388"/>
        <v>70</v>
      </c>
    </row>
    <row r="3937" ht="14.25" spans="1:8">
      <c r="A3937" s="3" t="str">
        <f>"20401213023"</f>
        <v>20401213023</v>
      </c>
      <c r="B3937" s="3">
        <v>2</v>
      </c>
      <c r="C3937" s="3">
        <v>130</v>
      </c>
      <c r="D3937" s="3">
        <v>23</v>
      </c>
      <c r="E3937" s="3" t="s">
        <v>10</v>
      </c>
      <c r="F3937" s="4">
        <v>57.5</v>
      </c>
      <c r="G3937" s="4"/>
      <c r="H3937" s="4">
        <f t="shared" si="388"/>
        <v>57.5</v>
      </c>
    </row>
    <row r="3938" ht="14.25" spans="1:8">
      <c r="A3938" s="3" t="str">
        <f>"20401213024"</f>
        <v>20401213024</v>
      </c>
      <c r="B3938" s="3">
        <v>2</v>
      </c>
      <c r="C3938" s="3">
        <v>130</v>
      </c>
      <c r="D3938" s="3">
        <v>24</v>
      </c>
      <c r="E3938" s="3" t="s">
        <v>10</v>
      </c>
      <c r="F3938" s="4">
        <v>58.5</v>
      </c>
      <c r="G3938" s="4"/>
      <c r="H3938" s="4">
        <f t="shared" si="388"/>
        <v>58.5</v>
      </c>
    </row>
    <row r="3939" ht="14.25" spans="1:8">
      <c r="A3939" s="3" t="str">
        <f>"20401213025"</f>
        <v>20401213025</v>
      </c>
      <c r="B3939" s="3">
        <v>2</v>
      </c>
      <c r="C3939" s="3">
        <v>130</v>
      </c>
      <c r="D3939" s="3">
        <v>25</v>
      </c>
      <c r="E3939" s="3" t="s">
        <v>10</v>
      </c>
      <c r="F3939" s="3">
        <v>0</v>
      </c>
      <c r="G3939" s="4"/>
      <c r="H3939" s="3">
        <v>0</v>
      </c>
    </row>
    <row r="3940" ht="14.25" spans="1:8">
      <c r="A3940" s="3" t="str">
        <f>"20402213026"</f>
        <v>20402213026</v>
      </c>
      <c r="B3940" s="3">
        <v>2</v>
      </c>
      <c r="C3940" s="3">
        <v>130</v>
      </c>
      <c r="D3940" s="3">
        <v>26</v>
      </c>
      <c r="E3940" s="3" t="s">
        <v>10</v>
      </c>
      <c r="F3940" s="4">
        <v>80.5</v>
      </c>
      <c r="G3940" s="4"/>
      <c r="H3940" s="4">
        <f t="shared" ref="H3940:H3944" si="389">F3940+G3940</f>
        <v>80.5</v>
      </c>
    </row>
    <row r="3941" ht="14.25" spans="1:8">
      <c r="A3941" s="3" t="str">
        <f>"20402213027"</f>
        <v>20402213027</v>
      </c>
      <c r="B3941" s="3">
        <v>2</v>
      </c>
      <c r="C3941" s="3">
        <v>130</v>
      </c>
      <c r="D3941" s="3">
        <v>27</v>
      </c>
      <c r="E3941" s="3" t="s">
        <v>10</v>
      </c>
      <c r="F3941" s="3">
        <v>0</v>
      </c>
      <c r="G3941" s="4"/>
      <c r="H3941" s="3">
        <v>0</v>
      </c>
    </row>
    <row r="3942" ht="14.25" spans="1:8">
      <c r="A3942" s="3" t="str">
        <f>"20402213028"</f>
        <v>20402213028</v>
      </c>
      <c r="B3942" s="3">
        <v>2</v>
      </c>
      <c r="C3942" s="3">
        <v>130</v>
      </c>
      <c r="D3942" s="3">
        <v>28</v>
      </c>
      <c r="E3942" s="3" t="s">
        <v>10</v>
      </c>
      <c r="F3942" s="3">
        <v>0</v>
      </c>
      <c r="G3942" s="4"/>
      <c r="H3942" s="3">
        <v>0</v>
      </c>
    </row>
    <row r="3943" ht="14.25" spans="1:8">
      <c r="A3943" s="3" t="str">
        <f>"20402213029"</f>
        <v>20402213029</v>
      </c>
      <c r="B3943" s="3">
        <v>2</v>
      </c>
      <c r="C3943" s="3">
        <v>130</v>
      </c>
      <c r="D3943" s="3">
        <v>29</v>
      </c>
      <c r="E3943" s="3" t="s">
        <v>10</v>
      </c>
      <c r="F3943" s="4">
        <v>82.5</v>
      </c>
      <c r="G3943" s="4"/>
      <c r="H3943" s="4">
        <f t="shared" si="389"/>
        <v>82.5</v>
      </c>
    </row>
    <row r="3944" ht="14.25" spans="1:8">
      <c r="A3944" s="3" t="str">
        <f>"20402213030"</f>
        <v>20402213030</v>
      </c>
      <c r="B3944" s="3">
        <v>2</v>
      </c>
      <c r="C3944" s="3">
        <v>130</v>
      </c>
      <c r="D3944" s="3">
        <v>30</v>
      </c>
      <c r="E3944" s="3" t="s">
        <v>10</v>
      </c>
      <c r="F3944" s="4">
        <v>51.5</v>
      </c>
      <c r="G3944" s="4"/>
      <c r="H3944" s="4">
        <f t="shared" si="389"/>
        <v>51.5</v>
      </c>
    </row>
    <row r="3945" ht="14.25" spans="1:8">
      <c r="A3945" s="3" t="str">
        <f>"20501313101"</f>
        <v>20501313101</v>
      </c>
      <c r="B3945" s="3">
        <v>3</v>
      </c>
      <c r="C3945" s="3">
        <v>131</v>
      </c>
      <c r="D3945" s="3">
        <v>1</v>
      </c>
      <c r="E3945" s="3" t="s">
        <v>11</v>
      </c>
      <c r="F3945" s="3">
        <v>0</v>
      </c>
      <c r="G3945" s="4"/>
      <c r="H3945" s="3">
        <v>0</v>
      </c>
    </row>
    <row r="3946" ht="14.25" spans="1:8">
      <c r="A3946" s="3" t="str">
        <f>"20501313102"</f>
        <v>20501313102</v>
      </c>
      <c r="B3946" s="3">
        <v>3</v>
      </c>
      <c r="C3946" s="3">
        <v>131</v>
      </c>
      <c r="D3946" s="3">
        <v>2</v>
      </c>
      <c r="E3946" s="3" t="s">
        <v>11</v>
      </c>
      <c r="F3946" s="3">
        <v>0</v>
      </c>
      <c r="G3946" s="4"/>
      <c r="H3946" s="3">
        <v>0</v>
      </c>
    </row>
    <row r="3947" ht="14.25" spans="1:8">
      <c r="A3947" s="3" t="str">
        <f>"20501313103"</f>
        <v>20501313103</v>
      </c>
      <c r="B3947" s="3">
        <v>3</v>
      </c>
      <c r="C3947" s="3">
        <v>131</v>
      </c>
      <c r="D3947" s="3">
        <v>3</v>
      </c>
      <c r="E3947" s="3" t="s">
        <v>11</v>
      </c>
      <c r="F3947" s="4">
        <v>83</v>
      </c>
      <c r="G3947" s="4"/>
      <c r="H3947" s="4">
        <f t="shared" ref="H3947:H3950" si="390">F3947+G3947</f>
        <v>83</v>
      </c>
    </row>
    <row r="3948" ht="14.25" spans="1:8">
      <c r="A3948" s="3" t="str">
        <f>"20501313104"</f>
        <v>20501313104</v>
      </c>
      <c r="B3948" s="3">
        <v>3</v>
      </c>
      <c r="C3948" s="3">
        <v>131</v>
      </c>
      <c r="D3948" s="3">
        <v>4</v>
      </c>
      <c r="E3948" s="3" t="s">
        <v>11</v>
      </c>
      <c r="F3948" s="4">
        <v>85</v>
      </c>
      <c r="G3948" s="4"/>
      <c r="H3948" s="4">
        <f t="shared" si="390"/>
        <v>85</v>
      </c>
    </row>
    <row r="3949" ht="14.25" spans="1:8">
      <c r="A3949" s="3" t="str">
        <f>"20501313105"</f>
        <v>20501313105</v>
      </c>
      <c r="B3949" s="3">
        <v>3</v>
      </c>
      <c r="C3949" s="3">
        <v>131</v>
      </c>
      <c r="D3949" s="3">
        <v>5</v>
      </c>
      <c r="E3949" s="3" t="s">
        <v>11</v>
      </c>
      <c r="F3949" s="3">
        <v>0</v>
      </c>
      <c r="G3949" s="4"/>
      <c r="H3949" s="3">
        <v>0</v>
      </c>
    </row>
    <row r="3950" ht="14.25" spans="1:8">
      <c r="A3950" s="3" t="str">
        <f>"20501313106"</f>
        <v>20501313106</v>
      </c>
      <c r="B3950" s="3">
        <v>3</v>
      </c>
      <c r="C3950" s="3">
        <v>131</v>
      </c>
      <c r="D3950" s="3">
        <v>6</v>
      </c>
      <c r="E3950" s="3" t="s">
        <v>11</v>
      </c>
      <c r="F3950" s="4">
        <v>77</v>
      </c>
      <c r="G3950" s="4"/>
      <c r="H3950" s="4">
        <f t="shared" si="390"/>
        <v>77</v>
      </c>
    </row>
    <row r="3951" ht="14.25" spans="1:8">
      <c r="A3951" s="3" t="str">
        <f>"20501313107"</f>
        <v>20501313107</v>
      </c>
      <c r="B3951" s="3">
        <v>3</v>
      </c>
      <c r="C3951" s="3">
        <v>131</v>
      </c>
      <c r="D3951" s="3">
        <v>7</v>
      </c>
      <c r="E3951" s="3" t="s">
        <v>11</v>
      </c>
      <c r="F3951" s="3">
        <v>0</v>
      </c>
      <c r="G3951" s="4"/>
      <c r="H3951" s="3">
        <v>0</v>
      </c>
    </row>
    <row r="3952" ht="14.25" spans="1:8">
      <c r="A3952" s="3" t="str">
        <f>"20501313108"</f>
        <v>20501313108</v>
      </c>
      <c r="B3952" s="3">
        <v>3</v>
      </c>
      <c r="C3952" s="3">
        <v>131</v>
      </c>
      <c r="D3952" s="3">
        <v>8</v>
      </c>
      <c r="E3952" s="3" t="s">
        <v>11</v>
      </c>
      <c r="F3952" s="4">
        <v>58.5</v>
      </c>
      <c r="G3952" s="4"/>
      <c r="H3952" s="4">
        <f t="shared" ref="H3952:H3958" si="391">F3952+G3952</f>
        <v>58.5</v>
      </c>
    </row>
    <row r="3953" ht="14.25" spans="1:8">
      <c r="A3953" s="3" t="str">
        <f>"20501313109"</f>
        <v>20501313109</v>
      </c>
      <c r="B3953" s="3">
        <v>3</v>
      </c>
      <c r="C3953" s="3">
        <v>131</v>
      </c>
      <c r="D3953" s="3">
        <v>9</v>
      </c>
      <c r="E3953" s="3" t="s">
        <v>11</v>
      </c>
      <c r="F3953" s="4">
        <v>78</v>
      </c>
      <c r="G3953" s="4"/>
      <c r="H3953" s="4">
        <f t="shared" si="391"/>
        <v>78</v>
      </c>
    </row>
    <row r="3954" ht="14.25" spans="1:8">
      <c r="A3954" s="3" t="str">
        <f>"20501313110"</f>
        <v>20501313110</v>
      </c>
      <c r="B3954" s="3">
        <v>3</v>
      </c>
      <c r="C3954" s="3">
        <v>131</v>
      </c>
      <c r="D3954" s="3">
        <v>10</v>
      </c>
      <c r="E3954" s="3" t="s">
        <v>11</v>
      </c>
      <c r="F3954" s="4">
        <v>83.5</v>
      </c>
      <c r="G3954" s="4"/>
      <c r="H3954" s="4">
        <f t="shared" si="391"/>
        <v>83.5</v>
      </c>
    </row>
    <row r="3955" ht="14.25" spans="1:8">
      <c r="A3955" s="3" t="str">
        <f>"20501313111"</f>
        <v>20501313111</v>
      </c>
      <c r="B3955" s="3">
        <v>3</v>
      </c>
      <c r="C3955" s="3">
        <v>131</v>
      </c>
      <c r="D3955" s="3">
        <v>11</v>
      </c>
      <c r="E3955" s="3" t="s">
        <v>11</v>
      </c>
      <c r="F3955" s="4">
        <v>75</v>
      </c>
      <c r="G3955" s="4"/>
      <c r="H3955" s="4">
        <f t="shared" si="391"/>
        <v>75</v>
      </c>
    </row>
    <row r="3956" ht="14.25" spans="1:8">
      <c r="A3956" s="3" t="str">
        <f>"20501313112"</f>
        <v>20501313112</v>
      </c>
      <c r="B3956" s="3">
        <v>3</v>
      </c>
      <c r="C3956" s="3">
        <v>131</v>
      </c>
      <c r="D3956" s="3">
        <v>12</v>
      </c>
      <c r="E3956" s="3" t="s">
        <v>11</v>
      </c>
      <c r="F3956" s="4">
        <v>67.5</v>
      </c>
      <c r="G3956" s="4"/>
      <c r="H3956" s="4">
        <f t="shared" si="391"/>
        <v>67.5</v>
      </c>
    </row>
    <row r="3957" ht="14.25" spans="1:8">
      <c r="A3957" s="3" t="str">
        <f>"20501313113"</f>
        <v>20501313113</v>
      </c>
      <c r="B3957" s="3">
        <v>3</v>
      </c>
      <c r="C3957" s="3">
        <v>131</v>
      </c>
      <c r="D3957" s="3">
        <v>13</v>
      </c>
      <c r="E3957" s="3" t="s">
        <v>11</v>
      </c>
      <c r="F3957" s="4">
        <v>79</v>
      </c>
      <c r="G3957" s="4"/>
      <c r="H3957" s="4">
        <f t="shared" si="391"/>
        <v>79</v>
      </c>
    </row>
    <row r="3958" ht="14.25" spans="1:8">
      <c r="A3958" s="3" t="str">
        <f>"20501313114"</f>
        <v>20501313114</v>
      </c>
      <c r="B3958" s="3">
        <v>3</v>
      </c>
      <c r="C3958" s="3">
        <v>131</v>
      </c>
      <c r="D3958" s="3">
        <v>14</v>
      </c>
      <c r="E3958" s="3" t="s">
        <v>11</v>
      </c>
      <c r="F3958" s="4">
        <v>72</v>
      </c>
      <c r="G3958" s="4"/>
      <c r="H3958" s="4">
        <f t="shared" si="391"/>
        <v>72</v>
      </c>
    </row>
    <row r="3959" ht="14.25" spans="1:8">
      <c r="A3959" s="3" t="str">
        <f>"20501313115"</f>
        <v>20501313115</v>
      </c>
      <c r="B3959" s="3">
        <v>3</v>
      </c>
      <c r="C3959" s="3">
        <v>131</v>
      </c>
      <c r="D3959" s="3">
        <v>15</v>
      </c>
      <c r="E3959" s="3" t="s">
        <v>11</v>
      </c>
      <c r="F3959" s="3">
        <v>0</v>
      </c>
      <c r="G3959" s="4"/>
      <c r="H3959" s="3">
        <v>0</v>
      </c>
    </row>
    <row r="3960" ht="14.25" spans="1:8">
      <c r="A3960" s="3" t="str">
        <f>"20501313116"</f>
        <v>20501313116</v>
      </c>
      <c r="B3960" s="3">
        <v>3</v>
      </c>
      <c r="C3960" s="3">
        <v>131</v>
      </c>
      <c r="D3960" s="3">
        <v>16</v>
      </c>
      <c r="E3960" s="3" t="s">
        <v>11</v>
      </c>
      <c r="F3960" s="4">
        <v>62.5</v>
      </c>
      <c r="G3960" s="4"/>
      <c r="H3960" s="4">
        <f t="shared" ref="H3960:H3963" si="392">F3960+G3960</f>
        <v>62.5</v>
      </c>
    </row>
    <row r="3961" ht="14.25" spans="1:8">
      <c r="A3961" s="3" t="str">
        <f>"20501313117"</f>
        <v>20501313117</v>
      </c>
      <c r="B3961" s="3">
        <v>3</v>
      </c>
      <c r="C3961" s="3">
        <v>131</v>
      </c>
      <c r="D3961" s="3">
        <v>17</v>
      </c>
      <c r="E3961" s="3" t="s">
        <v>11</v>
      </c>
      <c r="F3961" s="3">
        <v>0</v>
      </c>
      <c r="G3961" s="4"/>
      <c r="H3961" s="3">
        <v>0</v>
      </c>
    </row>
    <row r="3962" ht="14.25" spans="1:8">
      <c r="A3962" s="3" t="str">
        <f>"20501313118"</f>
        <v>20501313118</v>
      </c>
      <c r="B3962" s="3">
        <v>3</v>
      </c>
      <c r="C3962" s="3">
        <v>131</v>
      </c>
      <c r="D3962" s="3">
        <v>18</v>
      </c>
      <c r="E3962" s="3" t="s">
        <v>11</v>
      </c>
      <c r="F3962" s="4">
        <v>69.5</v>
      </c>
      <c r="G3962" s="4"/>
      <c r="H3962" s="4">
        <f t="shared" si="392"/>
        <v>69.5</v>
      </c>
    </row>
    <row r="3963" ht="14.25" spans="1:8">
      <c r="A3963" s="3" t="str">
        <f>"20501313119"</f>
        <v>20501313119</v>
      </c>
      <c r="B3963" s="3">
        <v>3</v>
      </c>
      <c r="C3963" s="3">
        <v>131</v>
      </c>
      <c r="D3963" s="3">
        <v>19</v>
      </c>
      <c r="E3963" s="3" t="s">
        <v>11</v>
      </c>
      <c r="F3963" s="4">
        <v>77.5</v>
      </c>
      <c r="G3963" s="4"/>
      <c r="H3963" s="4">
        <f t="shared" si="392"/>
        <v>77.5</v>
      </c>
    </row>
    <row r="3964" ht="14.25" spans="1:8">
      <c r="A3964" s="3" t="str">
        <f>"20501313120"</f>
        <v>20501313120</v>
      </c>
      <c r="B3964" s="3">
        <v>3</v>
      </c>
      <c r="C3964" s="3">
        <v>131</v>
      </c>
      <c r="D3964" s="3">
        <v>20</v>
      </c>
      <c r="E3964" s="3" t="s">
        <v>11</v>
      </c>
      <c r="F3964" s="3">
        <v>0</v>
      </c>
      <c r="G3964" s="4"/>
      <c r="H3964" s="3">
        <v>0</v>
      </c>
    </row>
    <row r="3965" ht="14.25" spans="1:8">
      <c r="A3965" s="3" t="str">
        <f>"20501313121"</f>
        <v>20501313121</v>
      </c>
      <c r="B3965" s="3">
        <v>3</v>
      </c>
      <c r="C3965" s="3">
        <v>131</v>
      </c>
      <c r="D3965" s="3">
        <v>21</v>
      </c>
      <c r="E3965" s="3" t="s">
        <v>11</v>
      </c>
      <c r="F3965" s="4">
        <v>55</v>
      </c>
      <c r="G3965" s="4"/>
      <c r="H3965" s="4">
        <f t="shared" ref="H3965:H3976" si="393">F3965+G3965</f>
        <v>55</v>
      </c>
    </row>
    <row r="3966" ht="14.25" spans="1:8">
      <c r="A3966" s="3" t="str">
        <f>"20501313122"</f>
        <v>20501313122</v>
      </c>
      <c r="B3966" s="3">
        <v>3</v>
      </c>
      <c r="C3966" s="3">
        <v>131</v>
      </c>
      <c r="D3966" s="3">
        <v>22</v>
      </c>
      <c r="E3966" s="3" t="s">
        <v>11</v>
      </c>
      <c r="F3966" s="4">
        <v>79</v>
      </c>
      <c r="G3966" s="4"/>
      <c r="H3966" s="4">
        <f t="shared" si="393"/>
        <v>79</v>
      </c>
    </row>
    <row r="3967" ht="14.25" spans="1:8">
      <c r="A3967" s="3" t="str">
        <f>"20501313123"</f>
        <v>20501313123</v>
      </c>
      <c r="B3967" s="3">
        <v>3</v>
      </c>
      <c r="C3967" s="3">
        <v>131</v>
      </c>
      <c r="D3967" s="3">
        <v>23</v>
      </c>
      <c r="E3967" s="3" t="s">
        <v>11</v>
      </c>
      <c r="F3967" s="4">
        <v>78.5</v>
      </c>
      <c r="G3967" s="4"/>
      <c r="H3967" s="4">
        <f t="shared" si="393"/>
        <v>78.5</v>
      </c>
    </row>
    <row r="3968" ht="14.25" spans="1:8">
      <c r="A3968" s="3" t="str">
        <f>"20501313124"</f>
        <v>20501313124</v>
      </c>
      <c r="B3968" s="3">
        <v>3</v>
      </c>
      <c r="C3968" s="3">
        <v>131</v>
      </c>
      <c r="D3968" s="3">
        <v>24</v>
      </c>
      <c r="E3968" s="3" t="s">
        <v>11</v>
      </c>
      <c r="F3968" s="4">
        <v>52.5</v>
      </c>
      <c r="G3968" s="4"/>
      <c r="H3968" s="4">
        <f t="shared" si="393"/>
        <v>52.5</v>
      </c>
    </row>
    <row r="3969" ht="14.25" spans="1:8">
      <c r="A3969" s="3" t="str">
        <f>"20501313125"</f>
        <v>20501313125</v>
      </c>
      <c r="B3969" s="3">
        <v>3</v>
      </c>
      <c r="C3969" s="3">
        <v>131</v>
      </c>
      <c r="D3969" s="3">
        <v>25</v>
      </c>
      <c r="E3969" s="3" t="s">
        <v>11</v>
      </c>
      <c r="F3969" s="4">
        <v>73</v>
      </c>
      <c r="G3969" s="4"/>
      <c r="H3969" s="4">
        <f t="shared" si="393"/>
        <v>73</v>
      </c>
    </row>
    <row r="3970" ht="14.25" spans="1:8">
      <c r="A3970" s="3" t="str">
        <f>"20501313126"</f>
        <v>20501313126</v>
      </c>
      <c r="B3970" s="3">
        <v>3</v>
      </c>
      <c r="C3970" s="3">
        <v>131</v>
      </c>
      <c r="D3970" s="3">
        <v>26</v>
      </c>
      <c r="E3970" s="3" t="s">
        <v>11</v>
      </c>
      <c r="F3970" s="4">
        <v>82</v>
      </c>
      <c r="G3970" s="4"/>
      <c r="H3970" s="4">
        <f t="shared" si="393"/>
        <v>82</v>
      </c>
    </row>
    <row r="3971" ht="14.25" spans="1:8">
      <c r="A3971" s="3" t="str">
        <f>"20501313127"</f>
        <v>20501313127</v>
      </c>
      <c r="B3971" s="3">
        <v>3</v>
      </c>
      <c r="C3971" s="3">
        <v>131</v>
      </c>
      <c r="D3971" s="3">
        <v>27</v>
      </c>
      <c r="E3971" s="3" t="s">
        <v>11</v>
      </c>
      <c r="F3971" s="4">
        <v>85</v>
      </c>
      <c r="G3971" s="4"/>
      <c r="H3971" s="4">
        <f t="shared" si="393"/>
        <v>85</v>
      </c>
    </row>
    <row r="3972" ht="14.25" spans="1:8">
      <c r="A3972" s="3" t="str">
        <f>"20501313128"</f>
        <v>20501313128</v>
      </c>
      <c r="B3972" s="3">
        <v>3</v>
      </c>
      <c r="C3972" s="3">
        <v>131</v>
      </c>
      <c r="D3972" s="3">
        <v>28</v>
      </c>
      <c r="E3972" s="3" t="s">
        <v>11</v>
      </c>
      <c r="F3972" s="4">
        <v>79.5</v>
      </c>
      <c r="G3972" s="4"/>
      <c r="H3972" s="4">
        <f t="shared" si="393"/>
        <v>79.5</v>
      </c>
    </row>
    <row r="3973" ht="14.25" spans="1:8">
      <c r="A3973" s="3" t="str">
        <f>"20501313129"</f>
        <v>20501313129</v>
      </c>
      <c r="B3973" s="3">
        <v>3</v>
      </c>
      <c r="C3973" s="3">
        <v>131</v>
      </c>
      <c r="D3973" s="3">
        <v>29</v>
      </c>
      <c r="E3973" s="3" t="s">
        <v>11</v>
      </c>
      <c r="F3973" s="4">
        <v>78.5</v>
      </c>
      <c r="G3973" s="4"/>
      <c r="H3973" s="4">
        <f t="shared" si="393"/>
        <v>78.5</v>
      </c>
    </row>
    <row r="3974" ht="14.25" spans="1:8">
      <c r="A3974" s="3" t="str">
        <f>"20501313130"</f>
        <v>20501313130</v>
      </c>
      <c r="B3974" s="3">
        <v>3</v>
      </c>
      <c r="C3974" s="3">
        <v>131</v>
      </c>
      <c r="D3974" s="3">
        <v>30</v>
      </c>
      <c r="E3974" s="3" t="s">
        <v>11</v>
      </c>
      <c r="F3974" s="4">
        <v>55.5</v>
      </c>
      <c r="G3974" s="4"/>
      <c r="H3974" s="4">
        <f t="shared" si="393"/>
        <v>55.5</v>
      </c>
    </row>
    <row r="3975" ht="14.25" spans="1:8">
      <c r="A3975" s="3" t="str">
        <f>"20501313201"</f>
        <v>20501313201</v>
      </c>
      <c r="B3975" s="3">
        <v>3</v>
      </c>
      <c r="C3975" s="3">
        <v>132</v>
      </c>
      <c r="D3975" s="3">
        <v>1</v>
      </c>
      <c r="E3975" s="3" t="s">
        <v>11</v>
      </c>
      <c r="F3975" s="4">
        <v>75.5</v>
      </c>
      <c r="G3975" s="4"/>
      <c r="H3975" s="4">
        <f t="shared" si="393"/>
        <v>75.5</v>
      </c>
    </row>
    <row r="3976" ht="14.25" spans="1:8">
      <c r="A3976" s="3" t="str">
        <f>"20501313202"</f>
        <v>20501313202</v>
      </c>
      <c r="B3976" s="3">
        <v>3</v>
      </c>
      <c r="C3976" s="3">
        <v>132</v>
      </c>
      <c r="D3976" s="3">
        <v>2</v>
      </c>
      <c r="E3976" s="3" t="s">
        <v>11</v>
      </c>
      <c r="F3976" s="4">
        <v>79</v>
      </c>
      <c r="G3976" s="4"/>
      <c r="H3976" s="4">
        <f t="shared" si="393"/>
        <v>79</v>
      </c>
    </row>
    <row r="3977" ht="14.25" spans="1:8">
      <c r="A3977" s="3" t="str">
        <f>"20501313203"</f>
        <v>20501313203</v>
      </c>
      <c r="B3977" s="3">
        <v>3</v>
      </c>
      <c r="C3977" s="3">
        <v>132</v>
      </c>
      <c r="D3977" s="3">
        <v>3</v>
      </c>
      <c r="E3977" s="3" t="s">
        <v>11</v>
      </c>
      <c r="F3977" s="3">
        <v>0</v>
      </c>
      <c r="G3977" s="4"/>
      <c r="H3977" s="3">
        <v>0</v>
      </c>
    </row>
    <row r="3978" ht="14.25" spans="1:8">
      <c r="A3978" s="3" t="str">
        <f>"20501313204"</f>
        <v>20501313204</v>
      </c>
      <c r="B3978" s="3">
        <v>3</v>
      </c>
      <c r="C3978" s="3">
        <v>132</v>
      </c>
      <c r="D3978" s="3">
        <v>4</v>
      </c>
      <c r="E3978" s="3" t="s">
        <v>11</v>
      </c>
      <c r="F3978" s="4">
        <v>64.5</v>
      </c>
      <c r="G3978" s="4"/>
      <c r="H3978" s="4">
        <f t="shared" ref="H3978:H3987" si="394">F3978+G3978</f>
        <v>64.5</v>
      </c>
    </row>
    <row r="3979" ht="14.25" spans="1:8">
      <c r="A3979" s="3" t="str">
        <f>"20501313205"</f>
        <v>20501313205</v>
      </c>
      <c r="B3979" s="3">
        <v>3</v>
      </c>
      <c r="C3979" s="3">
        <v>132</v>
      </c>
      <c r="D3979" s="3">
        <v>5</v>
      </c>
      <c r="E3979" s="3" t="s">
        <v>11</v>
      </c>
      <c r="F3979" s="4">
        <v>67.5</v>
      </c>
      <c r="G3979" s="4"/>
      <c r="H3979" s="4">
        <f t="shared" si="394"/>
        <v>67.5</v>
      </c>
    </row>
    <row r="3980" ht="14.25" spans="1:8">
      <c r="A3980" s="3" t="str">
        <f>"20501313206"</f>
        <v>20501313206</v>
      </c>
      <c r="B3980" s="3">
        <v>3</v>
      </c>
      <c r="C3980" s="3">
        <v>132</v>
      </c>
      <c r="D3980" s="3">
        <v>6</v>
      </c>
      <c r="E3980" s="3" t="s">
        <v>11</v>
      </c>
      <c r="F3980" s="4">
        <v>64</v>
      </c>
      <c r="G3980" s="4"/>
      <c r="H3980" s="4">
        <f t="shared" si="394"/>
        <v>64</v>
      </c>
    </row>
    <row r="3981" ht="14.25" spans="1:8">
      <c r="A3981" s="3" t="str">
        <f>"20501313207"</f>
        <v>20501313207</v>
      </c>
      <c r="B3981" s="3">
        <v>3</v>
      </c>
      <c r="C3981" s="3">
        <v>132</v>
      </c>
      <c r="D3981" s="3">
        <v>7</v>
      </c>
      <c r="E3981" s="3" t="s">
        <v>11</v>
      </c>
      <c r="F3981" s="4">
        <v>63</v>
      </c>
      <c r="G3981" s="4"/>
      <c r="H3981" s="4">
        <f t="shared" si="394"/>
        <v>63</v>
      </c>
    </row>
    <row r="3982" ht="14.25" spans="1:8">
      <c r="A3982" s="3" t="str">
        <f>"20501313208"</f>
        <v>20501313208</v>
      </c>
      <c r="B3982" s="3">
        <v>3</v>
      </c>
      <c r="C3982" s="3">
        <v>132</v>
      </c>
      <c r="D3982" s="3">
        <v>8</v>
      </c>
      <c r="E3982" s="3" t="s">
        <v>11</v>
      </c>
      <c r="F3982" s="4">
        <v>64.5</v>
      </c>
      <c r="G3982" s="4"/>
      <c r="H3982" s="4">
        <f t="shared" si="394"/>
        <v>64.5</v>
      </c>
    </row>
    <row r="3983" ht="14.25" spans="1:8">
      <c r="A3983" s="3" t="str">
        <f>"20501313209"</f>
        <v>20501313209</v>
      </c>
      <c r="B3983" s="3">
        <v>3</v>
      </c>
      <c r="C3983" s="3">
        <v>132</v>
      </c>
      <c r="D3983" s="3">
        <v>9</v>
      </c>
      <c r="E3983" s="3" t="s">
        <v>11</v>
      </c>
      <c r="F3983" s="4">
        <v>79.5</v>
      </c>
      <c r="G3983" s="4"/>
      <c r="H3983" s="4">
        <f t="shared" si="394"/>
        <v>79.5</v>
      </c>
    </row>
    <row r="3984" ht="14.25" spans="1:8">
      <c r="A3984" s="3" t="str">
        <f>"20501313210"</f>
        <v>20501313210</v>
      </c>
      <c r="B3984" s="3">
        <v>3</v>
      </c>
      <c r="C3984" s="3">
        <v>132</v>
      </c>
      <c r="D3984" s="3">
        <v>10</v>
      </c>
      <c r="E3984" s="3" t="s">
        <v>11</v>
      </c>
      <c r="F3984" s="4">
        <v>47</v>
      </c>
      <c r="G3984" s="4"/>
      <c r="H3984" s="4">
        <f t="shared" si="394"/>
        <v>47</v>
      </c>
    </row>
    <row r="3985" ht="14.25" spans="1:8">
      <c r="A3985" s="3" t="str">
        <f>"20501313211"</f>
        <v>20501313211</v>
      </c>
      <c r="B3985" s="3">
        <v>3</v>
      </c>
      <c r="C3985" s="3">
        <v>132</v>
      </c>
      <c r="D3985" s="3">
        <v>11</v>
      </c>
      <c r="E3985" s="3" t="s">
        <v>11</v>
      </c>
      <c r="F3985" s="4">
        <v>58</v>
      </c>
      <c r="G3985" s="4"/>
      <c r="H3985" s="4">
        <f t="shared" si="394"/>
        <v>58</v>
      </c>
    </row>
    <row r="3986" ht="14.25" spans="1:8">
      <c r="A3986" s="3" t="str">
        <f>"20501313212"</f>
        <v>20501313212</v>
      </c>
      <c r="B3986" s="3">
        <v>3</v>
      </c>
      <c r="C3986" s="3">
        <v>132</v>
      </c>
      <c r="D3986" s="3">
        <v>12</v>
      </c>
      <c r="E3986" s="3" t="s">
        <v>11</v>
      </c>
      <c r="F3986" s="4">
        <v>67.5</v>
      </c>
      <c r="G3986" s="4"/>
      <c r="H3986" s="4">
        <f t="shared" si="394"/>
        <v>67.5</v>
      </c>
    </row>
    <row r="3987" ht="14.25" spans="1:8">
      <c r="A3987" s="3" t="str">
        <f>"20501313213"</f>
        <v>20501313213</v>
      </c>
      <c r="B3987" s="3">
        <v>3</v>
      </c>
      <c r="C3987" s="3">
        <v>132</v>
      </c>
      <c r="D3987" s="3">
        <v>13</v>
      </c>
      <c r="E3987" s="3" t="s">
        <v>11</v>
      </c>
      <c r="F3987" s="4">
        <v>78</v>
      </c>
      <c r="G3987" s="4"/>
      <c r="H3987" s="4">
        <f t="shared" si="394"/>
        <v>78</v>
      </c>
    </row>
    <row r="3988" ht="14.25" spans="1:8">
      <c r="A3988" s="3" t="str">
        <f>"20501313214"</f>
        <v>20501313214</v>
      </c>
      <c r="B3988" s="3">
        <v>3</v>
      </c>
      <c r="C3988" s="3">
        <v>132</v>
      </c>
      <c r="D3988" s="3">
        <v>14</v>
      </c>
      <c r="E3988" s="3" t="s">
        <v>11</v>
      </c>
      <c r="F3988" s="3">
        <v>0</v>
      </c>
      <c r="G3988" s="4"/>
      <c r="H3988" s="3">
        <v>0</v>
      </c>
    </row>
    <row r="3989" ht="14.25" spans="1:8">
      <c r="A3989" s="3" t="str">
        <f>"20501313215"</f>
        <v>20501313215</v>
      </c>
      <c r="B3989" s="3">
        <v>3</v>
      </c>
      <c r="C3989" s="3">
        <v>132</v>
      </c>
      <c r="D3989" s="3">
        <v>15</v>
      </c>
      <c r="E3989" s="3" t="s">
        <v>11</v>
      </c>
      <c r="F3989" s="3">
        <v>0</v>
      </c>
      <c r="G3989" s="4"/>
      <c r="H3989" s="3">
        <v>0</v>
      </c>
    </row>
    <row r="3990" ht="14.25" spans="1:8">
      <c r="A3990" s="3" t="str">
        <f>"20501313216"</f>
        <v>20501313216</v>
      </c>
      <c r="B3990" s="3">
        <v>3</v>
      </c>
      <c r="C3990" s="3">
        <v>132</v>
      </c>
      <c r="D3990" s="3">
        <v>16</v>
      </c>
      <c r="E3990" s="3" t="s">
        <v>11</v>
      </c>
      <c r="F3990" s="4">
        <v>78.5</v>
      </c>
      <c r="G3990" s="4"/>
      <c r="H3990" s="4">
        <f t="shared" ref="H3990:H3996" si="395">F3990+G3990</f>
        <v>78.5</v>
      </c>
    </row>
    <row r="3991" ht="14.25" spans="1:8">
      <c r="A3991" s="3" t="str">
        <f>"20501313217"</f>
        <v>20501313217</v>
      </c>
      <c r="B3991" s="3">
        <v>3</v>
      </c>
      <c r="C3991" s="3">
        <v>132</v>
      </c>
      <c r="D3991" s="3">
        <v>17</v>
      </c>
      <c r="E3991" s="3" t="s">
        <v>11</v>
      </c>
      <c r="F3991" s="4">
        <v>92.5</v>
      </c>
      <c r="G3991" s="4"/>
      <c r="H3991" s="4">
        <f t="shared" si="395"/>
        <v>92.5</v>
      </c>
    </row>
    <row r="3992" ht="14.25" spans="1:8">
      <c r="A3992" s="3" t="str">
        <f>"20501313218"</f>
        <v>20501313218</v>
      </c>
      <c r="B3992" s="3">
        <v>3</v>
      </c>
      <c r="C3992" s="3">
        <v>132</v>
      </c>
      <c r="D3992" s="3">
        <v>18</v>
      </c>
      <c r="E3992" s="3" t="s">
        <v>11</v>
      </c>
      <c r="F3992" s="4">
        <v>58</v>
      </c>
      <c r="G3992" s="4"/>
      <c r="H3992" s="4">
        <f t="shared" si="395"/>
        <v>58</v>
      </c>
    </row>
    <row r="3993" ht="14.25" spans="1:8">
      <c r="A3993" s="3" t="str">
        <f>"20502313219"</f>
        <v>20502313219</v>
      </c>
      <c r="B3993" s="3">
        <v>3</v>
      </c>
      <c r="C3993" s="3">
        <v>132</v>
      </c>
      <c r="D3993" s="3">
        <v>19</v>
      </c>
      <c r="E3993" s="3" t="s">
        <v>11</v>
      </c>
      <c r="F3993" s="4">
        <v>87</v>
      </c>
      <c r="G3993" s="4"/>
      <c r="H3993" s="4">
        <f t="shared" si="395"/>
        <v>87</v>
      </c>
    </row>
    <row r="3994" ht="14.25" spans="1:8">
      <c r="A3994" s="3" t="str">
        <f>"20502313220"</f>
        <v>20502313220</v>
      </c>
      <c r="B3994" s="3">
        <v>3</v>
      </c>
      <c r="C3994" s="3">
        <v>132</v>
      </c>
      <c r="D3994" s="3">
        <v>20</v>
      </c>
      <c r="E3994" s="3" t="s">
        <v>11</v>
      </c>
      <c r="F3994" s="4">
        <v>74</v>
      </c>
      <c r="G3994" s="4"/>
      <c r="H3994" s="4">
        <f t="shared" si="395"/>
        <v>74</v>
      </c>
    </row>
    <row r="3995" ht="14.25" spans="1:8">
      <c r="A3995" s="3" t="str">
        <f>"20502313221"</f>
        <v>20502313221</v>
      </c>
      <c r="B3995" s="3">
        <v>3</v>
      </c>
      <c r="C3995" s="3">
        <v>132</v>
      </c>
      <c r="D3995" s="3">
        <v>21</v>
      </c>
      <c r="E3995" s="3" t="s">
        <v>11</v>
      </c>
      <c r="F3995" s="4">
        <v>37.5</v>
      </c>
      <c r="G3995" s="4"/>
      <c r="H3995" s="4">
        <f t="shared" si="395"/>
        <v>37.5</v>
      </c>
    </row>
    <row r="3996" ht="14.25" spans="1:8">
      <c r="A3996" s="3" t="str">
        <f>"20502313222"</f>
        <v>20502313222</v>
      </c>
      <c r="B3996" s="3">
        <v>3</v>
      </c>
      <c r="C3996" s="3">
        <v>132</v>
      </c>
      <c r="D3996" s="3">
        <v>22</v>
      </c>
      <c r="E3996" s="3" t="s">
        <v>11</v>
      </c>
      <c r="F3996" s="4">
        <v>76</v>
      </c>
      <c r="G3996" s="4"/>
      <c r="H3996" s="4">
        <f t="shared" si="395"/>
        <v>76</v>
      </c>
    </row>
    <row r="3997" ht="14.25" spans="1:8">
      <c r="A3997" s="3" t="str">
        <f>"20502313223"</f>
        <v>20502313223</v>
      </c>
      <c r="B3997" s="3">
        <v>3</v>
      </c>
      <c r="C3997" s="3">
        <v>132</v>
      </c>
      <c r="D3997" s="3">
        <v>23</v>
      </c>
      <c r="E3997" s="3" t="s">
        <v>11</v>
      </c>
      <c r="F3997" s="3">
        <v>0</v>
      </c>
      <c r="G3997" s="4"/>
      <c r="H3997" s="3">
        <v>0</v>
      </c>
    </row>
    <row r="3998" ht="14.25" spans="1:8">
      <c r="A3998" s="3" t="str">
        <f>"20502313224"</f>
        <v>20502313224</v>
      </c>
      <c r="B3998" s="3">
        <v>3</v>
      </c>
      <c r="C3998" s="3">
        <v>132</v>
      </c>
      <c r="D3998" s="3">
        <v>24</v>
      </c>
      <c r="E3998" s="3" t="s">
        <v>11</v>
      </c>
      <c r="F3998" s="3">
        <v>0</v>
      </c>
      <c r="G3998" s="4"/>
      <c r="H3998" s="3">
        <v>0</v>
      </c>
    </row>
    <row r="3999" ht="14.25" spans="1:8">
      <c r="A3999" s="3" t="str">
        <f>"20502313225"</f>
        <v>20502313225</v>
      </c>
      <c r="B3999" s="3">
        <v>3</v>
      </c>
      <c r="C3999" s="3">
        <v>132</v>
      </c>
      <c r="D3999" s="3">
        <v>25</v>
      </c>
      <c r="E3999" s="3" t="s">
        <v>11</v>
      </c>
      <c r="F3999" s="3">
        <v>0</v>
      </c>
      <c r="G3999" s="4"/>
      <c r="H3999" s="3">
        <v>0</v>
      </c>
    </row>
    <row r="4000" ht="14.25" spans="1:8">
      <c r="A4000" s="3" t="str">
        <f>"20502313226"</f>
        <v>20502313226</v>
      </c>
      <c r="B4000" s="3">
        <v>3</v>
      </c>
      <c r="C4000" s="3">
        <v>132</v>
      </c>
      <c r="D4000" s="3">
        <v>26</v>
      </c>
      <c r="E4000" s="3" t="s">
        <v>11</v>
      </c>
      <c r="F4000" s="3">
        <v>0</v>
      </c>
      <c r="G4000" s="4"/>
      <c r="H4000" s="3">
        <v>0</v>
      </c>
    </row>
    <row r="4001" ht="14.25" spans="1:8">
      <c r="A4001" s="3" t="str">
        <f>"20502313227"</f>
        <v>20502313227</v>
      </c>
      <c r="B4001" s="3">
        <v>3</v>
      </c>
      <c r="C4001" s="3">
        <v>132</v>
      </c>
      <c r="D4001" s="3">
        <v>27</v>
      </c>
      <c r="E4001" s="3" t="s">
        <v>11</v>
      </c>
      <c r="F4001" s="4">
        <v>85</v>
      </c>
      <c r="G4001" s="4"/>
      <c r="H4001" s="4">
        <f t="shared" ref="H4001:H4006" si="396">F4001+G4001</f>
        <v>85</v>
      </c>
    </row>
    <row r="4002" ht="14.25" spans="1:8">
      <c r="A4002" s="3" t="str">
        <f>"20502313228"</f>
        <v>20502313228</v>
      </c>
      <c r="B4002" s="3">
        <v>3</v>
      </c>
      <c r="C4002" s="3">
        <v>132</v>
      </c>
      <c r="D4002" s="3">
        <v>28</v>
      </c>
      <c r="E4002" s="3" t="s">
        <v>11</v>
      </c>
      <c r="F4002" s="4">
        <v>71</v>
      </c>
      <c r="G4002" s="4"/>
      <c r="H4002" s="4">
        <f t="shared" si="396"/>
        <v>71</v>
      </c>
    </row>
    <row r="4003" ht="14.25" spans="1:8">
      <c r="A4003" s="3" t="str">
        <f>"20502313229"</f>
        <v>20502313229</v>
      </c>
      <c r="B4003" s="3">
        <v>3</v>
      </c>
      <c r="C4003" s="3">
        <v>132</v>
      </c>
      <c r="D4003" s="3">
        <v>29</v>
      </c>
      <c r="E4003" s="3" t="s">
        <v>11</v>
      </c>
      <c r="F4003" s="3">
        <v>0</v>
      </c>
      <c r="G4003" s="4"/>
      <c r="H4003" s="3">
        <v>0</v>
      </c>
    </row>
    <row r="4004" ht="14.25" spans="1:8">
      <c r="A4004" s="3" t="str">
        <f>"20502313230"</f>
        <v>20502313230</v>
      </c>
      <c r="B4004" s="3">
        <v>3</v>
      </c>
      <c r="C4004" s="3">
        <v>132</v>
      </c>
      <c r="D4004" s="3">
        <v>30</v>
      </c>
      <c r="E4004" s="3" t="s">
        <v>11</v>
      </c>
      <c r="F4004" s="3">
        <v>0</v>
      </c>
      <c r="G4004" s="4"/>
      <c r="H4004" s="3">
        <v>0</v>
      </c>
    </row>
    <row r="4005" ht="14.25" spans="1:8">
      <c r="A4005" s="3" t="str">
        <f>"20502313301"</f>
        <v>20502313301</v>
      </c>
      <c r="B4005" s="3">
        <v>3</v>
      </c>
      <c r="C4005" s="3">
        <v>133</v>
      </c>
      <c r="D4005" s="3">
        <v>1</v>
      </c>
      <c r="E4005" s="3" t="s">
        <v>11</v>
      </c>
      <c r="F4005" s="3">
        <v>0</v>
      </c>
      <c r="G4005" s="4"/>
      <c r="H4005" s="3">
        <v>0</v>
      </c>
    </row>
    <row r="4006" ht="14.25" spans="1:8">
      <c r="A4006" s="3" t="str">
        <f>"20502313302"</f>
        <v>20502313302</v>
      </c>
      <c r="B4006" s="3">
        <v>3</v>
      </c>
      <c r="C4006" s="3">
        <v>133</v>
      </c>
      <c r="D4006" s="3">
        <v>2</v>
      </c>
      <c r="E4006" s="3" t="s">
        <v>11</v>
      </c>
      <c r="F4006" s="4">
        <v>75</v>
      </c>
      <c r="G4006" s="4"/>
      <c r="H4006" s="4">
        <f t="shared" si="396"/>
        <v>75</v>
      </c>
    </row>
    <row r="4007" ht="14.25" spans="1:8">
      <c r="A4007" s="3" t="str">
        <f>"20502313303"</f>
        <v>20502313303</v>
      </c>
      <c r="B4007" s="3">
        <v>3</v>
      </c>
      <c r="C4007" s="3">
        <v>133</v>
      </c>
      <c r="D4007" s="3">
        <v>3</v>
      </c>
      <c r="E4007" s="3" t="s">
        <v>11</v>
      </c>
      <c r="F4007" s="3">
        <v>0</v>
      </c>
      <c r="G4007" s="4"/>
      <c r="H4007" s="3">
        <v>0</v>
      </c>
    </row>
    <row r="4008" ht="14.25" spans="1:8">
      <c r="A4008" s="3" t="str">
        <f>"20502313304"</f>
        <v>20502313304</v>
      </c>
      <c r="B4008" s="3">
        <v>3</v>
      </c>
      <c r="C4008" s="3">
        <v>133</v>
      </c>
      <c r="D4008" s="3">
        <v>4</v>
      </c>
      <c r="E4008" s="3" t="s">
        <v>11</v>
      </c>
      <c r="F4008" s="4">
        <v>54.5</v>
      </c>
      <c r="G4008" s="4"/>
      <c r="H4008" s="4">
        <f t="shared" ref="H4008:H4015" si="397">F4008+G4008</f>
        <v>54.5</v>
      </c>
    </row>
    <row r="4009" ht="14.25" spans="1:8">
      <c r="A4009" s="3" t="str">
        <f>"20502313305"</f>
        <v>20502313305</v>
      </c>
      <c r="B4009" s="3">
        <v>3</v>
      </c>
      <c r="C4009" s="3">
        <v>133</v>
      </c>
      <c r="D4009" s="3">
        <v>5</v>
      </c>
      <c r="E4009" s="3" t="s">
        <v>11</v>
      </c>
      <c r="F4009" s="4">
        <v>72</v>
      </c>
      <c r="G4009" s="4"/>
      <c r="H4009" s="4">
        <f t="shared" si="397"/>
        <v>72</v>
      </c>
    </row>
    <row r="4010" ht="14.25" spans="1:8">
      <c r="A4010" s="3" t="str">
        <f>"20502313306"</f>
        <v>20502313306</v>
      </c>
      <c r="B4010" s="3">
        <v>3</v>
      </c>
      <c r="C4010" s="3">
        <v>133</v>
      </c>
      <c r="D4010" s="3">
        <v>6</v>
      </c>
      <c r="E4010" s="3" t="s">
        <v>11</v>
      </c>
      <c r="F4010" s="3">
        <v>0</v>
      </c>
      <c r="G4010" s="4"/>
      <c r="H4010" s="3">
        <v>0</v>
      </c>
    </row>
    <row r="4011" ht="14.25" spans="1:8">
      <c r="A4011" s="3" t="str">
        <f>"20502313307"</f>
        <v>20502313307</v>
      </c>
      <c r="B4011" s="3">
        <v>3</v>
      </c>
      <c r="C4011" s="3">
        <v>133</v>
      </c>
      <c r="D4011" s="3">
        <v>7</v>
      </c>
      <c r="E4011" s="3" t="s">
        <v>11</v>
      </c>
      <c r="F4011" s="4">
        <v>54.5</v>
      </c>
      <c r="G4011" s="4"/>
      <c r="H4011" s="4">
        <f t="shared" si="397"/>
        <v>54.5</v>
      </c>
    </row>
    <row r="4012" ht="14.25" spans="1:8">
      <c r="A4012" s="3" t="str">
        <f>"20502313308"</f>
        <v>20502313308</v>
      </c>
      <c r="B4012" s="3">
        <v>3</v>
      </c>
      <c r="C4012" s="3">
        <v>133</v>
      </c>
      <c r="D4012" s="3">
        <v>8</v>
      </c>
      <c r="E4012" s="3" t="s">
        <v>11</v>
      </c>
      <c r="F4012" s="4">
        <v>78</v>
      </c>
      <c r="G4012" s="4"/>
      <c r="H4012" s="4">
        <f t="shared" si="397"/>
        <v>78</v>
      </c>
    </row>
    <row r="4013" ht="14.25" spans="1:8">
      <c r="A4013" s="3" t="str">
        <f>"20502313309"</f>
        <v>20502313309</v>
      </c>
      <c r="B4013" s="3">
        <v>3</v>
      </c>
      <c r="C4013" s="3">
        <v>133</v>
      </c>
      <c r="D4013" s="3">
        <v>9</v>
      </c>
      <c r="E4013" s="3" t="s">
        <v>11</v>
      </c>
      <c r="F4013" s="4">
        <v>65.5</v>
      </c>
      <c r="G4013" s="4"/>
      <c r="H4013" s="4">
        <f t="shared" si="397"/>
        <v>65.5</v>
      </c>
    </row>
    <row r="4014" ht="14.25" spans="1:8">
      <c r="A4014" s="3" t="str">
        <f>"20502313310"</f>
        <v>20502313310</v>
      </c>
      <c r="B4014" s="3">
        <v>3</v>
      </c>
      <c r="C4014" s="3">
        <v>133</v>
      </c>
      <c r="D4014" s="3">
        <v>10</v>
      </c>
      <c r="E4014" s="3" t="s">
        <v>11</v>
      </c>
      <c r="F4014" s="4">
        <v>57.5</v>
      </c>
      <c r="G4014" s="4"/>
      <c r="H4014" s="4">
        <f t="shared" si="397"/>
        <v>57.5</v>
      </c>
    </row>
    <row r="4015" ht="14.25" spans="1:8">
      <c r="A4015" s="3" t="str">
        <f>"20502313311"</f>
        <v>20502313311</v>
      </c>
      <c r="B4015" s="3">
        <v>3</v>
      </c>
      <c r="C4015" s="3">
        <v>133</v>
      </c>
      <c r="D4015" s="3">
        <v>11</v>
      </c>
      <c r="E4015" s="3" t="s">
        <v>11</v>
      </c>
      <c r="F4015" s="4">
        <v>79.5</v>
      </c>
      <c r="G4015" s="4"/>
      <c r="H4015" s="4">
        <f t="shared" si="397"/>
        <v>79.5</v>
      </c>
    </row>
    <row r="4016" ht="14.25" spans="1:8">
      <c r="A4016" s="3" t="str">
        <f>"20502313312"</f>
        <v>20502313312</v>
      </c>
      <c r="B4016" s="3">
        <v>3</v>
      </c>
      <c r="C4016" s="3">
        <v>133</v>
      </c>
      <c r="D4016" s="3">
        <v>12</v>
      </c>
      <c r="E4016" s="3" t="s">
        <v>11</v>
      </c>
      <c r="F4016" s="3">
        <v>0</v>
      </c>
      <c r="G4016" s="4"/>
      <c r="H4016" s="3">
        <v>0</v>
      </c>
    </row>
    <row r="4017" ht="14.25" spans="1:8">
      <c r="A4017" s="3" t="str">
        <f>"20502313313"</f>
        <v>20502313313</v>
      </c>
      <c r="B4017" s="3">
        <v>3</v>
      </c>
      <c r="C4017" s="3">
        <v>133</v>
      </c>
      <c r="D4017" s="3">
        <v>13</v>
      </c>
      <c r="E4017" s="3" t="s">
        <v>11</v>
      </c>
      <c r="F4017" s="4">
        <v>51</v>
      </c>
      <c r="G4017" s="4"/>
      <c r="H4017" s="4">
        <f t="shared" ref="H4017:H4023" si="398">F4017+G4017</f>
        <v>51</v>
      </c>
    </row>
    <row r="4018" ht="14.25" spans="1:8">
      <c r="A4018" s="3" t="str">
        <f>"20502313314"</f>
        <v>20502313314</v>
      </c>
      <c r="B4018" s="3">
        <v>3</v>
      </c>
      <c r="C4018" s="3">
        <v>133</v>
      </c>
      <c r="D4018" s="3">
        <v>14</v>
      </c>
      <c r="E4018" s="3" t="s">
        <v>11</v>
      </c>
      <c r="F4018" s="4">
        <v>85.5</v>
      </c>
      <c r="G4018" s="4"/>
      <c r="H4018" s="4">
        <f t="shared" si="398"/>
        <v>85.5</v>
      </c>
    </row>
    <row r="4019" ht="14.25" spans="1:8">
      <c r="A4019" s="3" t="str">
        <f>"20502313315"</f>
        <v>20502313315</v>
      </c>
      <c r="B4019" s="3">
        <v>3</v>
      </c>
      <c r="C4019" s="3">
        <v>133</v>
      </c>
      <c r="D4019" s="3">
        <v>15</v>
      </c>
      <c r="E4019" s="3" t="s">
        <v>11</v>
      </c>
      <c r="F4019" s="4">
        <v>88</v>
      </c>
      <c r="G4019" s="4"/>
      <c r="H4019" s="4">
        <f t="shared" si="398"/>
        <v>88</v>
      </c>
    </row>
    <row r="4020" ht="14.25" spans="1:8">
      <c r="A4020" s="3" t="str">
        <f>"20502313316"</f>
        <v>20502313316</v>
      </c>
      <c r="B4020" s="3">
        <v>3</v>
      </c>
      <c r="C4020" s="3">
        <v>133</v>
      </c>
      <c r="D4020" s="3">
        <v>16</v>
      </c>
      <c r="E4020" s="3" t="s">
        <v>11</v>
      </c>
      <c r="F4020" s="4">
        <v>77.5</v>
      </c>
      <c r="G4020" s="4"/>
      <c r="H4020" s="4">
        <f t="shared" si="398"/>
        <v>77.5</v>
      </c>
    </row>
    <row r="4021" ht="14.25" spans="1:8">
      <c r="A4021" s="3" t="str">
        <f>"20503313317"</f>
        <v>20503313317</v>
      </c>
      <c r="B4021" s="3">
        <v>3</v>
      </c>
      <c r="C4021" s="3">
        <v>133</v>
      </c>
      <c r="D4021" s="3">
        <v>17</v>
      </c>
      <c r="E4021" s="3" t="s">
        <v>11</v>
      </c>
      <c r="F4021" s="4">
        <v>49.5</v>
      </c>
      <c r="G4021" s="4"/>
      <c r="H4021" s="4">
        <f t="shared" si="398"/>
        <v>49.5</v>
      </c>
    </row>
    <row r="4022" ht="14.25" spans="1:8">
      <c r="A4022" s="3" t="str">
        <f>"20503313318"</f>
        <v>20503313318</v>
      </c>
      <c r="B4022" s="3">
        <v>3</v>
      </c>
      <c r="C4022" s="3">
        <v>133</v>
      </c>
      <c r="D4022" s="3">
        <v>18</v>
      </c>
      <c r="E4022" s="3" t="s">
        <v>11</v>
      </c>
      <c r="F4022" s="4">
        <v>76.5</v>
      </c>
      <c r="G4022" s="4"/>
      <c r="H4022" s="4">
        <f t="shared" si="398"/>
        <v>76.5</v>
      </c>
    </row>
    <row r="4023" ht="14.25" spans="1:8">
      <c r="A4023" s="3" t="str">
        <f>"20503313319"</f>
        <v>20503313319</v>
      </c>
      <c r="B4023" s="3">
        <v>3</v>
      </c>
      <c r="C4023" s="3">
        <v>133</v>
      </c>
      <c r="D4023" s="3">
        <v>19</v>
      </c>
      <c r="E4023" s="3" t="s">
        <v>11</v>
      </c>
      <c r="F4023" s="4">
        <v>69</v>
      </c>
      <c r="G4023" s="4"/>
      <c r="H4023" s="4">
        <f t="shared" si="398"/>
        <v>69</v>
      </c>
    </row>
    <row r="4024" ht="14.25" spans="1:8">
      <c r="A4024" s="3" t="str">
        <f>"20503313320"</f>
        <v>20503313320</v>
      </c>
      <c r="B4024" s="3">
        <v>3</v>
      </c>
      <c r="C4024" s="3">
        <v>133</v>
      </c>
      <c r="D4024" s="3">
        <v>20</v>
      </c>
      <c r="E4024" s="3" t="s">
        <v>11</v>
      </c>
      <c r="F4024" s="3">
        <v>0</v>
      </c>
      <c r="G4024" s="4"/>
      <c r="H4024" s="3">
        <v>0</v>
      </c>
    </row>
    <row r="4025" ht="14.25" spans="1:8">
      <c r="A4025" s="3" t="str">
        <f>"20503313321"</f>
        <v>20503313321</v>
      </c>
      <c r="B4025" s="3">
        <v>3</v>
      </c>
      <c r="C4025" s="3">
        <v>133</v>
      </c>
      <c r="D4025" s="3">
        <v>21</v>
      </c>
      <c r="E4025" s="3" t="s">
        <v>11</v>
      </c>
      <c r="F4025" s="4">
        <v>72.5</v>
      </c>
      <c r="G4025" s="4"/>
      <c r="H4025" s="4">
        <f t="shared" ref="H4025:H4031" si="399">F4025+G4025</f>
        <v>72.5</v>
      </c>
    </row>
    <row r="4026" ht="14.25" spans="1:8">
      <c r="A4026" s="3" t="str">
        <f>"20503313322"</f>
        <v>20503313322</v>
      </c>
      <c r="B4026" s="3">
        <v>3</v>
      </c>
      <c r="C4026" s="3">
        <v>133</v>
      </c>
      <c r="D4026" s="3">
        <v>22</v>
      </c>
      <c r="E4026" s="3" t="s">
        <v>11</v>
      </c>
      <c r="F4026" s="4">
        <v>75.5</v>
      </c>
      <c r="G4026" s="4"/>
      <c r="H4026" s="4">
        <f t="shared" si="399"/>
        <v>75.5</v>
      </c>
    </row>
    <row r="4027" ht="14.25" spans="1:8">
      <c r="A4027" s="3" t="str">
        <f>"20503313323"</f>
        <v>20503313323</v>
      </c>
      <c r="B4027" s="3">
        <v>3</v>
      </c>
      <c r="C4027" s="3">
        <v>133</v>
      </c>
      <c r="D4027" s="3">
        <v>23</v>
      </c>
      <c r="E4027" s="3" t="s">
        <v>11</v>
      </c>
      <c r="F4027" s="4">
        <v>82.5</v>
      </c>
      <c r="G4027" s="4"/>
      <c r="H4027" s="4">
        <f t="shared" si="399"/>
        <v>82.5</v>
      </c>
    </row>
    <row r="4028" ht="14.25" spans="1:8">
      <c r="A4028" s="3" t="str">
        <f>"20503313324"</f>
        <v>20503313324</v>
      </c>
      <c r="B4028" s="3">
        <v>3</v>
      </c>
      <c r="C4028" s="3">
        <v>133</v>
      </c>
      <c r="D4028" s="3">
        <v>24</v>
      </c>
      <c r="E4028" s="3" t="s">
        <v>11</v>
      </c>
      <c r="F4028" s="4">
        <v>76.5</v>
      </c>
      <c r="G4028" s="4"/>
      <c r="H4028" s="4">
        <f t="shared" si="399"/>
        <v>76.5</v>
      </c>
    </row>
    <row r="4029" ht="14.25" spans="1:8">
      <c r="A4029" s="3" t="str">
        <f>"20504313325"</f>
        <v>20504313325</v>
      </c>
      <c r="B4029" s="3">
        <v>3</v>
      </c>
      <c r="C4029" s="3">
        <v>133</v>
      </c>
      <c r="D4029" s="3">
        <v>25</v>
      </c>
      <c r="E4029" s="3" t="s">
        <v>11</v>
      </c>
      <c r="F4029" s="4">
        <v>57</v>
      </c>
      <c r="G4029" s="4"/>
      <c r="H4029" s="4">
        <f t="shared" si="399"/>
        <v>57</v>
      </c>
    </row>
    <row r="4030" ht="14.25" spans="1:8">
      <c r="A4030" s="3" t="str">
        <f>"20504313326"</f>
        <v>20504313326</v>
      </c>
      <c r="B4030" s="3">
        <v>3</v>
      </c>
      <c r="C4030" s="3">
        <v>133</v>
      </c>
      <c r="D4030" s="3">
        <v>26</v>
      </c>
      <c r="E4030" s="3" t="s">
        <v>11</v>
      </c>
      <c r="F4030" s="4">
        <v>72</v>
      </c>
      <c r="G4030" s="4"/>
      <c r="H4030" s="4">
        <f t="shared" si="399"/>
        <v>72</v>
      </c>
    </row>
    <row r="4031" ht="14.25" spans="1:8">
      <c r="A4031" s="3" t="str">
        <f>"20504313327"</f>
        <v>20504313327</v>
      </c>
      <c r="B4031" s="3">
        <v>3</v>
      </c>
      <c r="C4031" s="3">
        <v>133</v>
      </c>
      <c r="D4031" s="3">
        <v>27</v>
      </c>
      <c r="E4031" s="3" t="s">
        <v>11</v>
      </c>
      <c r="F4031" s="4">
        <v>57.5</v>
      </c>
      <c r="G4031" s="4"/>
      <c r="H4031" s="4">
        <f t="shared" si="399"/>
        <v>57.5</v>
      </c>
    </row>
    <row r="4032" ht="14.25" spans="1:8">
      <c r="A4032" s="3" t="str">
        <f>"20504313328"</f>
        <v>20504313328</v>
      </c>
      <c r="B4032" s="3">
        <v>3</v>
      </c>
      <c r="C4032" s="3">
        <v>133</v>
      </c>
      <c r="D4032" s="3">
        <v>28</v>
      </c>
      <c r="E4032" s="3" t="s">
        <v>11</v>
      </c>
      <c r="F4032" s="3">
        <v>0</v>
      </c>
      <c r="G4032" s="4"/>
      <c r="H4032" s="3">
        <v>0</v>
      </c>
    </row>
    <row r="4033" ht="14.25" spans="1:8">
      <c r="A4033" s="3" t="str">
        <f>"20504313329"</f>
        <v>20504313329</v>
      </c>
      <c r="B4033" s="3">
        <v>3</v>
      </c>
      <c r="C4033" s="3">
        <v>133</v>
      </c>
      <c r="D4033" s="3">
        <v>29</v>
      </c>
      <c r="E4033" s="3" t="s">
        <v>11</v>
      </c>
      <c r="F4033" s="4">
        <v>72</v>
      </c>
      <c r="G4033" s="4"/>
      <c r="H4033" s="4">
        <f t="shared" ref="H4033:H4039" si="400">F4033+G4033</f>
        <v>72</v>
      </c>
    </row>
    <row r="4034" ht="14.25" spans="1:8">
      <c r="A4034" s="3" t="str">
        <f>"20504313330"</f>
        <v>20504313330</v>
      </c>
      <c r="B4034" s="3">
        <v>3</v>
      </c>
      <c r="C4034" s="3">
        <v>133</v>
      </c>
      <c r="D4034" s="3">
        <v>30</v>
      </c>
      <c r="E4034" s="3" t="s">
        <v>11</v>
      </c>
      <c r="F4034" s="3">
        <v>0</v>
      </c>
      <c r="G4034" s="4"/>
      <c r="H4034" s="3">
        <v>0</v>
      </c>
    </row>
    <row r="4035" ht="14.25" spans="1:8">
      <c r="A4035" s="3" t="str">
        <f>"20504313401"</f>
        <v>20504313401</v>
      </c>
      <c r="B4035" s="3">
        <v>3</v>
      </c>
      <c r="C4035" s="3">
        <v>134</v>
      </c>
      <c r="D4035" s="3">
        <v>1</v>
      </c>
      <c r="E4035" s="3" t="s">
        <v>11</v>
      </c>
      <c r="F4035" s="4">
        <v>69</v>
      </c>
      <c r="G4035" s="4"/>
      <c r="H4035" s="4">
        <f t="shared" si="400"/>
        <v>69</v>
      </c>
    </row>
    <row r="4036" ht="14.25" spans="1:8">
      <c r="A4036" s="3" t="str">
        <f>"20504313402"</f>
        <v>20504313402</v>
      </c>
      <c r="B4036" s="3">
        <v>3</v>
      </c>
      <c r="C4036" s="3">
        <v>134</v>
      </c>
      <c r="D4036" s="3">
        <v>2</v>
      </c>
      <c r="E4036" s="3" t="s">
        <v>11</v>
      </c>
      <c r="F4036" s="3">
        <v>0</v>
      </c>
      <c r="G4036" s="4"/>
      <c r="H4036" s="3">
        <v>0</v>
      </c>
    </row>
    <row r="4037" ht="14.25" spans="1:8">
      <c r="A4037" s="3" t="str">
        <f>"20601313403"</f>
        <v>20601313403</v>
      </c>
      <c r="B4037" s="3">
        <v>3</v>
      </c>
      <c r="C4037" s="3">
        <v>134</v>
      </c>
      <c r="D4037" s="3">
        <v>3</v>
      </c>
      <c r="E4037" s="3" t="s">
        <v>11</v>
      </c>
      <c r="F4037" s="4">
        <v>81</v>
      </c>
      <c r="G4037" s="4">
        <v>10</v>
      </c>
      <c r="H4037" s="4">
        <f t="shared" si="400"/>
        <v>91</v>
      </c>
    </row>
    <row r="4038" ht="14.25" spans="1:8">
      <c r="A4038" s="3" t="str">
        <f>"20601313404"</f>
        <v>20601313404</v>
      </c>
      <c r="B4038" s="3">
        <v>3</v>
      </c>
      <c r="C4038" s="3">
        <v>134</v>
      </c>
      <c r="D4038" s="3">
        <v>4</v>
      </c>
      <c r="E4038" s="3" t="s">
        <v>11</v>
      </c>
      <c r="F4038" s="4">
        <v>77</v>
      </c>
      <c r="G4038" s="4"/>
      <c r="H4038" s="4">
        <f t="shared" si="400"/>
        <v>77</v>
      </c>
    </row>
    <row r="4039" ht="14.25" spans="1:8">
      <c r="A4039" s="3" t="str">
        <f>"20601313405"</f>
        <v>20601313405</v>
      </c>
      <c r="B4039" s="3">
        <v>3</v>
      </c>
      <c r="C4039" s="3">
        <v>134</v>
      </c>
      <c r="D4039" s="3">
        <v>5</v>
      </c>
      <c r="E4039" s="3" t="s">
        <v>11</v>
      </c>
      <c r="F4039" s="4">
        <v>79.5</v>
      </c>
      <c r="G4039" s="4"/>
      <c r="H4039" s="4">
        <f t="shared" si="400"/>
        <v>79.5</v>
      </c>
    </row>
    <row r="4040" ht="14.25" spans="1:8">
      <c r="A4040" s="3" t="str">
        <f>"20601313406"</f>
        <v>20601313406</v>
      </c>
      <c r="B4040" s="3">
        <v>3</v>
      </c>
      <c r="C4040" s="3">
        <v>134</v>
      </c>
      <c r="D4040" s="3">
        <v>6</v>
      </c>
      <c r="E4040" s="3" t="s">
        <v>11</v>
      </c>
      <c r="F4040" s="3">
        <v>0</v>
      </c>
      <c r="G4040" s="4"/>
      <c r="H4040" s="3">
        <v>0</v>
      </c>
    </row>
    <row r="4041" ht="14.25" spans="1:8">
      <c r="A4041" s="3" t="str">
        <f>"20601313407"</f>
        <v>20601313407</v>
      </c>
      <c r="B4041" s="3">
        <v>3</v>
      </c>
      <c r="C4041" s="3">
        <v>134</v>
      </c>
      <c r="D4041" s="3">
        <v>7</v>
      </c>
      <c r="E4041" s="3" t="s">
        <v>11</v>
      </c>
      <c r="F4041" s="4">
        <v>82</v>
      </c>
      <c r="G4041" s="4"/>
      <c r="H4041" s="4">
        <f t="shared" ref="H4041:H4045" si="401">F4041+G4041</f>
        <v>82</v>
      </c>
    </row>
    <row r="4042" ht="14.25" spans="1:8">
      <c r="A4042" s="3" t="str">
        <f>"20601313408"</f>
        <v>20601313408</v>
      </c>
      <c r="B4042" s="3">
        <v>3</v>
      </c>
      <c r="C4042" s="3">
        <v>134</v>
      </c>
      <c r="D4042" s="3">
        <v>8</v>
      </c>
      <c r="E4042" s="3" t="s">
        <v>11</v>
      </c>
      <c r="F4042" s="3">
        <v>0</v>
      </c>
      <c r="G4042" s="4"/>
      <c r="H4042" s="3">
        <v>0</v>
      </c>
    </row>
    <row r="4043" ht="14.25" spans="1:8">
      <c r="A4043" s="3" t="str">
        <f>"20601313409"</f>
        <v>20601313409</v>
      </c>
      <c r="B4043" s="3">
        <v>3</v>
      </c>
      <c r="C4043" s="3">
        <v>134</v>
      </c>
      <c r="D4043" s="3">
        <v>9</v>
      </c>
      <c r="E4043" s="3" t="s">
        <v>11</v>
      </c>
      <c r="F4043" s="4">
        <v>65</v>
      </c>
      <c r="G4043" s="4"/>
      <c r="H4043" s="4">
        <f t="shared" si="401"/>
        <v>65</v>
      </c>
    </row>
    <row r="4044" ht="14.25" spans="1:8">
      <c r="A4044" s="3" t="str">
        <f>"20601313410"</f>
        <v>20601313410</v>
      </c>
      <c r="B4044" s="3">
        <v>3</v>
      </c>
      <c r="C4044" s="3">
        <v>134</v>
      </c>
      <c r="D4044" s="3">
        <v>10</v>
      </c>
      <c r="E4044" s="3" t="s">
        <v>11</v>
      </c>
      <c r="F4044" s="4">
        <v>57.5</v>
      </c>
      <c r="G4044" s="4"/>
      <c r="H4044" s="4">
        <f t="shared" si="401"/>
        <v>57.5</v>
      </c>
    </row>
    <row r="4045" ht="14.25" spans="1:8">
      <c r="A4045" s="3" t="str">
        <f>"20601313411"</f>
        <v>20601313411</v>
      </c>
      <c r="B4045" s="3">
        <v>3</v>
      </c>
      <c r="C4045" s="3">
        <v>134</v>
      </c>
      <c r="D4045" s="3">
        <v>11</v>
      </c>
      <c r="E4045" s="3" t="s">
        <v>11</v>
      </c>
      <c r="F4045" s="4">
        <v>85</v>
      </c>
      <c r="G4045" s="4"/>
      <c r="H4045" s="4">
        <f t="shared" si="401"/>
        <v>85</v>
      </c>
    </row>
    <row r="4046" ht="14.25" spans="1:8">
      <c r="A4046" s="3" t="str">
        <f>"20601313412"</f>
        <v>20601313412</v>
      </c>
      <c r="B4046" s="3">
        <v>3</v>
      </c>
      <c r="C4046" s="3">
        <v>134</v>
      </c>
      <c r="D4046" s="3">
        <v>12</v>
      </c>
      <c r="E4046" s="3" t="s">
        <v>11</v>
      </c>
      <c r="F4046" s="3">
        <v>0</v>
      </c>
      <c r="G4046" s="4"/>
      <c r="H4046" s="3">
        <v>0</v>
      </c>
    </row>
    <row r="4047" ht="14.25" spans="1:8">
      <c r="A4047" s="3" t="str">
        <f>"20601313413"</f>
        <v>20601313413</v>
      </c>
      <c r="B4047" s="3">
        <v>3</v>
      </c>
      <c r="C4047" s="3">
        <v>134</v>
      </c>
      <c r="D4047" s="3">
        <v>13</v>
      </c>
      <c r="E4047" s="3" t="s">
        <v>11</v>
      </c>
      <c r="F4047" s="3">
        <v>0</v>
      </c>
      <c r="G4047" s="4"/>
      <c r="H4047" s="3">
        <v>0</v>
      </c>
    </row>
    <row r="4048" ht="14.25" spans="1:8">
      <c r="A4048" s="3" t="str">
        <f>"20601313414"</f>
        <v>20601313414</v>
      </c>
      <c r="B4048" s="3">
        <v>3</v>
      </c>
      <c r="C4048" s="3">
        <v>134</v>
      </c>
      <c r="D4048" s="3">
        <v>14</v>
      </c>
      <c r="E4048" s="3" t="s">
        <v>11</v>
      </c>
      <c r="F4048" s="4">
        <v>49</v>
      </c>
      <c r="G4048" s="4"/>
      <c r="H4048" s="4">
        <f t="shared" ref="H4048:H4055" si="402">F4048+G4048</f>
        <v>49</v>
      </c>
    </row>
    <row r="4049" ht="14.25" spans="1:8">
      <c r="A4049" s="3" t="str">
        <f>"20601313415"</f>
        <v>20601313415</v>
      </c>
      <c r="B4049" s="3">
        <v>3</v>
      </c>
      <c r="C4049" s="3">
        <v>134</v>
      </c>
      <c r="D4049" s="3">
        <v>15</v>
      </c>
      <c r="E4049" s="3" t="s">
        <v>11</v>
      </c>
      <c r="F4049" s="4">
        <v>68</v>
      </c>
      <c r="G4049" s="4"/>
      <c r="H4049" s="4">
        <f t="shared" si="402"/>
        <v>68</v>
      </c>
    </row>
    <row r="4050" ht="14.25" spans="1:8">
      <c r="A4050" s="3" t="str">
        <f>"20601313416"</f>
        <v>20601313416</v>
      </c>
      <c r="B4050" s="3">
        <v>3</v>
      </c>
      <c r="C4050" s="3">
        <v>134</v>
      </c>
      <c r="D4050" s="3">
        <v>16</v>
      </c>
      <c r="E4050" s="3" t="s">
        <v>11</v>
      </c>
      <c r="F4050" s="3">
        <v>0</v>
      </c>
      <c r="G4050" s="4"/>
      <c r="H4050" s="3">
        <v>0</v>
      </c>
    </row>
    <row r="4051" ht="14.25" spans="1:8">
      <c r="A4051" s="3" t="str">
        <f>"20601313417"</f>
        <v>20601313417</v>
      </c>
      <c r="B4051" s="3">
        <v>3</v>
      </c>
      <c r="C4051" s="3">
        <v>134</v>
      </c>
      <c r="D4051" s="3">
        <v>17</v>
      </c>
      <c r="E4051" s="3" t="s">
        <v>11</v>
      </c>
      <c r="F4051" s="4">
        <v>85</v>
      </c>
      <c r="G4051" s="4"/>
      <c r="H4051" s="4">
        <f t="shared" si="402"/>
        <v>85</v>
      </c>
    </row>
    <row r="4052" ht="14.25" spans="1:8">
      <c r="A4052" s="3" t="str">
        <f>"20601313418"</f>
        <v>20601313418</v>
      </c>
      <c r="B4052" s="3">
        <v>3</v>
      </c>
      <c r="C4052" s="3">
        <v>134</v>
      </c>
      <c r="D4052" s="3">
        <v>18</v>
      </c>
      <c r="E4052" s="3" t="s">
        <v>11</v>
      </c>
      <c r="F4052" s="4">
        <v>62.5</v>
      </c>
      <c r="G4052" s="4"/>
      <c r="H4052" s="4">
        <f t="shared" si="402"/>
        <v>62.5</v>
      </c>
    </row>
    <row r="4053" ht="14.25" spans="1:8">
      <c r="A4053" s="3" t="str">
        <f>"20601313419"</f>
        <v>20601313419</v>
      </c>
      <c r="B4053" s="3">
        <v>3</v>
      </c>
      <c r="C4053" s="3">
        <v>134</v>
      </c>
      <c r="D4053" s="3">
        <v>19</v>
      </c>
      <c r="E4053" s="3" t="s">
        <v>11</v>
      </c>
      <c r="F4053" s="4">
        <v>78</v>
      </c>
      <c r="G4053" s="4"/>
      <c r="H4053" s="4">
        <f t="shared" si="402"/>
        <v>78</v>
      </c>
    </row>
    <row r="4054" ht="14.25" spans="1:8">
      <c r="A4054" s="3" t="str">
        <f>"20601313420"</f>
        <v>20601313420</v>
      </c>
      <c r="B4054" s="3">
        <v>3</v>
      </c>
      <c r="C4054" s="3">
        <v>134</v>
      </c>
      <c r="D4054" s="3">
        <v>20</v>
      </c>
      <c r="E4054" s="3" t="s">
        <v>11</v>
      </c>
      <c r="F4054" s="4">
        <v>62.5</v>
      </c>
      <c r="G4054" s="4"/>
      <c r="H4054" s="4">
        <f t="shared" si="402"/>
        <v>62.5</v>
      </c>
    </row>
    <row r="4055" ht="14.25" spans="1:8">
      <c r="A4055" s="3" t="str">
        <f>"20601313421"</f>
        <v>20601313421</v>
      </c>
      <c r="B4055" s="3">
        <v>3</v>
      </c>
      <c r="C4055" s="3">
        <v>134</v>
      </c>
      <c r="D4055" s="3">
        <v>21</v>
      </c>
      <c r="E4055" s="3" t="s">
        <v>11</v>
      </c>
      <c r="F4055" s="4">
        <v>84.5</v>
      </c>
      <c r="G4055" s="4"/>
      <c r="H4055" s="4">
        <f t="shared" si="402"/>
        <v>84.5</v>
      </c>
    </row>
    <row r="4056" ht="14.25" spans="1:8">
      <c r="A4056" s="3" t="str">
        <f>"20601313422"</f>
        <v>20601313422</v>
      </c>
      <c r="B4056" s="3">
        <v>3</v>
      </c>
      <c r="C4056" s="3">
        <v>134</v>
      </c>
      <c r="D4056" s="3">
        <v>22</v>
      </c>
      <c r="E4056" s="3" t="s">
        <v>11</v>
      </c>
      <c r="F4056" s="3">
        <v>0</v>
      </c>
      <c r="G4056" s="4"/>
      <c r="H4056" s="3">
        <v>0</v>
      </c>
    </row>
    <row r="4057" ht="14.25" spans="1:8">
      <c r="A4057" s="3" t="str">
        <f>"20602313423"</f>
        <v>20602313423</v>
      </c>
      <c r="B4057" s="3">
        <v>3</v>
      </c>
      <c r="C4057" s="3">
        <v>134</v>
      </c>
      <c r="D4057" s="3">
        <v>23</v>
      </c>
      <c r="E4057" s="3" t="s">
        <v>11</v>
      </c>
      <c r="F4057" s="4">
        <v>80</v>
      </c>
      <c r="G4057" s="4"/>
      <c r="H4057" s="4">
        <f t="shared" ref="H4057:H4067" si="403">F4057+G4057</f>
        <v>80</v>
      </c>
    </row>
    <row r="4058" ht="14.25" spans="1:8">
      <c r="A4058" s="3" t="str">
        <f>"20602313424"</f>
        <v>20602313424</v>
      </c>
      <c r="B4058" s="3">
        <v>3</v>
      </c>
      <c r="C4058" s="3">
        <v>134</v>
      </c>
      <c r="D4058" s="3">
        <v>24</v>
      </c>
      <c r="E4058" s="3" t="s">
        <v>11</v>
      </c>
      <c r="F4058" s="3">
        <v>0</v>
      </c>
      <c r="G4058" s="4"/>
      <c r="H4058" s="3">
        <v>0</v>
      </c>
    </row>
    <row r="4059" ht="14.25" spans="1:8">
      <c r="A4059" s="3" t="str">
        <f>"20602313425"</f>
        <v>20602313425</v>
      </c>
      <c r="B4059" s="3">
        <v>3</v>
      </c>
      <c r="C4059" s="3">
        <v>134</v>
      </c>
      <c r="D4059" s="3">
        <v>25</v>
      </c>
      <c r="E4059" s="3" t="s">
        <v>11</v>
      </c>
      <c r="F4059" s="4">
        <v>73.5</v>
      </c>
      <c r="G4059" s="4"/>
      <c r="H4059" s="4">
        <f t="shared" si="403"/>
        <v>73.5</v>
      </c>
    </row>
    <row r="4060" ht="14.25" spans="1:8">
      <c r="A4060" s="3" t="str">
        <f>"20602313426"</f>
        <v>20602313426</v>
      </c>
      <c r="B4060" s="3">
        <v>3</v>
      </c>
      <c r="C4060" s="3">
        <v>134</v>
      </c>
      <c r="D4060" s="3">
        <v>26</v>
      </c>
      <c r="E4060" s="3" t="s">
        <v>11</v>
      </c>
      <c r="F4060" s="4">
        <v>82.5</v>
      </c>
      <c r="G4060" s="4"/>
      <c r="H4060" s="4">
        <f t="shared" si="403"/>
        <v>82.5</v>
      </c>
    </row>
    <row r="4061" ht="14.25" spans="1:8">
      <c r="A4061" s="3" t="str">
        <f>"20602313427"</f>
        <v>20602313427</v>
      </c>
      <c r="B4061" s="3">
        <v>3</v>
      </c>
      <c r="C4061" s="3">
        <v>134</v>
      </c>
      <c r="D4061" s="3">
        <v>27</v>
      </c>
      <c r="E4061" s="3" t="s">
        <v>11</v>
      </c>
      <c r="F4061" s="4">
        <v>77</v>
      </c>
      <c r="G4061" s="4"/>
      <c r="H4061" s="4">
        <f t="shared" si="403"/>
        <v>77</v>
      </c>
    </row>
    <row r="4062" ht="14.25" spans="1:8">
      <c r="A4062" s="3" t="str">
        <f>"20602313428"</f>
        <v>20602313428</v>
      </c>
      <c r="B4062" s="3">
        <v>3</v>
      </c>
      <c r="C4062" s="3">
        <v>134</v>
      </c>
      <c r="D4062" s="3">
        <v>28</v>
      </c>
      <c r="E4062" s="3" t="s">
        <v>11</v>
      </c>
      <c r="F4062" s="4">
        <v>71</v>
      </c>
      <c r="G4062" s="4"/>
      <c r="H4062" s="4">
        <f t="shared" si="403"/>
        <v>71</v>
      </c>
    </row>
    <row r="4063" ht="14.25" spans="1:8">
      <c r="A4063" s="3" t="str">
        <f>"20602313429"</f>
        <v>20602313429</v>
      </c>
      <c r="B4063" s="3">
        <v>3</v>
      </c>
      <c r="C4063" s="3">
        <v>134</v>
      </c>
      <c r="D4063" s="3">
        <v>29</v>
      </c>
      <c r="E4063" s="3" t="s">
        <v>11</v>
      </c>
      <c r="F4063" s="4">
        <v>76</v>
      </c>
      <c r="G4063" s="4"/>
      <c r="H4063" s="4">
        <f t="shared" si="403"/>
        <v>76</v>
      </c>
    </row>
    <row r="4064" ht="14.25" spans="1:8">
      <c r="A4064" s="3" t="str">
        <f>"20602313430"</f>
        <v>20602313430</v>
      </c>
      <c r="B4064" s="3">
        <v>3</v>
      </c>
      <c r="C4064" s="3">
        <v>134</v>
      </c>
      <c r="D4064" s="3">
        <v>30</v>
      </c>
      <c r="E4064" s="3" t="s">
        <v>11</v>
      </c>
      <c r="F4064" s="4">
        <v>57.5</v>
      </c>
      <c r="G4064" s="4"/>
      <c r="H4064" s="4">
        <f t="shared" si="403"/>
        <v>57.5</v>
      </c>
    </row>
    <row r="4065" ht="14.25" spans="1:8">
      <c r="A4065" s="3" t="str">
        <f>"20602313501"</f>
        <v>20602313501</v>
      </c>
      <c r="B4065" s="3">
        <v>3</v>
      </c>
      <c r="C4065" s="3">
        <v>135</v>
      </c>
      <c r="D4065" s="3">
        <v>1</v>
      </c>
      <c r="E4065" s="3" t="s">
        <v>11</v>
      </c>
      <c r="F4065" s="4">
        <v>65</v>
      </c>
      <c r="G4065" s="4"/>
      <c r="H4065" s="4">
        <f t="shared" si="403"/>
        <v>65</v>
      </c>
    </row>
    <row r="4066" ht="14.25" spans="1:8">
      <c r="A4066" s="3" t="str">
        <f>"20602313502"</f>
        <v>20602313502</v>
      </c>
      <c r="B4066" s="3">
        <v>3</v>
      </c>
      <c r="C4066" s="3">
        <v>135</v>
      </c>
      <c r="D4066" s="3">
        <v>2</v>
      </c>
      <c r="E4066" s="3" t="s">
        <v>11</v>
      </c>
      <c r="F4066" s="4">
        <v>57</v>
      </c>
      <c r="G4066" s="4"/>
      <c r="H4066" s="4">
        <f t="shared" si="403"/>
        <v>57</v>
      </c>
    </row>
    <row r="4067" ht="14.25" spans="1:8">
      <c r="A4067" s="3" t="str">
        <f>"20602313503"</f>
        <v>20602313503</v>
      </c>
      <c r="B4067" s="3">
        <v>3</v>
      </c>
      <c r="C4067" s="3">
        <v>135</v>
      </c>
      <c r="D4067" s="3">
        <v>3</v>
      </c>
      <c r="E4067" s="3" t="s">
        <v>11</v>
      </c>
      <c r="F4067" s="4">
        <v>87</v>
      </c>
      <c r="G4067" s="4"/>
      <c r="H4067" s="4">
        <f t="shared" si="403"/>
        <v>87</v>
      </c>
    </row>
    <row r="4068" ht="14.25" spans="1:8">
      <c r="A4068" s="3" t="str">
        <f>"20602313504"</f>
        <v>20602313504</v>
      </c>
      <c r="B4068" s="3">
        <v>3</v>
      </c>
      <c r="C4068" s="3">
        <v>135</v>
      </c>
      <c r="D4068" s="3">
        <v>4</v>
      </c>
      <c r="E4068" s="3" t="s">
        <v>11</v>
      </c>
      <c r="F4068" s="3">
        <v>0</v>
      </c>
      <c r="G4068" s="4"/>
      <c r="H4068" s="3">
        <v>0</v>
      </c>
    </row>
    <row r="4069" ht="14.25" spans="1:8">
      <c r="A4069" s="3" t="str">
        <f>"20602313505"</f>
        <v>20602313505</v>
      </c>
      <c r="B4069" s="3">
        <v>3</v>
      </c>
      <c r="C4069" s="3">
        <v>135</v>
      </c>
      <c r="D4069" s="3">
        <v>5</v>
      </c>
      <c r="E4069" s="3" t="s">
        <v>11</v>
      </c>
      <c r="F4069" s="4">
        <v>80</v>
      </c>
      <c r="G4069" s="4"/>
      <c r="H4069" s="4">
        <f t="shared" ref="H4069:H4082" si="404">F4069+G4069</f>
        <v>80</v>
      </c>
    </row>
    <row r="4070" ht="14.25" spans="1:8">
      <c r="A4070" s="3" t="str">
        <f>"20602313506"</f>
        <v>20602313506</v>
      </c>
      <c r="B4070" s="3">
        <v>3</v>
      </c>
      <c r="C4070" s="3">
        <v>135</v>
      </c>
      <c r="D4070" s="3">
        <v>6</v>
      </c>
      <c r="E4070" s="3" t="s">
        <v>11</v>
      </c>
      <c r="F4070" s="3">
        <v>0</v>
      </c>
      <c r="G4070" s="4"/>
      <c r="H4070" s="3">
        <v>0</v>
      </c>
    </row>
    <row r="4071" ht="14.25" spans="1:8">
      <c r="A4071" s="3" t="str">
        <f>"20602313507"</f>
        <v>20602313507</v>
      </c>
      <c r="B4071" s="3">
        <v>3</v>
      </c>
      <c r="C4071" s="3">
        <v>135</v>
      </c>
      <c r="D4071" s="3">
        <v>7</v>
      </c>
      <c r="E4071" s="3" t="s">
        <v>11</v>
      </c>
      <c r="F4071" s="4">
        <v>81.5</v>
      </c>
      <c r="G4071" s="4"/>
      <c r="H4071" s="4">
        <f t="shared" si="404"/>
        <v>81.5</v>
      </c>
    </row>
    <row r="4072" ht="14.25" spans="1:8">
      <c r="A4072" s="3" t="str">
        <f>"20602313508"</f>
        <v>20602313508</v>
      </c>
      <c r="B4072" s="3">
        <v>3</v>
      </c>
      <c r="C4072" s="3">
        <v>135</v>
      </c>
      <c r="D4072" s="3">
        <v>8</v>
      </c>
      <c r="E4072" s="3" t="s">
        <v>11</v>
      </c>
      <c r="F4072" s="3">
        <v>0</v>
      </c>
      <c r="G4072" s="4"/>
      <c r="H4072" s="3">
        <v>0</v>
      </c>
    </row>
    <row r="4073" ht="14.25" spans="1:8">
      <c r="A4073" s="3" t="str">
        <f>"20602313509"</f>
        <v>20602313509</v>
      </c>
      <c r="B4073" s="3">
        <v>3</v>
      </c>
      <c r="C4073" s="3">
        <v>135</v>
      </c>
      <c r="D4073" s="3">
        <v>9</v>
      </c>
      <c r="E4073" s="3" t="s">
        <v>11</v>
      </c>
      <c r="F4073" s="4">
        <v>68.5</v>
      </c>
      <c r="G4073" s="4"/>
      <c r="H4073" s="4">
        <f t="shared" si="404"/>
        <v>68.5</v>
      </c>
    </row>
    <row r="4074" ht="14.25" spans="1:8">
      <c r="A4074" s="3" t="str">
        <f>"20602313510"</f>
        <v>20602313510</v>
      </c>
      <c r="B4074" s="3">
        <v>3</v>
      </c>
      <c r="C4074" s="3">
        <v>135</v>
      </c>
      <c r="D4074" s="3">
        <v>10</v>
      </c>
      <c r="E4074" s="3" t="s">
        <v>11</v>
      </c>
      <c r="F4074" s="4">
        <v>54</v>
      </c>
      <c r="G4074" s="4"/>
      <c r="H4074" s="4">
        <f t="shared" si="404"/>
        <v>54</v>
      </c>
    </row>
    <row r="4075" ht="14.25" spans="1:8">
      <c r="A4075" s="3" t="str">
        <f>"20602313511"</f>
        <v>20602313511</v>
      </c>
      <c r="B4075" s="3">
        <v>3</v>
      </c>
      <c r="C4075" s="3">
        <v>135</v>
      </c>
      <c r="D4075" s="3">
        <v>11</v>
      </c>
      <c r="E4075" s="3" t="s">
        <v>11</v>
      </c>
      <c r="F4075" s="4">
        <v>65</v>
      </c>
      <c r="G4075" s="4"/>
      <c r="H4075" s="4">
        <f t="shared" si="404"/>
        <v>65</v>
      </c>
    </row>
    <row r="4076" ht="14.25" spans="1:8">
      <c r="A4076" s="3" t="str">
        <f>"20602313512"</f>
        <v>20602313512</v>
      </c>
      <c r="B4076" s="3">
        <v>3</v>
      </c>
      <c r="C4076" s="3">
        <v>135</v>
      </c>
      <c r="D4076" s="3">
        <v>12</v>
      </c>
      <c r="E4076" s="3" t="s">
        <v>11</v>
      </c>
      <c r="F4076" s="4">
        <v>85.5</v>
      </c>
      <c r="G4076" s="4"/>
      <c r="H4076" s="4">
        <f t="shared" si="404"/>
        <v>85.5</v>
      </c>
    </row>
    <row r="4077" ht="14.25" spans="1:8">
      <c r="A4077" s="3" t="str">
        <f>"20602313513"</f>
        <v>20602313513</v>
      </c>
      <c r="B4077" s="3">
        <v>3</v>
      </c>
      <c r="C4077" s="3">
        <v>135</v>
      </c>
      <c r="D4077" s="3">
        <v>13</v>
      </c>
      <c r="E4077" s="3" t="s">
        <v>11</v>
      </c>
      <c r="F4077" s="4">
        <v>76</v>
      </c>
      <c r="G4077" s="4"/>
      <c r="H4077" s="4">
        <f t="shared" si="404"/>
        <v>76</v>
      </c>
    </row>
    <row r="4078" ht="14.25" spans="1:8">
      <c r="A4078" s="3" t="str">
        <f>"20602313514"</f>
        <v>20602313514</v>
      </c>
      <c r="B4078" s="3">
        <v>3</v>
      </c>
      <c r="C4078" s="3">
        <v>135</v>
      </c>
      <c r="D4078" s="3">
        <v>14</v>
      </c>
      <c r="E4078" s="3" t="s">
        <v>11</v>
      </c>
      <c r="F4078" s="4">
        <v>67</v>
      </c>
      <c r="G4078" s="4"/>
      <c r="H4078" s="4">
        <f t="shared" si="404"/>
        <v>67</v>
      </c>
    </row>
    <row r="4079" ht="14.25" spans="1:8">
      <c r="A4079" s="3" t="str">
        <f>"20602313515"</f>
        <v>20602313515</v>
      </c>
      <c r="B4079" s="3">
        <v>3</v>
      </c>
      <c r="C4079" s="3">
        <v>135</v>
      </c>
      <c r="D4079" s="3">
        <v>15</v>
      </c>
      <c r="E4079" s="3" t="s">
        <v>11</v>
      </c>
      <c r="F4079" s="4">
        <v>64.5</v>
      </c>
      <c r="G4079" s="4"/>
      <c r="H4079" s="4">
        <f t="shared" si="404"/>
        <v>64.5</v>
      </c>
    </row>
    <row r="4080" ht="14.25" spans="1:8">
      <c r="A4080" s="3" t="str">
        <f>"20602313516"</f>
        <v>20602313516</v>
      </c>
      <c r="B4080" s="3">
        <v>3</v>
      </c>
      <c r="C4080" s="3">
        <v>135</v>
      </c>
      <c r="D4080" s="3">
        <v>16</v>
      </c>
      <c r="E4080" s="3" t="s">
        <v>11</v>
      </c>
      <c r="F4080" s="4">
        <v>72</v>
      </c>
      <c r="G4080" s="4"/>
      <c r="H4080" s="4">
        <f t="shared" si="404"/>
        <v>72</v>
      </c>
    </row>
    <row r="4081" ht="14.25" spans="1:8">
      <c r="A4081" s="3" t="str">
        <f>"20602313517"</f>
        <v>20602313517</v>
      </c>
      <c r="B4081" s="3">
        <v>3</v>
      </c>
      <c r="C4081" s="3">
        <v>135</v>
      </c>
      <c r="D4081" s="3">
        <v>17</v>
      </c>
      <c r="E4081" s="3" t="s">
        <v>11</v>
      </c>
      <c r="F4081" s="4">
        <v>63.5</v>
      </c>
      <c r="G4081" s="4"/>
      <c r="H4081" s="4">
        <f t="shared" si="404"/>
        <v>63.5</v>
      </c>
    </row>
    <row r="4082" ht="14.25" spans="1:8">
      <c r="A4082" s="3" t="str">
        <f>"20602313518"</f>
        <v>20602313518</v>
      </c>
      <c r="B4082" s="3">
        <v>3</v>
      </c>
      <c r="C4082" s="3">
        <v>135</v>
      </c>
      <c r="D4082" s="3">
        <v>18</v>
      </c>
      <c r="E4082" s="3" t="s">
        <v>11</v>
      </c>
      <c r="F4082" s="4">
        <v>75</v>
      </c>
      <c r="G4082" s="4"/>
      <c r="H4082" s="4">
        <f t="shared" si="404"/>
        <v>75</v>
      </c>
    </row>
    <row r="4083" ht="14.25" spans="1:8">
      <c r="A4083" s="3" t="str">
        <f>"20602313519"</f>
        <v>20602313519</v>
      </c>
      <c r="B4083" s="3">
        <v>3</v>
      </c>
      <c r="C4083" s="3">
        <v>135</v>
      </c>
      <c r="D4083" s="3">
        <v>19</v>
      </c>
      <c r="E4083" s="3" t="s">
        <v>11</v>
      </c>
      <c r="F4083" s="3">
        <v>0</v>
      </c>
      <c r="G4083" s="4"/>
      <c r="H4083" s="3">
        <v>0</v>
      </c>
    </row>
    <row r="4084" ht="14.25" spans="1:8">
      <c r="A4084" s="3" t="str">
        <f>"20603313520"</f>
        <v>20603313520</v>
      </c>
      <c r="B4084" s="3">
        <v>3</v>
      </c>
      <c r="C4084" s="3">
        <v>135</v>
      </c>
      <c r="D4084" s="3">
        <v>20</v>
      </c>
      <c r="E4084" s="3" t="s">
        <v>11</v>
      </c>
      <c r="F4084" s="4">
        <v>66</v>
      </c>
      <c r="G4084" s="4"/>
      <c r="H4084" s="4">
        <f t="shared" ref="H4084:H4088" si="405">F4084+G4084</f>
        <v>66</v>
      </c>
    </row>
    <row r="4085" ht="14.25" spans="1:8">
      <c r="A4085" s="3" t="str">
        <f>"20603313521"</f>
        <v>20603313521</v>
      </c>
      <c r="B4085" s="3">
        <v>3</v>
      </c>
      <c r="C4085" s="3">
        <v>135</v>
      </c>
      <c r="D4085" s="3">
        <v>21</v>
      </c>
      <c r="E4085" s="3" t="s">
        <v>11</v>
      </c>
      <c r="F4085" s="4">
        <v>83.5</v>
      </c>
      <c r="G4085" s="4"/>
      <c r="H4085" s="4">
        <f t="shared" si="405"/>
        <v>83.5</v>
      </c>
    </row>
    <row r="4086" ht="14.25" spans="1:8">
      <c r="A4086" s="3" t="str">
        <f>"20603313522"</f>
        <v>20603313522</v>
      </c>
      <c r="B4086" s="3">
        <v>3</v>
      </c>
      <c r="C4086" s="3">
        <v>135</v>
      </c>
      <c r="D4086" s="3">
        <v>22</v>
      </c>
      <c r="E4086" s="3" t="s">
        <v>11</v>
      </c>
      <c r="F4086" s="4">
        <v>81</v>
      </c>
      <c r="G4086" s="4"/>
      <c r="H4086" s="4">
        <f t="shared" si="405"/>
        <v>81</v>
      </c>
    </row>
    <row r="4087" ht="14.25" spans="1:8">
      <c r="A4087" s="3" t="str">
        <f>"20603313523"</f>
        <v>20603313523</v>
      </c>
      <c r="B4087" s="3">
        <v>3</v>
      </c>
      <c r="C4087" s="3">
        <v>135</v>
      </c>
      <c r="D4087" s="3">
        <v>23</v>
      </c>
      <c r="E4087" s="3" t="s">
        <v>11</v>
      </c>
      <c r="F4087" s="4">
        <v>56.5</v>
      </c>
      <c r="G4087" s="4"/>
      <c r="H4087" s="4">
        <f t="shared" si="405"/>
        <v>56.5</v>
      </c>
    </row>
    <row r="4088" ht="14.25" spans="1:8">
      <c r="A4088" s="3" t="str">
        <f>"20603313524"</f>
        <v>20603313524</v>
      </c>
      <c r="B4088" s="3">
        <v>3</v>
      </c>
      <c r="C4088" s="3">
        <v>135</v>
      </c>
      <c r="D4088" s="3">
        <v>24</v>
      </c>
      <c r="E4088" s="3" t="s">
        <v>11</v>
      </c>
      <c r="F4088" s="4">
        <v>39</v>
      </c>
      <c r="G4088" s="4"/>
      <c r="H4088" s="4">
        <f t="shared" si="405"/>
        <v>39</v>
      </c>
    </row>
    <row r="4089" ht="14.25" spans="1:8">
      <c r="A4089" s="3" t="str">
        <f>"20603313525"</f>
        <v>20603313525</v>
      </c>
      <c r="B4089" s="3">
        <v>3</v>
      </c>
      <c r="C4089" s="3">
        <v>135</v>
      </c>
      <c r="D4089" s="3">
        <v>25</v>
      </c>
      <c r="E4089" s="3" t="s">
        <v>11</v>
      </c>
      <c r="F4089" s="3">
        <v>0</v>
      </c>
      <c r="G4089" s="4"/>
      <c r="H4089" s="3">
        <v>0</v>
      </c>
    </row>
    <row r="4090" ht="14.25" spans="1:8">
      <c r="A4090" s="3" t="str">
        <f>"20603313526"</f>
        <v>20603313526</v>
      </c>
      <c r="B4090" s="3">
        <v>3</v>
      </c>
      <c r="C4090" s="3">
        <v>135</v>
      </c>
      <c r="D4090" s="3">
        <v>26</v>
      </c>
      <c r="E4090" s="3" t="s">
        <v>11</v>
      </c>
      <c r="F4090" s="4">
        <v>78.5</v>
      </c>
      <c r="G4090" s="4"/>
      <c r="H4090" s="4">
        <f t="shared" ref="H4090:H4093" si="406">F4090+G4090</f>
        <v>78.5</v>
      </c>
    </row>
    <row r="4091" ht="14.25" spans="1:8">
      <c r="A4091" s="3" t="str">
        <f>"20604313527"</f>
        <v>20604313527</v>
      </c>
      <c r="B4091" s="3">
        <v>3</v>
      </c>
      <c r="C4091" s="3">
        <v>135</v>
      </c>
      <c r="D4091" s="3">
        <v>27</v>
      </c>
      <c r="E4091" s="3" t="s">
        <v>11</v>
      </c>
      <c r="F4091" s="4">
        <v>59.5</v>
      </c>
      <c r="G4091" s="4"/>
      <c r="H4091" s="4">
        <f t="shared" si="406"/>
        <v>59.5</v>
      </c>
    </row>
    <row r="4092" ht="14.25" spans="1:8">
      <c r="A4092" s="3" t="str">
        <f>"20604313528"</f>
        <v>20604313528</v>
      </c>
      <c r="B4092" s="3">
        <v>3</v>
      </c>
      <c r="C4092" s="3">
        <v>135</v>
      </c>
      <c r="D4092" s="3">
        <v>28</v>
      </c>
      <c r="E4092" s="3" t="s">
        <v>11</v>
      </c>
      <c r="F4092" s="3">
        <v>0</v>
      </c>
      <c r="G4092" s="4"/>
      <c r="H4092" s="3">
        <v>0</v>
      </c>
    </row>
    <row r="4093" ht="14.25" spans="1:8">
      <c r="A4093" s="3" t="str">
        <f>"20604313529"</f>
        <v>20604313529</v>
      </c>
      <c r="B4093" s="3">
        <v>3</v>
      </c>
      <c r="C4093" s="3">
        <v>135</v>
      </c>
      <c r="D4093" s="3">
        <v>29</v>
      </c>
      <c r="E4093" s="3" t="s">
        <v>11</v>
      </c>
      <c r="F4093" s="4">
        <v>64.5</v>
      </c>
      <c r="G4093" s="4"/>
      <c r="H4093" s="4">
        <f t="shared" si="406"/>
        <v>64.5</v>
      </c>
    </row>
    <row r="4094" ht="14.25" spans="1:8">
      <c r="A4094" s="3" t="str">
        <f>"20604313530"</f>
        <v>20604313530</v>
      </c>
      <c r="B4094" s="3">
        <v>3</v>
      </c>
      <c r="C4094" s="3">
        <v>135</v>
      </c>
      <c r="D4094" s="3">
        <v>30</v>
      </c>
      <c r="E4094" s="3" t="s">
        <v>11</v>
      </c>
      <c r="F4094" s="3">
        <v>0</v>
      </c>
      <c r="G4094" s="4"/>
      <c r="H4094" s="3">
        <v>0</v>
      </c>
    </row>
    <row r="4095" ht="14.25" spans="1:8">
      <c r="A4095" s="3" t="str">
        <f>"20604313601"</f>
        <v>20604313601</v>
      </c>
      <c r="B4095" s="3">
        <v>3</v>
      </c>
      <c r="C4095" s="3">
        <v>136</v>
      </c>
      <c r="D4095" s="3">
        <v>1</v>
      </c>
      <c r="E4095" s="3" t="s">
        <v>11</v>
      </c>
      <c r="F4095" s="4">
        <v>74.5</v>
      </c>
      <c r="G4095" s="4"/>
      <c r="H4095" s="4">
        <f t="shared" ref="H4095:H4097" si="407">F4095+G4095</f>
        <v>74.5</v>
      </c>
    </row>
    <row r="4096" ht="14.25" spans="1:8">
      <c r="A4096" s="3" t="str">
        <f>"20604313602"</f>
        <v>20604313602</v>
      </c>
      <c r="B4096" s="3">
        <v>3</v>
      </c>
      <c r="C4096" s="3">
        <v>136</v>
      </c>
      <c r="D4096" s="3">
        <v>2</v>
      </c>
      <c r="E4096" s="3" t="s">
        <v>11</v>
      </c>
      <c r="F4096" s="4">
        <v>68</v>
      </c>
      <c r="G4096" s="4">
        <v>10</v>
      </c>
      <c r="H4096" s="4">
        <f t="shared" si="407"/>
        <v>78</v>
      </c>
    </row>
    <row r="4097" ht="14.25" spans="1:8">
      <c r="A4097" s="3" t="str">
        <f>"20604313603"</f>
        <v>20604313603</v>
      </c>
      <c r="B4097" s="3">
        <v>3</v>
      </c>
      <c r="C4097" s="3">
        <v>136</v>
      </c>
      <c r="D4097" s="3">
        <v>3</v>
      </c>
      <c r="E4097" s="3" t="s">
        <v>11</v>
      </c>
      <c r="F4097" s="4">
        <v>75.5</v>
      </c>
      <c r="G4097" s="4"/>
      <c r="H4097" s="4">
        <f t="shared" si="407"/>
        <v>75.5</v>
      </c>
    </row>
    <row r="4098" ht="14.25" spans="1:8">
      <c r="A4098" s="3" t="str">
        <f>"20604313604"</f>
        <v>20604313604</v>
      </c>
      <c r="B4098" s="3">
        <v>3</v>
      </c>
      <c r="C4098" s="3">
        <v>136</v>
      </c>
      <c r="D4098" s="3">
        <v>4</v>
      </c>
      <c r="E4098" s="3" t="s">
        <v>11</v>
      </c>
      <c r="F4098" s="3">
        <v>0</v>
      </c>
      <c r="G4098" s="4"/>
      <c r="H4098" s="3">
        <v>0</v>
      </c>
    </row>
    <row r="4099" ht="14.25" spans="1:8">
      <c r="A4099" s="3" t="str">
        <f>"20604313605"</f>
        <v>20604313605</v>
      </c>
      <c r="B4099" s="3">
        <v>3</v>
      </c>
      <c r="C4099" s="3">
        <v>136</v>
      </c>
      <c r="D4099" s="3">
        <v>5</v>
      </c>
      <c r="E4099" s="3" t="s">
        <v>11</v>
      </c>
      <c r="F4099" s="4">
        <v>51</v>
      </c>
      <c r="G4099" s="4"/>
      <c r="H4099" s="4">
        <f t="shared" ref="H4099:H4104" si="408">F4099+G4099</f>
        <v>51</v>
      </c>
    </row>
    <row r="4100" ht="14.25" spans="1:8">
      <c r="A4100" s="3" t="str">
        <f>"20604313606"</f>
        <v>20604313606</v>
      </c>
      <c r="B4100" s="3">
        <v>3</v>
      </c>
      <c r="C4100" s="3">
        <v>136</v>
      </c>
      <c r="D4100" s="3">
        <v>6</v>
      </c>
      <c r="E4100" s="3" t="s">
        <v>11</v>
      </c>
      <c r="F4100" s="3">
        <v>0</v>
      </c>
      <c r="G4100" s="4"/>
      <c r="H4100" s="3">
        <v>0</v>
      </c>
    </row>
    <row r="4101" ht="14.25" spans="1:8">
      <c r="A4101" s="3" t="str">
        <f>"20604313607"</f>
        <v>20604313607</v>
      </c>
      <c r="B4101" s="3">
        <v>3</v>
      </c>
      <c r="C4101" s="3">
        <v>136</v>
      </c>
      <c r="D4101" s="3">
        <v>7</v>
      </c>
      <c r="E4101" s="3" t="s">
        <v>11</v>
      </c>
      <c r="F4101" s="3">
        <v>0</v>
      </c>
      <c r="G4101" s="4"/>
      <c r="H4101" s="3">
        <v>0</v>
      </c>
    </row>
    <row r="4102" ht="14.25" spans="1:8">
      <c r="A4102" s="3" t="str">
        <f>"20605313608"</f>
        <v>20605313608</v>
      </c>
      <c r="B4102" s="3">
        <v>3</v>
      </c>
      <c r="C4102" s="3">
        <v>136</v>
      </c>
      <c r="D4102" s="3">
        <v>8</v>
      </c>
      <c r="E4102" s="3" t="s">
        <v>11</v>
      </c>
      <c r="F4102" s="4">
        <v>78</v>
      </c>
      <c r="G4102" s="4"/>
      <c r="H4102" s="4">
        <f t="shared" si="408"/>
        <v>78</v>
      </c>
    </row>
    <row r="4103" ht="14.25" spans="1:8">
      <c r="A4103" s="3" t="str">
        <f>"20605313609"</f>
        <v>20605313609</v>
      </c>
      <c r="B4103" s="3">
        <v>3</v>
      </c>
      <c r="C4103" s="3">
        <v>136</v>
      </c>
      <c r="D4103" s="3">
        <v>9</v>
      </c>
      <c r="E4103" s="3" t="s">
        <v>11</v>
      </c>
      <c r="F4103" s="4">
        <v>62.5</v>
      </c>
      <c r="G4103" s="4"/>
      <c r="H4103" s="4">
        <f t="shared" si="408"/>
        <v>62.5</v>
      </c>
    </row>
    <row r="4104" ht="14.25" spans="1:8">
      <c r="A4104" s="3" t="str">
        <f>"20605313610"</f>
        <v>20605313610</v>
      </c>
      <c r="B4104" s="3">
        <v>3</v>
      </c>
      <c r="C4104" s="3">
        <v>136</v>
      </c>
      <c r="D4104" s="3">
        <v>10</v>
      </c>
      <c r="E4104" s="3" t="s">
        <v>11</v>
      </c>
      <c r="F4104" s="4">
        <v>75</v>
      </c>
      <c r="G4104" s="4"/>
      <c r="H4104" s="4">
        <f t="shared" si="408"/>
        <v>75</v>
      </c>
    </row>
    <row r="4105" ht="14.25" spans="1:8">
      <c r="A4105" s="3" t="str">
        <f>"20605313611"</f>
        <v>20605313611</v>
      </c>
      <c r="B4105" s="3">
        <v>3</v>
      </c>
      <c r="C4105" s="3">
        <v>136</v>
      </c>
      <c r="D4105" s="3">
        <v>11</v>
      </c>
      <c r="E4105" s="3" t="s">
        <v>11</v>
      </c>
      <c r="F4105" s="3">
        <v>0</v>
      </c>
      <c r="G4105" s="4"/>
      <c r="H4105" s="3">
        <v>0</v>
      </c>
    </row>
    <row r="4106" ht="14.25" spans="1:8">
      <c r="A4106" s="3" t="str">
        <f>"20605313612"</f>
        <v>20605313612</v>
      </c>
      <c r="B4106" s="3">
        <v>3</v>
      </c>
      <c r="C4106" s="3">
        <v>136</v>
      </c>
      <c r="D4106" s="3">
        <v>12</v>
      </c>
      <c r="E4106" s="3" t="s">
        <v>11</v>
      </c>
      <c r="F4106" s="4">
        <v>65.5</v>
      </c>
      <c r="G4106" s="4"/>
      <c r="H4106" s="4">
        <f t="shared" ref="H4106:H4109" si="409">F4106+G4106</f>
        <v>65.5</v>
      </c>
    </row>
    <row r="4107" ht="14.25" spans="1:8">
      <c r="A4107" s="3" t="str">
        <f>"20605313613"</f>
        <v>20605313613</v>
      </c>
      <c r="B4107" s="3">
        <v>3</v>
      </c>
      <c r="C4107" s="3">
        <v>136</v>
      </c>
      <c r="D4107" s="3">
        <v>13</v>
      </c>
      <c r="E4107" s="3" t="s">
        <v>11</v>
      </c>
      <c r="F4107" s="4">
        <v>71.5</v>
      </c>
      <c r="G4107" s="4"/>
      <c r="H4107" s="4">
        <f t="shared" si="409"/>
        <v>71.5</v>
      </c>
    </row>
    <row r="4108" ht="14.25" spans="1:8">
      <c r="A4108" s="3" t="str">
        <f>"20605313614"</f>
        <v>20605313614</v>
      </c>
      <c r="B4108" s="3">
        <v>3</v>
      </c>
      <c r="C4108" s="3">
        <v>136</v>
      </c>
      <c r="D4108" s="3">
        <v>14</v>
      </c>
      <c r="E4108" s="3" t="s">
        <v>11</v>
      </c>
      <c r="F4108" s="4">
        <v>51.5</v>
      </c>
      <c r="G4108" s="4"/>
      <c r="H4108" s="4">
        <f t="shared" si="409"/>
        <v>51.5</v>
      </c>
    </row>
    <row r="4109" ht="14.25" spans="1:8">
      <c r="A4109" s="3" t="str">
        <f>"20605313615"</f>
        <v>20605313615</v>
      </c>
      <c r="B4109" s="3">
        <v>3</v>
      </c>
      <c r="C4109" s="3">
        <v>136</v>
      </c>
      <c r="D4109" s="3">
        <v>15</v>
      </c>
      <c r="E4109" s="3" t="s">
        <v>11</v>
      </c>
      <c r="F4109" s="4">
        <v>82</v>
      </c>
      <c r="G4109" s="4"/>
      <c r="H4109" s="4">
        <f t="shared" si="409"/>
        <v>82</v>
      </c>
    </row>
    <row r="4110" ht="14.25" spans="1:8">
      <c r="A4110" s="3" t="str">
        <f>"20605313616"</f>
        <v>20605313616</v>
      </c>
      <c r="B4110" s="3">
        <v>3</v>
      </c>
      <c r="C4110" s="3">
        <v>136</v>
      </c>
      <c r="D4110" s="3">
        <v>16</v>
      </c>
      <c r="E4110" s="3" t="s">
        <v>11</v>
      </c>
      <c r="F4110" s="3">
        <v>0</v>
      </c>
      <c r="G4110" s="4"/>
      <c r="H4110" s="3">
        <v>0</v>
      </c>
    </row>
    <row r="4111" ht="14.25" spans="1:8">
      <c r="A4111" s="3" t="str">
        <f>"20605313617"</f>
        <v>20605313617</v>
      </c>
      <c r="B4111" s="3">
        <v>3</v>
      </c>
      <c r="C4111" s="3">
        <v>136</v>
      </c>
      <c r="D4111" s="3">
        <v>17</v>
      </c>
      <c r="E4111" s="3" t="s">
        <v>11</v>
      </c>
      <c r="F4111" s="4">
        <v>76.5</v>
      </c>
      <c r="G4111" s="4"/>
      <c r="H4111" s="4">
        <f t="shared" ref="H4111:H4117" si="410">F4111+G4111</f>
        <v>76.5</v>
      </c>
    </row>
    <row r="4112" ht="14.25" spans="1:8">
      <c r="A4112" s="3" t="str">
        <f>"20701313618"</f>
        <v>20701313618</v>
      </c>
      <c r="B4112" s="3">
        <v>3</v>
      </c>
      <c r="C4112" s="3">
        <v>136</v>
      </c>
      <c r="D4112" s="3">
        <v>18</v>
      </c>
      <c r="E4112" s="3" t="s">
        <v>11</v>
      </c>
      <c r="F4112" s="4">
        <v>85.5</v>
      </c>
      <c r="G4112" s="4"/>
      <c r="H4112" s="4">
        <f t="shared" si="410"/>
        <v>85.5</v>
      </c>
    </row>
    <row r="4113" ht="14.25" spans="1:8">
      <c r="A4113" s="3" t="str">
        <f>"20701313619"</f>
        <v>20701313619</v>
      </c>
      <c r="B4113" s="3">
        <v>3</v>
      </c>
      <c r="C4113" s="3">
        <v>136</v>
      </c>
      <c r="D4113" s="3">
        <v>19</v>
      </c>
      <c r="E4113" s="3" t="s">
        <v>11</v>
      </c>
      <c r="F4113" s="4">
        <v>56</v>
      </c>
      <c r="G4113" s="4"/>
      <c r="H4113" s="4">
        <f t="shared" si="410"/>
        <v>56</v>
      </c>
    </row>
    <row r="4114" ht="14.25" spans="1:8">
      <c r="A4114" s="3" t="str">
        <f>"20701313620"</f>
        <v>20701313620</v>
      </c>
      <c r="B4114" s="3">
        <v>3</v>
      </c>
      <c r="C4114" s="3">
        <v>136</v>
      </c>
      <c r="D4114" s="3">
        <v>20</v>
      </c>
      <c r="E4114" s="3" t="s">
        <v>11</v>
      </c>
      <c r="F4114" s="4">
        <v>65</v>
      </c>
      <c r="G4114" s="4"/>
      <c r="H4114" s="4">
        <f t="shared" si="410"/>
        <v>65</v>
      </c>
    </row>
    <row r="4115" ht="14.25" spans="1:8">
      <c r="A4115" s="3" t="str">
        <f>"20701313621"</f>
        <v>20701313621</v>
      </c>
      <c r="B4115" s="3">
        <v>3</v>
      </c>
      <c r="C4115" s="3">
        <v>136</v>
      </c>
      <c r="D4115" s="3">
        <v>21</v>
      </c>
      <c r="E4115" s="3" t="s">
        <v>11</v>
      </c>
      <c r="F4115" s="4">
        <v>77</v>
      </c>
      <c r="G4115" s="4"/>
      <c r="H4115" s="4">
        <f t="shared" si="410"/>
        <v>77</v>
      </c>
    </row>
    <row r="4116" ht="14.25" spans="1:8">
      <c r="A4116" s="3" t="str">
        <f>"20701313622"</f>
        <v>20701313622</v>
      </c>
      <c r="B4116" s="3">
        <v>3</v>
      </c>
      <c r="C4116" s="3">
        <v>136</v>
      </c>
      <c r="D4116" s="3">
        <v>22</v>
      </c>
      <c r="E4116" s="3" t="s">
        <v>11</v>
      </c>
      <c r="F4116" s="4">
        <v>73</v>
      </c>
      <c r="G4116" s="4"/>
      <c r="H4116" s="4">
        <f t="shared" si="410"/>
        <v>73</v>
      </c>
    </row>
    <row r="4117" ht="14.25" spans="1:8">
      <c r="A4117" s="3" t="str">
        <f>"20701313623"</f>
        <v>20701313623</v>
      </c>
      <c r="B4117" s="3">
        <v>3</v>
      </c>
      <c r="C4117" s="3">
        <v>136</v>
      </c>
      <c r="D4117" s="3">
        <v>23</v>
      </c>
      <c r="E4117" s="3" t="s">
        <v>11</v>
      </c>
      <c r="F4117" s="4">
        <v>72</v>
      </c>
      <c r="G4117" s="4"/>
      <c r="H4117" s="4">
        <f t="shared" si="410"/>
        <v>72</v>
      </c>
    </row>
    <row r="4118" ht="14.25" spans="1:8">
      <c r="A4118" s="3" t="str">
        <f>"20701313624"</f>
        <v>20701313624</v>
      </c>
      <c r="B4118" s="3">
        <v>3</v>
      </c>
      <c r="C4118" s="3">
        <v>136</v>
      </c>
      <c r="D4118" s="3">
        <v>24</v>
      </c>
      <c r="E4118" s="3" t="s">
        <v>11</v>
      </c>
      <c r="F4118" s="3">
        <v>0</v>
      </c>
      <c r="G4118" s="4"/>
      <c r="H4118" s="3">
        <v>0</v>
      </c>
    </row>
    <row r="4119" ht="14.25" spans="1:8">
      <c r="A4119" s="3" t="str">
        <f>"20701313625"</f>
        <v>20701313625</v>
      </c>
      <c r="B4119" s="3">
        <v>3</v>
      </c>
      <c r="C4119" s="3">
        <v>136</v>
      </c>
      <c r="D4119" s="3">
        <v>25</v>
      </c>
      <c r="E4119" s="3" t="s">
        <v>11</v>
      </c>
      <c r="F4119" s="3">
        <v>0</v>
      </c>
      <c r="G4119" s="4"/>
      <c r="H4119" s="3">
        <v>0</v>
      </c>
    </row>
    <row r="4120" ht="14.25" spans="1:8">
      <c r="A4120" s="3" t="str">
        <f>"20701313626"</f>
        <v>20701313626</v>
      </c>
      <c r="B4120" s="3">
        <v>3</v>
      </c>
      <c r="C4120" s="3">
        <v>136</v>
      </c>
      <c r="D4120" s="3">
        <v>26</v>
      </c>
      <c r="E4120" s="3" t="s">
        <v>11</v>
      </c>
      <c r="F4120" s="4">
        <v>57.5</v>
      </c>
      <c r="G4120" s="4"/>
      <c r="H4120" s="4">
        <f t="shared" ref="H4120:H4122" si="411">F4120+G4120</f>
        <v>57.5</v>
      </c>
    </row>
    <row r="4121" ht="14.25" spans="1:8">
      <c r="A4121" s="3" t="str">
        <f>"20701313627"</f>
        <v>20701313627</v>
      </c>
      <c r="B4121" s="3">
        <v>3</v>
      </c>
      <c r="C4121" s="3">
        <v>136</v>
      </c>
      <c r="D4121" s="3">
        <v>27</v>
      </c>
      <c r="E4121" s="3" t="s">
        <v>11</v>
      </c>
      <c r="F4121" s="4">
        <v>64.5</v>
      </c>
      <c r="G4121" s="4"/>
      <c r="H4121" s="4">
        <f t="shared" si="411"/>
        <v>64.5</v>
      </c>
    </row>
    <row r="4122" ht="14.25" spans="1:8">
      <c r="A4122" s="3" t="str">
        <f>"20701313628"</f>
        <v>20701313628</v>
      </c>
      <c r="B4122" s="3">
        <v>3</v>
      </c>
      <c r="C4122" s="3">
        <v>136</v>
      </c>
      <c r="D4122" s="3">
        <v>28</v>
      </c>
      <c r="E4122" s="3" t="s">
        <v>11</v>
      </c>
      <c r="F4122" s="4">
        <v>53</v>
      </c>
      <c r="G4122" s="4"/>
      <c r="H4122" s="4">
        <f t="shared" si="411"/>
        <v>53</v>
      </c>
    </row>
    <row r="4123" ht="14.25" spans="1:8">
      <c r="A4123" s="3" t="str">
        <f>"20701313629"</f>
        <v>20701313629</v>
      </c>
      <c r="B4123" s="3">
        <v>3</v>
      </c>
      <c r="C4123" s="3">
        <v>136</v>
      </c>
      <c r="D4123" s="3">
        <v>29</v>
      </c>
      <c r="E4123" s="3" t="s">
        <v>11</v>
      </c>
      <c r="F4123" s="3">
        <v>0</v>
      </c>
      <c r="G4123" s="4"/>
      <c r="H4123" s="3">
        <v>0</v>
      </c>
    </row>
    <row r="4124" ht="14.25" spans="1:8">
      <c r="A4124" s="3" t="str">
        <f>"20701313630"</f>
        <v>20701313630</v>
      </c>
      <c r="B4124" s="3">
        <v>3</v>
      </c>
      <c r="C4124" s="3">
        <v>136</v>
      </c>
      <c r="D4124" s="3">
        <v>30</v>
      </c>
      <c r="E4124" s="3" t="s">
        <v>11</v>
      </c>
      <c r="F4124" s="3">
        <v>0</v>
      </c>
      <c r="G4124" s="4"/>
      <c r="H4124" s="3">
        <v>0</v>
      </c>
    </row>
    <row r="4125" ht="14.25" spans="1:8">
      <c r="A4125" s="3" t="str">
        <f>"20701313701"</f>
        <v>20701313701</v>
      </c>
      <c r="B4125" s="3">
        <v>3</v>
      </c>
      <c r="C4125" s="3">
        <v>137</v>
      </c>
      <c r="D4125" s="3">
        <v>1</v>
      </c>
      <c r="E4125" s="3" t="s">
        <v>11</v>
      </c>
      <c r="F4125" s="4">
        <v>64</v>
      </c>
      <c r="G4125" s="4"/>
      <c r="H4125" s="4">
        <f>F4125+G4125</f>
        <v>64</v>
      </c>
    </row>
    <row r="4126" ht="14.25" spans="1:8">
      <c r="A4126" s="3" t="str">
        <f>"20701313702"</f>
        <v>20701313702</v>
      </c>
      <c r="B4126" s="3">
        <v>3</v>
      </c>
      <c r="C4126" s="3">
        <v>137</v>
      </c>
      <c r="D4126" s="3">
        <v>2</v>
      </c>
      <c r="E4126" s="3" t="s">
        <v>11</v>
      </c>
      <c r="F4126" s="3">
        <v>0</v>
      </c>
      <c r="G4126" s="4"/>
      <c r="H4126" s="3">
        <v>0</v>
      </c>
    </row>
    <row r="4127" ht="14.25" spans="1:8">
      <c r="A4127" s="3" t="str">
        <f>"20702313703"</f>
        <v>20702313703</v>
      </c>
      <c r="B4127" s="3">
        <v>3</v>
      </c>
      <c r="C4127" s="3">
        <v>137</v>
      </c>
      <c r="D4127" s="3">
        <v>3</v>
      </c>
      <c r="E4127" s="3" t="s">
        <v>11</v>
      </c>
      <c r="F4127" s="3">
        <v>0</v>
      </c>
      <c r="G4127" s="4"/>
      <c r="H4127" s="3">
        <v>0</v>
      </c>
    </row>
    <row r="4128" ht="14.25" spans="1:8">
      <c r="A4128" s="3" t="str">
        <f>"20702313704"</f>
        <v>20702313704</v>
      </c>
      <c r="B4128" s="3">
        <v>3</v>
      </c>
      <c r="C4128" s="3">
        <v>137</v>
      </c>
      <c r="D4128" s="3">
        <v>4</v>
      </c>
      <c r="E4128" s="3" t="s">
        <v>11</v>
      </c>
      <c r="F4128" s="3">
        <v>0</v>
      </c>
      <c r="G4128" s="4"/>
      <c r="H4128" s="3">
        <v>0</v>
      </c>
    </row>
    <row r="4129" ht="14.25" spans="1:8">
      <c r="A4129" s="3" t="str">
        <f>"20702313705"</f>
        <v>20702313705</v>
      </c>
      <c r="B4129" s="3">
        <v>3</v>
      </c>
      <c r="C4129" s="3">
        <v>137</v>
      </c>
      <c r="D4129" s="3">
        <v>5</v>
      </c>
      <c r="E4129" s="3" t="s">
        <v>11</v>
      </c>
      <c r="F4129" s="3">
        <v>0</v>
      </c>
      <c r="G4129" s="4"/>
      <c r="H4129" s="3">
        <v>0</v>
      </c>
    </row>
    <row r="4130" ht="14.25" spans="1:8">
      <c r="A4130" s="3" t="str">
        <f>"20702313706"</f>
        <v>20702313706</v>
      </c>
      <c r="B4130" s="3">
        <v>3</v>
      </c>
      <c r="C4130" s="3">
        <v>137</v>
      </c>
      <c r="D4130" s="3">
        <v>6</v>
      </c>
      <c r="E4130" s="3" t="s">
        <v>11</v>
      </c>
      <c r="F4130" s="3">
        <v>0</v>
      </c>
      <c r="G4130" s="4"/>
      <c r="H4130" s="3">
        <v>0</v>
      </c>
    </row>
    <row r="4131" ht="14.25" spans="1:8">
      <c r="A4131" s="3" t="str">
        <f>"20702313707"</f>
        <v>20702313707</v>
      </c>
      <c r="B4131" s="3">
        <v>3</v>
      </c>
      <c r="C4131" s="3">
        <v>137</v>
      </c>
      <c r="D4131" s="3">
        <v>7</v>
      </c>
      <c r="E4131" s="3" t="s">
        <v>11</v>
      </c>
      <c r="F4131" s="3">
        <v>0</v>
      </c>
      <c r="G4131" s="4"/>
      <c r="H4131" s="3">
        <v>0</v>
      </c>
    </row>
    <row r="4132" ht="14.25" spans="1:8">
      <c r="A4132" s="3" t="str">
        <f>"20702313708"</f>
        <v>20702313708</v>
      </c>
      <c r="B4132" s="3">
        <v>3</v>
      </c>
      <c r="C4132" s="3">
        <v>137</v>
      </c>
      <c r="D4132" s="3">
        <v>8</v>
      </c>
      <c r="E4132" s="3" t="s">
        <v>11</v>
      </c>
      <c r="F4132" s="3">
        <v>0</v>
      </c>
      <c r="G4132" s="4"/>
      <c r="H4132" s="3">
        <v>0</v>
      </c>
    </row>
    <row r="4133" ht="14.25" spans="1:8">
      <c r="A4133" s="3" t="str">
        <f>"20702313709"</f>
        <v>20702313709</v>
      </c>
      <c r="B4133" s="3">
        <v>3</v>
      </c>
      <c r="C4133" s="3">
        <v>137</v>
      </c>
      <c r="D4133" s="3">
        <v>9</v>
      </c>
      <c r="E4133" s="3" t="s">
        <v>11</v>
      </c>
      <c r="F4133" s="3">
        <v>0</v>
      </c>
      <c r="G4133" s="4"/>
      <c r="H4133" s="3">
        <v>0</v>
      </c>
    </row>
    <row r="4134" ht="14.25" spans="1:8">
      <c r="A4134" s="3" t="str">
        <f>"20702313710"</f>
        <v>20702313710</v>
      </c>
      <c r="B4134" s="3">
        <v>3</v>
      </c>
      <c r="C4134" s="3">
        <v>137</v>
      </c>
      <c r="D4134" s="3">
        <v>10</v>
      </c>
      <c r="E4134" s="3" t="s">
        <v>11</v>
      </c>
      <c r="F4134" s="3">
        <v>0</v>
      </c>
      <c r="G4134" s="4"/>
      <c r="H4134" s="3">
        <v>0</v>
      </c>
    </row>
    <row r="4135" ht="14.25" spans="1:8">
      <c r="A4135" s="3" t="str">
        <f>"20702313711"</f>
        <v>20702313711</v>
      </c>
      <c r="B4135" s="3">
        <v>3</v>
      </c>
      <c r="C4135" s="3">
        <v>137</v>
      </c>
      <c r="D4135" s="3">
        <v>11</v>
      </c>
      <c r="E4135" s="3" t="s">
        <v>11</v>
      </c>
      <c r="F4135" s="4">
        <v>79</v>
      </c>
      <c r="G4135" s="4"/>
      <c r="H4135" s="4">
        <f t="shared" ref="H4135:H4137" si="412">F4135+G4135</f>
        <v>79</v>
      </c>
    </row>
    <row r="4136" ht="14.25" spans="1:8">
      <c r="A4136" s="3" t="str">
        <f>"20702313712"</f>
        <v>20702313712</v>
      </c>
      <c r="B4136" s="3">
        <v>3</v>
      </c>
      <c r="C4136" s="3">
        <v>137</v>
      </c>
      <c r="D4136" s="3">
        <v>12</v>
      </c>
      <c r="E4136" s="3" t="s">
        <v>11</v>
      </c>
      <c r="F4136" s="4">
        <v>44</v>
      </c>
      <c r="G4136" s="4"/>
      <c r="H4136" s="4">
        <f t="shared" si="412"/>
        <v>44</v>
      </c>
    </row>
    <row r="4137" ht="14.25" spans="1:8">
      <c r="A4137" s="3" t="str">
        <f>"20702313713"</f>
        <v>20702313713</v>
      </c>
      <c r="B4137" s="3">
        <v>3</v>
      </c>
      <c r="C4137" s="3">
        <v>137</v>
      </c>
      <c r="D4137" s="3">
        <v>13</v>
      </c>
      <c r="E4137" s="3" t="s">
        <v>11</v>
      </c>
      <c r="F4137" s="4">
        <v>52.5</v>
      </c>
      <c r="G4137" s="4"/>
      <c r="H4137" s="4">
        <f t="shared" si="412"/>
        <v>52.5</v>
      </c>
    </row>
    <row r="4138" ht="14.25" spans="1:8">
      <c r="A4138" s="3" t="str">
        <f>"20702313714"</f>
        <v>20702313714</v>
      </c>
      <c r="B4138" s="3">
        <v>3</v>
      </c>
      <c r="C4138" s="3">
        <v>137</v>
      </c>
      <c r="D4138" s="3">
        <v>14</v>
      </c>
      <c r="E4138" s="3" t="s">
        <v>11</v>
      </c>
      <c r="F4138" s="3">
        <v>0</v>
      </c>
      <c r="G4138" s="4"/>
      <c r="H4138" s="3">
        <v>0</v>
      </c>
    </row>
    <row r="4139" ht="14.25" spans="1:8">
      <c r="A4139" s="3" t="str">
        <f>"20702313715"</f>
        <v>20702313715</v>
      </c>
      <c r="B4139" s="3">
        <v>3</v>
      </c>
      <c r="C4139" s="3">
        <v>137</v>
      </c>
      <c r="D4139" s="3">
        <v>15</v>
      </c>
      <c r="E4139" s="3" t="s">
        <v>11</v>
      </c>
      <c r="F4139" s="3">
        <v>0</v>
      </c>
      <c r="G4139" s="4"/>
      <c r="H4139" s="3">
        <v>0</v>
      </c>
    </row>
    <row r="4140" ht="14.25" spans="1:8">
      <c r="A4140" s="3" t="str">
        <f>"20702313716"</f>
        <v>20702313716</v>
      </c>
      <c r="B4140" s="3">
        <v>3</v>
      </c>
      <c r="C4140" s="3">
        <v>137</v>
      </c>
      <c r="D4140" s="3">
        <v>16</v>
      </c>
      <c r="E4140" s="3" t="s">
        <v>11</v>
      </c>
      <c r="F4140" s="3">
        <v>0</v>
      </c>
      <c r="G4140" s="4"/>
      <c r="H4140" s="3">
        <v>0</v>
      </c>
    </row>
    <row r="4141" ht="14.25" spans="1:8">
      <c r="A4141" s="3" t="str">
        <f>"20702313717"</f>
        <v>20702313717</v>
      </c>
      <c r="B4141" s="3">
        <v>3</v>
      </c>
      <c r="C4141" s="3">
        <v>137</v>
      </c>
      <c r="D4141" s="3">
        <v>17</v>
      </c>
      <c r="E4141" s="3" t="s">
        <v>11</v>
      </c>
      <c r="F4141" s="4">
        <v>56.5</v>
      </c>
      <c r="G4141" s="4"/>
      <c r="H4141" s="4">
        <f t="shared" ref="H4141:H4145" si="413">F4141+G4141</f>
        <v>56.5</v>
      </c>
    </row>
    <row r="4142" ht="14.25" spans="1:8">
      <c r="A4142" s="3" t="str">
        <f>"20702313718"</f>
        <v>20702313718</v>
      </c>
      <c r="B4142" s="3">
        <v>3</v>
      </c>
      <c r="C4142" s="3">
        <v>137</v>
      </c>
      <c r="D4142" s="3">
        <v>18</v>
      </c>
      <c r="E4142" s="3" t="s">
        <v>11</v>
      </c>
      <c r="F4142" s="4">
        <v>84</v>
      </c>
      <c r="G4142" s="4"/>
      <c r="H4142" s="4">
        <f t="shared" si="413"/>
        <v>84</v>
      </c>
    </row>
    <row r="4143" ht="14.25" spans="1:8">
      <c r="A4143" s="3" t="str">
        <f>"20702313719"</f>
        <v>20702313719</v>
      </c>
      <c r="B4143" s="3">
        <v>3</v>
      </c>
      <c r="C4143" s="3">
        <v>137</v>
      </c>
      <c r="D4143" s="3">
        <v>19</v>
      </c>
      <c r="E4143" s="3" t="s">
        <v>11</v>
      </c>
      <c r="F4143" s="3">
        <v>0</v>
      </c>
      <c r="G4143" s="4"/>
      <c r="H4143" s="3">
        <v>0</v>
      </c>
    </row>
    <row r="4144" ht="14.25" spans="1:8">
      <c r="A4144" s="3" t="str">
        <f>"20702313720"</f>
        <v>20702313720</v>
      </c>
      <c r="B4144" s="3">
        <v>3</v>
      </c>
      <c r="C4144" s="3">
        <v>137</v>
      </c>
      <c r="D4144" s="3">
        <v>20</v>
      </c>
      <c r="E4144" s="3" t="s">
        <v>11</v>
      </c>
      <c r="F4144" s="3">
        <v>0</v>
      </c>
      <c r="G4144" s="4"/>
      <c r="H4144" s="3">
        <v>0</v>
      </c>
    </row>
    <row r="4145" ht="14.25" spans="1:8">
      <c r="A4145" s="3" t="str">
        <f>"20702313721"</f>
        <v>20702313721</v>
      </c>
      <c r="B4145" s="3">
        <v>3</v>
      </c>
      <c r="C4145" s="3">
        <v>137</v>
      </c>
      <c r="D4145" s="3">
        <v>21</v>
      </c>
      <c r="E4145" s="3" t="s">
        <v>11</v>
      </c>
      <c r="F4145" s="4">
        <v>54</v>
      </c>
      <c r="G4145" s="4"/>
      <c r="H4145" s="4">
        <f t="shared" si="413"/>
        <v>54</v>
      </c>
    </row>
    <row r="4146" ht="14.25" spans="1:8">
      <c r="A4146" s="3" t="str">
        <f>"20702313722"</f>
        <v>20702313722</v>
      </c>
      <c r="B4146" s="3">
        <v>3</v>
      </c>
      <c r="C4146" s="3">
        <v>137</v>
      </c>
      <c r="D4146" s="3">
        <v>22</v>
      </c>
      <c r="E4146" s="3" t="s">
        <v>11</v>
      </c>
      <c r="F4146" s="3">
        <v>0</v>
      </c>
      <c r="G4146" s="4"/>
      <c r="H4146" s="3">
        <v>0</v>
      </c>
    </row>
    <row r="4147" ht="14.25" spans="1:8">
      <c r="A4147" s="3" t="str">
        <f>"20702313723"</f>
        <v>20702313723</v>
      </c>
      <c r="B4147" s="3">
        <v>3</v>
      </c>
      <c r="C4147" s="3">
        <v>137</v>
      </c>
      <c r="D4147" s="3">
        <v>23</v>
      </c>
      <c r="E4147" s="3" t="s">
        <v>11</v>
      </c>
      <c r="F4147" s="3">
        <v>0</v>
      </c>
      <c r="G4147" s="4"/>
      <c r="H4147" s="3">
        <v>0</v>
      </c>
    </row>
    <row r="4148" ht="14.25" spans="1:8">
      <c r="A4148" s="3" t="str">
        <f>"20801313724"</f>
        <v>20801313724</v>
      </c>
      <c r="B4148" s="3">
        <v>3</v>
      </c>
      <c r="C4148" s="3">
        <v>137</v>
      </c>
      <c r="D4148" s="3">
        <v>24</v>
      </c>
      <c r="E4148" s="3" t="s">
        <v>11</v>
      </c>
      <c r="F4148" s="4">
        <v>53</v>
      </c>
      <c r="G4148" s="4"/>
      <c r="H4148" s="4">
        <f t="shared" ref="H4148:H4152" si="414">F4148+G4148</f>
        <v>53</v>
      </c>
    </row>
    <row r="4149" ht="14.25" spans="1:8">
      <c r="A4149" s="3" t="str">
        <f>"20801313725"</f>
        <v>20801313725</v>
      </c>
      <c r="B4149" s="3">
        <v>3</v>
      </c>
      <c r="C4149" s="3">
        <v>137</v>
      </c>
      <c r="D4149" s="3">
        <v>25</v>
      </c>
      <c r="E4149" s="3" t="s">
        <v>11</v>
      </c>
      <c r="F4149" s="4">
        <v>54.5</v>
      </c>
      <c r="G4149" s="4"/>
      <c r="H4149" s="4">
        <f t="shared" si="414"/>
        <v>54.5</v>
      </c>
    </row>
    <row r="4150" ht="14.25" spans="1:8">
      <c r="A4150" s="3" t="str">
        <f>"20801313726"</f>
        <v>20801313726</v>
      </c>
      <c r="B4150" s="3">
        <v>3</v>
      </c>
      <c r="C4150" s="3">
        <v>137</v>
      </c>
      <c r="D4150" s="3">
        <v>26</v>
      </c>
      <c r="E4150" s="3" t="s">
        <v>11</v>
      </c>
      <c r="F4150" s="4">
        <v>80</v>
      </c>
      <c r="G4150" s="4"/>
      <c r="H4150" s="4">
        <f t="shared" si="414"/>
        <v>80</v>
      </c>
    </row>
    <row r="4151" ht="14.25" spans="1:8">
      <c r="A4151" s="3" t="str">
        <f>"20801313727"</f>
        <v>20801313727</v>
      </c>
      <c r="B4151" s="3">
        <v>3</v>
      </c>
      <c r="C4151" s="3">
        <v>137</v>
      </c>
      <c r="D4151" s="3">
        <v>27</v>
      </c>
      <c r="E4151" s="3" t="s">
        <v>11</v>
      </c>
      <c r="F4151" s="4">
        <v>72</v>
      </c>
      <c r="G4151" s="4"/>
      <c r="H4151" s="4">
        <f t="shared" si="414"/>
        <v>72</v>
      </c>
    </row>
    <row r="4152" ht="14.25" spans="1:8">
      <c r="A4152" s="3" t="str">
        <f>"20801313728"</f>
        <v>20801313728</v>
      </c>
      <c r="B4152" s="3">
        <v>3</v>
      </c>
      <c r="C4152" s="3">
        <v>137</v>
      </c>
      <c r="D4152" s="3">
        <v>28</v>
      </c>
      <c r="E4152" s="3" t="s">
        <v>11</v>
      </c>
      <c r="F4152" s="4">
        <v>61</v>
      </c>
      <c r="G4152" s="4"/>
      <c r="H4152" s="4">
        <f t="shared" si="414"/>
        <v>61</v>
      </c>
    </row>
    <row r="4153" ht="14.25" spans="1:8">
      <c r="A4153" s="3" t="str">
        <f>"20801313729"</f>
        <v>20801313729</v>
      </c>
      <c r="B4153" s="3">
        <v>3</v>
      </c>
      <c r="C4153" s="3">
        <v>137</v>
      </c>
      <c r="D4153" s="3">
        <v>29</v>
      </c>
      <c r="E4153" s="3" t="s">
        <v>11</v>
      </c>
      <c r="F4153" s="3">
        <v>0</v>
      </c>
      <c r="G4153" s="4"/>
      <c r="H4153" s="3">
        <v>0</v>
      </c>
    </row>
    <row r="4154" ht="14.25" spans="1:8">
      <c r="A4154" s="3" t="str">
        <f>"20801313730"</f>
        <v>20801313730</v>
      </c>
      <c r="B4154" s="3">
        <v>3</v>
      </c>
      <c r="C4154" s="3">
        <v>137</v>
      </c>
      <c r="D4154" s="3">
        <v>30</v>
      </c>
      <c r="E4154" s="3" t="s">
        <v>11</v>
      </c>
      <c r="F4154" s="4">
        <v>61.5</v>
      </c>
      <c r="G4154" s="4"/>
      <c r="H4154" s="4">
        <f t="shared" ref="H4154:H4160" si="415">F4154+G4154</f>
        <v>61.5</v>
      </c>
    </row>
    <row r="4155" ht="14.25" spans="1:8">
      <c r="A4155" s="3" t="str">
        <f>"20801313801"</f>
        <v>20801313801</v>
      </c>
      <c r="B4155" s="3">
        <v>3</v>
      </c>
      <c r="C4155" s="3">
        <v>138</v>
      </c>
      <c r="D4155" s="3">
        <v>1</v>
      </c>
      <c r="E4155" s="3" t="s">
        <v>11</v>
      </c>
      <c r="F4155" s="3">
        <v>0</v>
      </c>
      <c r="G4155" s="4"/>
      <c r="H4155" s="3">
        <v>0</v>
      </c>
    </row>
    <row r="4156" ht="14.25" spans="1:8">
      <c r="A4156" s="3" t="str">
        <f>"20801313802"</f>
        <v>20801313802</v>
      </c>
      <c r="B4156" s="3">
        <v>3</v>
      </c>
      <c r="C4156" s="3">
        <v>138</v>
      </c>
      <c r="D4156" s="3">
        <v>2</v>
      </c>
      <c r="E4156" s="3" t="s">
        <v>11</v>
      </c>
      <c r="F4156" s="3">
        <v>0</v>
      </c>
      <c r="G4156" s="4"/>
      <c r="H4156" s="3">
        <v>0</v>
      </c>
    </row>
    <row r="4157" ht="14.25" spans="1:8">
      <c r="A4157" s="3" t="str">
        <f>"20801313803"</f>
        <v>20801313803</v>
      </c>
      <c r="B4157" s="3">
        <v>3</v>
      </c>
      <c r="C4157" s="3">
        <v>138</v>
      </c>
      <c r="D4157" s="3">
        <v>3</v>
      </c>
      <c r="E4157" s="3" t="s">
        <v>11</v>
      </c>
      <c r="F4157" s="4">
        <v>57.5</v>
      </c>
      <c r="G4157" s="4"/>
      <c r="H4157" s="4">
        <f t="shared" si="415"/>
        <v>57.5</v>
      </c>
    </row>
    <row r="4158" ht="14.25" spans="1:8">
      <c r="A4158" s="3" t="str">
        <f>"20801313804"</f>
        <v>20801313804</v>
      </c>
      <c r="B4158" s="3">
        <v>3</v>
      </c>
      <c r="C4158" s="3">
        <v>138</v>
      </c>
      <c r="D4158" s="3">
        <v>4</v>
      </c>
      <c r="E4158" s="3" t="s">
        <v>11</v>
      </c>
      <c r="F4158" s="3">
        <v>0</v>
      </c>
      <c r="G4158" s="4"/>
      <c r="H4158" s="3">
        <v>0</v>
      </c>
    </row>
    <row r="4159" ht="14.25" spans="1:8">
      <c r="A4159" s="3" t="str">
        <f>"20801313805"</f>
        <v>20801313805</v>
      </c>
      <c r="B4159" s="3">
        <v>3</v>
      </c>
      <c r="C4159" s="3">
        <v>138</v>
      </c>
      <c r="D4159" s="3">
        <v>5</v>
      </c>
      <c r="E4159" s="3" t="s">
        <v>11</v>
      </c>
      <c r="F4159" s="4">
        <v>43.5</v>
      </c>
      <c r="G4159" s="4"/>
      <c r="H4159" s="4">
        <f t="shared" si="415"/>
        <v>43.5</v>
      </c>
    </row>
    <row r="4160" ht="14.25" spans="1:8">
      <c r="A4160" s="3" t="str">
        <f>"20801313806"</f>
        <v>20801313806</v>
      </c>
      <c r="B4160" s="3">
        <v>3</v>
      </c>
      <c r="C4160" s="3">
        <v>138</v>
      </c>
      <c r="D4160" s="3">
        <v>6</v>
      </c>
      <c r="E4160" s="3" t="s">
        <v>11</v>
      </c>
      <c r="F4160" s="4">
        <v>68</v>
      </c>
      <c r="G4160" s="4"/>
      <c r="H4160" s="4">
        <f t="shared" si="415"/>
        <v>68</v>
      </c>
    </row>
    <row r="4161" ht="14.25" spans="1:8">
      <c r="A4161" s="3" t="str">
        <f>"20801313807"</f>
        <v>20801313807</v>
      </c>
      <c r="B4161" s="3">
        <v>3</v>
      </c>
      <c r="C4161" s="3">
        <v>138</v>
      </c>
      <c r="D4161" s="3">
        <v>7</v>
      </c>
      <c r="E4161" s="3" t="s">
        <v>11</v>
      </c>
      <c r="F4161" s="3">
        <v>0</v>
      </c>
      <c r="G4161" s="4"/>
      <c r="H4161" s="3">
        <v>0</v>
      </c>
    </row>
    <row r="4162" ht="14.25" spans="1:8">
      <c r="A4162" s="3" t="str">
        <f>"20801313808"</f>
        <v>20801313808</v>
      </c>
      <c r="B4162" s="3">
        <v>3</v>
      </c>
      <c r="C4162" s="3">
        <v>138</v>
      </c>
      <c r="D4162" s="3">
        <v>8</v>
      </c>
      <c r="E4162" s="3" t="s">
        <v>11</v>
      </c>
      <c r="F4162" s="4">
        <v>39</v>
      </c>
      <c r="G4162" s="4"/>
      <c r="H4162" s="4">
        <f t="shared" ref="H4162:H4164" si="416">F4162+G4162</f>
        <v>39</v>
      </c>
    </row>
    <row r="4163" ht="14.25" spans="1:8">
      <c r="A4163" s="3" t="str">
        <f>"20801313809"</f>
        <v>20801313809</v>
      </c>
      <c r="B4163" s="3">
        <v>3</v>
      </c>
      <c r="C4163" s="3">
        <v>138</v>
      </c>
      <c r="D4163" s="3">
        <v>9</v>
      </c>
      <c r="E4163" s="3" t="s">
        <v>11</v>
      </c>
      <c r="F4163" s="4">
        <v>77.5</v>
      </c>
      <c r="G4163" s="4"/>
      <c r="H4163" s="4">
        <f t="shared" si="416"/>
        <v>77.5</v>
      </c>
    </row>
    <row r="4164" ht="14.25" spans="1:8">
      <c r="A4164" s="3" t="str">
        <f>"20801313810"</f>
        <v>20801313810</v>
      </c>
      <c r="B4164" s="3">
        <v>3</v>
      </c>
      <c r="C4164" s="3">
        <v>138</v>
      </c>
      <c r="D4164" s="3">
        <v>10</v>
      </c>
      <c r="E4164" s="3" t="s">
        <v>11</v>
      </c>
      <c r="F4164" s="4">
        <v>79.5</v>
      </c>
      <c r="G4164" s="4"/>
      <c r="H4164" s="4">
        <f t="shared" si="416"/>
        <v>79.5</v>
      </c>
    </row>
    <row r="4165" ht="14.25" spans="1:8">
      <c r="A4165" s="3" t="str">
        <f>"20802313811"</f>
        <v>20802313811</v>
      </c>
      <c r="B4165" s="3">
        <v>3</v>
      </c>
      <c r="C4165" s="3">
        <v>138</v>
      </c>
      <c r="D4165" s="3">
        <v>11</v>
      </c>
      <c r="E4165" s="3" t="s">
        <v>11</v>
      </c>
      <c r="F4165" s="3">
        <v>0</v>
      </c>
      <c r="G4165" s="4"/>
      <c r="H4165" s="3">
        <v>0</v>
      </c>
    </row>
    <row r="4166" ht="14.25" spans="1:8">
      <c r="A4166" s="3" t="str">
        <f>"20802313812"</f>
        <v>20802313812</v>
      </c>
      <c r="B4166" s="3">
        <v>3</v>
      </c>
      <c r="C4166" s="3">
        <v>138</v>
      </c>
      <c r="D4166" s="3">
        <v>12</v>
      </c>
      <c r="E4166" s="3" t="s">
        <v>11</v>
      </c>
      <c r="F4166" s="3">
        <v>0</v>
      </c>
      <c r="G4166" s="4"/>
      <c r="H4166" s="3">
        <v>0</v>
      </c>
    </row>
    <row r="4167" ht="14.25" spans="1:8">
      <c r="A4167" s="3" t="str">
        <f>"20802313813"</f>
        <v>20802313813</v>
      </c>
      <c r="B4167" s="3">
        <v>3</v>
      </c>
      <c r="C4167" s="3">
        <v>138</v>
      </c>
      <c r="D4167" s="3">
        <v>13</v>
      </c>
      <c r="E4167" s="3" t="s">
        <v>11</v>
      </c>
      <c r="F4167" s="3">
        <v>0</v>
      </c>
      <c r="G4167" s="4"/>
      <c r="H4167" s="3">
        <v>0</v>
      </c>
    </row>
    <row r="4168" ht="14.25" spans="1:8">
      <c r="A4168" s="3" t="str">
        <f>"20802313814"</f>
        <v>20802313814</v>
      </c>
      <c r="B4168" s="3">
        <v>3</v>
      </c>
      <c r="C4168" s="3">
        <v>138</v>
      </c>
      <c r="D4168" s="3">
        <v>14</v>
      </c>
      <c r="E4168" s="3" t="s">
        <v>11</v>
      </c>
      <c r="F4168" s="3">
        <v>0</v>
      </c>
      <c r="G4168" s="4"/>
      <c r="H4168" s="3">
        <v>0</v>
      </c>
    </row>
    <row r="4169" ht="14.25" spans="1:8">
      <c r="A4169" s="3" t="str">
        <f>"20802313815"</f>
        <v>20802313815</v>
      </c>
      <c r="B4169" s="3">
        <v>3</v>
      </c>
      <c r="C4169" s="3">
        <v>138</v>
      </c>
      <c r="D4169" s="3">
        <v>15</v>
      </c>
      <c r="E4169" s="3" t="s">
        <v>11</v>
      </c>
      <c r="F4169" s="3">
        <v>0</v>
      </c>
      <c r="G4169" s="4"/>
      <c r="H4169" s="3">
        <v>0</v>
      </c>
    </row>
    <row r="4170" ht="14.25" spans="1:8">
      <c r="A4170" s="3" t="str">
        <f>"20802313816"</f>
        <v>20802313816</v>
      </c>
      <c r="B4170" s="3">
        <v>3</v>
      </c>
      <c r="C4170" s="3">
        <v>138</v>
      </c>
      <c r="D4170" s="3">
        <v>16</v>
      </c>
      <c r="E4170" s="3" t="s">
        <v>11</v>
      </c>
      <c r="F4170" s="3">
        <v>0</v>
      </c>
      <c r="G4170" s="4"/>
      <c r="H4170" s="3">
        <v>0</v>
      </c>
    </row>
    <row r="4171" ht="14.25" spans="1:8">
      <c r="A4171" s="3" t="str">
        <f>"20802313817"</f>
        <v>20802313817</v>
      </c>
      <c r="B4171" s="3">
        <v>3</v>
      </c>
      <c r="C4171" s="3">
        <v>138</v>
      </c>
      <c r="D4171" s="3">
        <v>17</v>
      </c>
      <c r="E4171" s="3" t="s">
        <v>11</v>
      </c>
      <c r="F4171" s="3">
        <v>0</v>
      </c>
      <c r="G4171" s="4"/>
      <c r="H4171" s="3">
        <v>0</v>
      </c>
    </row>
    <row r="4172" ht="14.25" spans="1:8">
      <c r="A4172" s="3" t="str">
        <f>"20802313818"</f>
        <v>20802313818</v>
      </c>
      <c r="B4172" s="3">
        <v>3</v>
      </c>
      <c r="C4172" s="3">
        <v>138</v>
      </c>
      <c r="D4172" s="3">
        <v>18</v>
      </c>
      <c r="E4172" s="3" t="s">
        <v>11</v>
      </c>
      <c r="F4172" s="3">
        <v>0</v>
      </c>
      <c r="G4172" s="4"/>
      <c r="H4172" s="3">
        <v>0</v>
      </c>
    </row>
    <row r="4173" ht="14.25" spans="1:8">
      <c r="A4173" s="3" t="str">
        <f>"20802313819"</f>
        <v>20802313819</v>
      </c>
      <c r="B4173" s="3">
        <v>3</v>
      </c>
      <c r="C4173" s="3">
        <v>138</v>
      </c>
      <c r="D4173" s="3">
        <v>19</v>
      </c>
      <c r="E4173" s="3" t="s">
        <v>11</v>
      </c>
      <c r="F4173" s="3">
        <v>0</v>
      </c>
      <c r="G4173" s="4"/>
      <c r="H4173" s="3">
        <v>0</v>
      </c>
    </row>
    <row r="4174" ht="14.25" spans="1:8">
      <c r="A4174" s="3" t="str">
        <f>"20802313820"</f>
        <v>20802313820</v>
      </c>
      <c r="B4174" s="3">
        <v>3</v>
      </c>
      <c r="C4174" s="3">
        <v>138</v>
      </c>
      <c r="D4174" s="3">
        <v>20</v>
      </c>
      <c r="E4174" s="3" t="s">
        <v>11</v>
      </c>
      <c r="F4174" s="4">
        <v>83</v>
      </c>
      <c r="G4174" s="4"/>
      <c r="H4174" s="4">
        <f t="shared" ref="H4174:H4184" si="417">F4174+G4174</f>
        <v>83</v>
      </c>
    </row>
    <row r="4175" ht="14.25" spans="1:8">
      <c r="A4175" s="3" t="str">
        <f>"20802313821"</f>
        <v>20802313821</v>
      </c>
      <c r="B4175" s="3">
        <v>3</v>
      </c>
      <c r="C4175" s="3">
        <v>138</v>
      </c>
      <c r="D4175" s="3">
        <v>21</v>
      </c>
      <c r="E4175" s="3" t="s">
        <v>11</v>
      </c>
      <c r="F4175" s="4">
        <v>42.5</v>
      </c>
      <c r="G4175" s="4"/>
      <c r="H4175" s="4">
        <f t="shared" si="417"/>
        <v>42.5</v>
      </c>
    </row>
    <row r="4176" ht="14.25" spans="1:8">
      <c r="A4176" s="3" t="str">
        <f>"20802313822"</f>
        <v>20802313822</v>
      </c>
      <c r="B4176" s="3">
        <v>3</v>
      </c>
      <c r="C4176" s="3">
        <v>138</v>
      </c>
      <c r="D4176" s="3">
        <v>22</v>
      </c>
      <c r="E4176" s="3" t="s">
        <v>11</v>
      </c>
      <c r="F4176" s="3">
        <v>0</v>
      </c>
      <c r="G4176" s="4"/>
      <c r="H4176" s="3">
        <v>0</v>
      </c>
    </row>
    <row r="4177" ht="14.25" spans="1:8">
      <c r="A4177" s="3" t="str">
        <f>"20802313823"</f>
        <v>20802313823</v>
      </c>
      <c r="B4177" s="3">
        <v>3</v>
      </c>
      <c r="C4177" s="3">
        <v>138</v>
      </c>
      <c r="D4177" s="3">
        <v>23</v>
      </c>
      <c r="E4177" s="3" t="s">
        <v>11</v>
      </c>
      <c r="F4177" s="3">
        <v>0</v>
      </c>
      <c r="G4177" s="4"/>
      <c r="H4177" s="3">
        <v>0</v>
      </c>
    </row>
    <row r="4178" ht="14.25" spans="1:8">
      <c r="A4178" s="3" t="str">
        <f>"20802313824"</f>
        <v>20802313824</v>
      </c>
      <c r="B4178" s="3">
        <v>3</v>
      </c>
      <c r="C4178" s="3">
        <v>138</v>
      </c>
      <c r="D4178" s="3">
        <v>24</v>
      </c>
      <c r="E4178" s="3" t="s">
        <v>11</v>
      </c>
      <c r="F4178" s="3">
        <v>0</v>
      </c>
      <c r="G4178" s="4"/>
      <c r="H4178" s="3">
        <v>0</v>
      </c>
    </row>
    <row r="4179" ht="14.25" spans="1:8">
      <c r="A4179" s="3" t="str">
        <f>"20803313825"</f>
        <v>20803313825</v>
      </c>
      <c r="B4179" s="3">
        <v>3</v>
      </c>
      <c r="C4179" s="3">
        <v>138</v>
      </c>
      <c r="D4179" s="3">
        <v>25</v>
      </c>
      <c r="E4179" s="3" t="s">
        <v>11</v>
      </c>
      <c r="F4179" s="4">
        <v>58</v>
      </c>
      <c r="G4179" s="4"/>
      <c r="H4179" s="4">
        <f t="shared" si="417"/>
        <v>58</v>
      </c>
    </row>
    <row r="4180" ht="14.25" spans="1:8">
      <c r="A4180" s="3" t="str">
        <f>"20803313826"</f>
        <v>20803313826</v>
      </c>
      <c r="B4180" s="3">
        <v>3</v>
      </c>
      <c r="C4180" s="3">
        <v>138</v>
      </c>
      <c r="D4180" s="3">
        <v>26</v>
      </c>
      <c r="E4180" s="3" t="s">
        <v>11</v>
      </c>
      <c r="F4180" s="4">
        <v>69</v>
      </c>
      <c r="G4180" s="4"/>
      <c r="H4180" s="4">
        <f t="shared" si="417"/>
        <v>69</v>
      </c>
    </row>
    <row r="4181" ht="14.25" spans="1:8">
      <c r="A4181" s="3" t="str">
        <f>"20803313827"</f>
        <v>20803313827</v>
      </c>
      <c r="B4181" s="3">
        <v>3</v>
      </c>
      <c r="C4181" s="3">
        <v>138</v>
      </c>
      <c r="D4181" s="3">
        <v>27</v>
      </c>
      <c r="E4181" s="3" t="s">
        <v>11</v>
      </c>
      <c r="F4181" s="4">
        <v>69.5</v>
      </c>
      <c r="G4181" s="4"/>
      <c r="H4181" s="4">
        <f t="shared" si="417"/>
        <v>69.5</v>
      </c>
    </row>
    <row r="4182" ht="14.25" spans="1:8">
      <c r="A4182" s="3" t="str">
        <f>"20803313828"</f>
        <v>20803313828</v>
      </c>
      <c r="B4182" s="3">
        <v>3</v>
      </c>
      <c r="C4182" s="3">
        <v>138</v>
      </c>
      <c r="D4182" s="3">
        <v>28</v>
      </c>
      <c r="E4182" s="3" t="s">
        <v>11</v>
      </c>
      <c r="F4182" s="4">
        <v>72.5</v>
      </c>
      <c r="G4182" s="4"/>
      <c r="H4182" s="4">
        <f t="shared" si="417"/>
        <v>72.5</v>
      </c>
    </row>
    <row r="4183" ht="14.25" spans="1:8">
      <c r="A4183" s="3" t="str">
        <f>"20803313829"</f>
        <v>20803313829</v>
      </c>
      <c r="B4183" s="3">
        <v>3</v>
      </c>
      <c r="C4183" s="3">
        <v>138</v>
      </c>
      <c r="D4183" s="3">
        <v>29</v>
      </c>
      <c r="E4183" s="3" t="s">
        <v>11</v>
      </c>
      <c r="F4183" s="4">
        <v>64.5</v>
      </c>
      <c r="G4183" s="4"/>
      <c r="H4183" s="4">
        <f t="shared" si="417"/>
        <v>64.5</v>
      </c>
    </row>
    <row r="4184" ht="14.25" spans="1:8">
      <c r="A4184" s="3" t="str">
        <f>"20803313830"</f>
        <v>20803313830</v>
      </c>
      <c r="B4184" s="3">
        <v>3</v>
      </c>
      <c r="C4184" s="3">
        <v>138</v>
      </c>
      <c r="D4184" s="3">
        <v>30</v>
      </c>
      <c r="E4184" s="3" t="s">
        <v>11</v>
      </c>
      <c r="F4184" s="4">
        <v>64</v>
      </c>
      <c r="G4184" s="4"/>
      <c r="H4184" s="4">
        <f t="shared" si="417"/>
        <v>64</v>
      </c>
    </row>
    <row r="4185" ht="14.25" spans="1:8">
      <c r="A4185" s="3" t="str">
        <f>"20803313901"</f>
        <v>20803313901</v>
      </c>
      <c r="B4185" s="3">
        <v>3</v>
      </c>
      <c r="C4185" s="3">
        <v>139</v>
      </c>
      <c r="D4185" s="3">
        <v>1</v>
      </c>
      <c r="E4185" s="3" t="s">
        <v>11</v>
      </c>
      <c r="F4185" s="3">
        <v>0</v>
      </c>
      <c r="G4185" s="4"/>
      <c r="H4185" s="3">
        <v>0</v>
      </c>
    </row>
    <row r="4186" ht="14.25" spans="1:8">
      <c r="A4186" s="3" t="str">
        <f>"20803313902"</f>
        <v>20803313902</v>
      </c>
      <c r="B4186" s="3">
        <v>3</v>
      </c>
      <c r="C4186" s="3">
        <v>139</v>
      </c>
      <c r="D4186" s="3">
        <v>2</v>
      </c>
      <c r="E4186" s="3" t="s">
        <v>11</v>
      </c>
      <c r="F4186" s="4">
        <v>72</v>
      </c>
      <c r="G4186" s="4"/>
      <c r="H4186" s="4">
        <f t="shared" ref="H4186:H4190" si="418">F4186+G4186</f>
        <v>72</v>
      </c>
    </row>
    <row r="4187" ht="14.25" spans="1:8">
      <c r="A4187" s="3" t="str">
        <f>"20901313903"</f>
        <v>20901313903</v>
      </c>
      <c r="B4187" s="3">
        <v>3</v>
      </c>
      <c r="C4187" s="3">
        <v>139</v>
      </c>
      <c r="D4187" s="3">
        <v>3</v>
      </c>
      <c r="E4187" s="3" t="s">
        <v>11</v>
      </c>
      <c r="F4187" s="4">
        <v>61.5</v>
      </c>
      <c r="G4187" s="4"/>
      <c r="H4187" s="4">
        <f t="shared" si="418"/>
        <v>61.5</v>
      </c>
    </row>
    <row r="4188" ht="14.25" spans="1:8">
      <c r="A4188" s="3" t="str">
        <f>"20901313904"</f>
        <v>20901313904</v>
      </c>
      <c r="B4188" s="3">
        <v>3</v>
      </c>
      <c r="C4188" s="3">
        <v>139</v>
      </c>
      <c r="D4188" s="3">
        <v>4</v>
      </c>
      <c r="E4188" s="3" t="s">
        <v>11</v>
      </c>
      <c r="F4188" s="3">
        <v>0</v>
      </c>
      <c r="G4188" s="4"/>
      <c r="H4188" s="3">
        <v>0</v>
      </c>
    </row>
    <row r="4189" ht="14.25" spans="1:8">
      <c r="A4189" s="3" t="str">
        <f>"20901313905"</f>
        <v>20901313905</v>
      </c>
      <c r="B4189" s="3">
        <v>3</v>
      </c>
      <c r="C4189" s="3">
        <v>139</v>
      </c>
      <c r="D4189" s="3">
        <v>5</v>
      </c>
      <c r="E4189" s="3" t="s">
        <v>11</v>
      </c>
      <c r="F4189" s="3">
        <v>0</v>
      </c>
      <c r="G4189" s="4"/>
      <c r="H4189" s="3">
        <v>0</v>
      </c>
    </row>
    <row r="4190" ht="14.25" spans="1:8">
      <c r="A4190" s="3" t="str">
        <f>"20901313906"</f>
        <v>20901313906</v>
      </c>
      <c r="B4190" s="3">
        <v>3</v>
      </c>
      <c r="C4190" s="3">
        <v>139</v>
      </c>
      <c r="D4190" s="3">
        <v>6</v>
      </c>
      <c r="E4190" s="3" t="s">
        <v>11</v>
      </c>
      <c r="F4190" s="4">
        <v>61.5</v>
      </c>
      <c r="G4190" s="4"/>
      <c r="H4190" s="4">
        <f t="shared" si="418"/>
        <v>61.5</v>
      </c>
    </row>
    <row r="4191" ht="14.25" spans="1:8">
      <c r="A4191" s="3" t="str">
        <f>"20901313907"</f>
        <v>20901313907</v>
      </c>
      <c r="B4191" s="3">
        <v>3</v>
      </c>
      <c r="C4191" s="3">
        <v>139</v>
      </c>
      <c r="D4191" s="3">
        <v>7</v>
      </c>
      <c r="E4191" s="3" t="s">
        <v>11</v>
      </c>
      <c r="F4191" s="3">
        <v>0</v>
      </c>
      <c r="G4191" s="4"/>
      <c r="H4191" s="3">
        <v>0</v>
      </c>
    </row>
    <row r="4192" ht="14.25" spans="1:8">
      <c r="A4192" s="3" t="str">
        <f>"20901313908"</f>
        <v>20901313908</v>
      </c>
      <c r="B4192" s="3">
        <v>3</v>
      </c>
      <c r="C4192" s="3">
        <v>139</v>
      </c>
      <c r="D4192" s="3">
        <v>8</v>
      </c>
      <c r="E4192" s="3" t="s">
        <v>11</v>
      </c>
      <c r="F4192" s="4">
        <v>75</v>
      </c>
      <c r="G4192" s="4"/>
      <c r="H4192" s="4">
        <f>F4192+G4192</f>
        <v>75</v>
      </c>
    </row>
    <row r="4193" ht="14.25" spans="1:8">
      <c r="A4193" s="3" t="str">
        <f>"20901313909"</f>
        <v>20901313909</v>
      </c>
      <c r="B4193" s="3">
        <v>3</v>
      </c>
      <c r="C4193" s="3">
        <v>139</v>
      </c>
      <c r="D4193" s="3">
        <v>9</v>
      </c>
      <c r="E4193" s="3" t="s">
        <v>11</v>
      </c>
      <c r="F4193" s="3">
        <v>0</v>
      </c>
      <c r="G4193" s="4"/>
      <c r="H4193" s="3">
        <v>0</v>
      </c>
    </row>
    <row r="4194" ht="14.25" spans="1:8">
      <c r="A4194" s="3" t="str">
        <f>"20901313910"</f>
        <v>20901313910</v>
      </c>
      <c r="B4194" s="3">
        <v>3</v>
      </c>
      <c r="C4194" s="3">
        <v>139</v>
      </c>
      <c r="D4194" s="3">
        <v>10</v>
      </c>
      <c r="E4194" s="3" t="s">
        <v>11</v>
      </c>
      <c r="F4194" s="3">
        <v>0</v>
      </c>
      <c r="G4194" s="4"/>
      <c r="H4194" s="3">
        <v>0</v>
      </c>
    </row>
    <row r="4195" ht="14.25" spans="1:8">
      <c r="A4195" s="3" t="str">
        <f>"20901313911"</f>
        <v>20901313911</v>
      </c>
      <c r="B4195" s="3">
        <v>3</v>
      </c>
      <c r="C4195" s="3">
        <v>139</v>
      </c>
      <c r="D4195" s="3">
        <v>11</v>
      </c>
      <c r="E4195" s="3" t="s">
        <v>11</v>
      </c>
      <c r="F4195" s="3">
        <v>0</v>
      </c>
      <c r="G4195" s="4"/>
      <c r="H4195" s="3">
        <v>0</v>
      </c>
    </row>
    <row r="4196" ht="14.25" spans="1:8">
      <c r="A4196" s="3" t="str">
        <f>"20901313912"</f>
        <v>20901313912</v>
      </c>
      <c r="B4196" s="3">
        <v>3</v>
      </c>
      <c r="C4196" s="3">
        <v>139</v>
      </c>
      <c r="D4196" s="3">
        <v>12</v>
      </c>
      <c r="E4196" s="3" t="s">
        <v>11</v>
      </c>
      <c r="F4196" s="3">
        <v>0</v>
      </c>
      <c r="G4196" s="4"/>
      <c r="H4196" s="3">
        <v>0</v>
      </c>
    </row>
    <row r="4197" ht="14.25" spans="1:8">
      <c r="A4197" s="3" t="str">
        <f>"20902313913"</f>
        <v>20902313913</v>
      </c>
      <c r="B4197" s="3">
        <v>3</v>
      </c>
      <c r="C4197" s="3">
        <v>139</v>
      </c>
      <c r="D4197" s="3">
        <v>13</v>
      </c>
      <c r="E4197" s="3" t="s">
        <v>11</v>
      </c>
      <c r="F4197" s="3">
        <v>0</v>
      </c>
      <c r="G4197" s="4"/>
      <c r="H4197" s="3">
        <v>0</v>
      </c>
    </row>
    <row r="4198" ht="14.25" spans="1:8">
      <c r="A4198" s="3" t="str">
        <f>"20902313914"</f>
        <v>20902313914</v>
      </c>
      <c r="B4198" s="3">
        <v>3</v>
      </c>
      <c r="C4198" s="3">
        <v>139</v>
      </c>
      <c r="D4198" s="3">
        <v>14</v>
      </c>
      <c r="E4198" s="3" t="s">
        <v>11</v>
      </c>
      <c r="F4198" s="3">
        <v>0</v>
      </c>
      <c r="G4198" s="4"/>
      <c r="H4198" s="3">
        <v>0</v>
      </c>
    </row>
    <row r="4199" ht="14.25" spans="1:8">
      <c r="A4199" s="3" t="str">
        <f>"20902313915"</f>
        <v>20902313915</v>
      </c>
      <c r="B4199" s="3">
        <v>3</v>
      </c>
      <c r="C4199" s="3">
        <v>139</v>
      </c>
      <c r="D4199" s="3">
        <v>15</v>
      </c>
      <c r="E4199" s="3" t="s">
        <v>11</v>
      </c>
      <c r="F4199" s="3">
        <v>0</v>
      </c>
      <c r="G4199" s="4"/>
      <c r="H4199" s="3">
        <v>0</v>
      </c>
    </row>
    <row r="4200" ht="14.25" spans="1:8">
      <c r="A4200" s="3" t="str">
        <f>"20902313916"</f>
        <v>20902313916</v>
      </c>
      <c r="B4200" s="3">
        <v>3</v>
      </c>
      <c r="C4200" s="3">
        <v>139</v>
      </c>
      <c r="D4200" s="3">
        <v>16</v>
      </c>
      <c r="E4200" s="3" t="s">
        <v>11</v>
      </c>
      <c r="F4200" s="4">
        <v>58</v>
      </c>
      <c r="G4200" s="4"/>
      <c r="H4200" s="4">
        <f t="shared" ref="H4200:H4204" si="419">F4200+G4200</f>
        <v>58</v>
      </c>
    </row>
    <row r="4201" ht="14.25" spans="1:8">
      <c r="A4201" s="3" t="str">
        <f>"20902313917"</f>
        <v>20902313917</v>
      </c>
      <c r="B4201" s="3">
        <v>3</v>
      </c>
      <c r="C4201" s="3">
        <v>139</v>
      </c>
      <c r="D4201" s="3">
        <v>17</v>
      </c>
      <c r="E4201" s="3" t="s">
        <v>11</v>
      </c>
      <c r="F4201" s="4">
        <v>78.5</v>
      </c>
      <c r="G4201" s="4"/>
      <c r="H4201" s="4">
        <f t="shared" si="419"/>
        <v>78.5</v>
      </c>
    </row>
    <row r="4202" ht="14.25" spans="1:8">
      <c r="A4202" s="3" t="str">
        <f>"20902313918"</f>
        <v>20902313918</v>
      </c>
      <c r="B4202" s="3">
        <v>3</v>
      </c>
      <c r="C4202" s="3">
        <v>139</v>
      </c>
      <c r="D4202" s="3">
        <v>18</v>
      </c>
      <c r="E4202" s="3" t="s">
        <v>11</v>
      </c>
      <c r="F4202" s="3">
        <v>0</v>
      </c>
      <c r="G4202" s="4"/>
      <c r="H4202" s="3">
        <v>0</v>
      </c>
    </row>
    <row r="4203" ht="14.25" spans="1:8">
      <c r="A4203" s="3" t="str">
        <f>"20902313919"</f>
        <v>20902313919</v>
      </c>
      <c r="B4203" s="3">
        <v>3</v>
      </c>
      <c r="C4203" s="3">
        <v>139</v>
      </c>
      <c r="D4203" s="3">
        <v>19</v>
      </c>
      <c r="E4203" s="3" t="s">
        <v>11</v>
      </c>
      <c r="F4203" s="3">
        <v>0</v>
      </c>
      <c r="G4203" s="4"/>
      <c r="H4203" s="3">
        <v>0</v>
      </c>
    </row>
    <row r="4204" ht="14.25" spans="1:8">
      <c r="A4204" s="3" t="str">
        <f>"20902313920"</f>
        <v>20902313920</v>
      </c>
      <c r="B4204" s="3">
        <v>3</v>
      </c>
      <c r="C4204" s="3">
        <v>139</v>
      </c>
      <c r="D4204" s="3">
        <v>20</v>
      </c>
      <c r="E4204" s="3" t="s">
        <v>11</v>
      </c>
      <c r="F4204" s="4">
        <v>60.5</v>
      </c>
      <c r="G4204" s="4"/>
      <c r="H4204" s="4">
        <f t="shared" si="419"/>
        <v>60.5</v>
      </c>
    </row>
    <row r="4205" ht="14.25" spans="1:8">
      <c r="A4205" s="3" t="str">
        <f>"20902313921"</f>
        <v>20902313921</v>
      </c>
      <c r="B4205" s="3">
        <v>3</v>
      </c>
      <c r="C4205" s="3">
        <v>139</v>
      </c>
      <c r="D4205" s="3">
        <v>21</v>
      </c>
      <c r="E4205" s="3" t="s">
        <v>11</v>
      </c>
      <c r="F4205" s="3">
        <v>0</v>
      </c>
      <c r="G4205" s="4"/>
      <c r="H4205" s="3">
        <v>0</v>
      </c>
    </row>
    <row r="4206" ht="14.25" spans="1:8">
      <c r="A4206" s="3" t="str">
        <f>"20902313922"</f>
        <v>20902313922</v>
      </c>
      <c r="B4206" s="3">
        <v>3</v>
      </c>
      <c r="C4206" s="3">
        <v>139</v>
      </c>
      <c r="D4206" s="3">
        <v>22</v>
      </c>
      <c r="E4206" s="3" t="s">
        <v>11</v>
      </c>
      <c r="F4206" s="4">
        <v>77</v>
      </c>
      <c r="G4206" s="4"/>
      <c r="H4206" s="4">
        <f t="shared" ref="H4206:H4212" si="420">F4206+G4206</f>
        <v>77</v>
      </c>
    </row>
    <row r="4207" ht="14.25" spans="1:8">
      <c r="A4207" s="3" t="str">
        <f>"20903313923"</f>
        <v>20903313923</v>
      </c>
      <c r="B4207" s="3">
        <v>3</v>
      </c>
      <c r="C4207" s="3">
        <v>139</v>
      </c>
      <c r="D4207" s="3">
        <v>23</v>
      </c>
      <c r="E4207" s="3" t="s">
        <v>11</v>
      </c>
      <c r="F4207" s="3">
        <v>0</v>
      </c>
      <c r="G4207" s="4"/>
      <c r="H4207" s="3">
        <v>0</v>
      </c>
    </row>
    <row r="4208" ht="14.25" spans="1:8">
      <c r="A4208" s="3" t="str">
        <f>"20903313924"</f>
        <v>20903313924</v>
      </c>
      <c r="B4208" s="3">
        <v>3</v>
      </c>
      <c r="C4208" s="3">
        <v>139</v>
      </c>
      <c r="D4208" s="3">
        <v>24</v>
      </c>
      <c r="E4208" s="3" t="s">
        <v>11</v>
      </c>
      <c r="F4208" s="4">
        <v>77</v>
      </c>
      <c r="G4208" s="4"/>
      <c r="H4208" s="4">
        <f t="shared" si="420"/>
        <v>77</v>
      </c>
    </row>
    <row r="4209" ht="14.25" spans="1:8">
      <c r="A4209" s="3" t="str">
        <f>"20903313925"</f>
        <v>20903313925</v>
      </c>
      <c r="B4209" s="3">
        <v>3</v>
      </c>
      <c r="C4209" s="3">
        <v>139</v>
      </c>
      <c r="D4209" s="3">
        <v>25</v>
      </c>
      <c r="E4209" s="3" t="s">
        <v>11</v>
      </c>
      <c r="F4209" s="3">
        <v>0</v>
      </c>
      <c r="G4209" s="4"/>
      <c r="H4209" s="3">
        <v>0</v>
      </c>
    </row>
    <row r="4210" ht="14.25" spans="1:8">
      <c r="A4210" s="3" t="str">
        <f>"20903313926"</f>
        <v>20903313926</v>
      </c>
      <c r="B4210" s="3">
        <v>3</v>
      </c>
      <c r="C4210" s="3">
        <v>139</v>
      </c>
      <c r="D4210" s="3">
        <v>26</v>
      </c>
      <c r="E4210" s="3" t="s">
        <v>11</v>
      </c>
      <c r="F4210" s="4">
        <v>65.5</v>
      </c>
      <c r="G4210" s="4"/>
      <c r="H4210" s="4">
        <f t="shared" si="420"/>
        <v>65.5</v>
      </c>
    </row>
    <row r="4211" ht="14.25" spans="1:8">
      <c r="A4211" s="3" t="str">
        <f>"20903313927"</f>
        <v>20903313927</v>
      </c>
      <c r="B4211" s="3">
        <v>3</v>
      </c>
      <c r="C4211" s="3">
        <v>139</v>
      </c>
      <c r="D4211" s="3">
        <v>27</v>
      </c>
      <c r="E4211" s="3" t="s">
        <v>11</v>
      </c>
      <c r="F4211" s="4">
        <v>56.5</v>
      </c>
      <c r="G4211" s="4"/>
      <c r="H4211" s="4">
        <f t="shared" si="420"/>
        <v>56.5</v>
      </c>
    </row>
    <row r="4212" ht="14.25" spans="1:8">
      <c r="A4212" s="3" t="str">
        <f>"20903313928"</f>
        <v>20903313928</v>
      </c>
      <c r="B4212" s="3">
        <v>3</v>
      </c>
      <c r="C4212" s="3">
        <v>139</v>
      </c>
      <c r="D4212" s="3">
        <v>28</v>
      </c>
      <c r="E4212" s="3" t="s">
        <v>11</v>
      </c>
      <c r="F4212" s="4">
        <v>59</v>
      </c>
      <c r="G4212" s="4"/>
      <c r="H4212" s="4">
        <f t="shared" si="420"/>
        <v>59</v>
      </c>
    </row>
    <row r="4213" ht="14.25" spans="1:8">
      <c r="A4213" s="3" t="str">
        <f>"20903313929"</f>
        <v>20903313929</v>
      </c>
      <c r="B4213" s="3">
        <v>3</v>
      </c>
      <c r="C4213" s="3">
        <v>139</v>
      </c>
      <c r="D4213" s="3">
        <v>29</v>
      </c>
      <c r="E4213" s="3" t="s">
        <v>11</v>
      </c>
      <c r="F4213" s="3">
        <v>0</v>
      </c>
      <c r="G4213" s="4"/>
      <c r="H4213" s="3">
        <v>0</v>
      </c>
    </row>
    <row r="4214" ht="14.25" spans="1:8">
      <c r="A4214" s="3" t="str">
        <f>"20903313930"</f>
        <v>20903313930</v>
      </c>
      <c r="B4214" s="3">
        <v>3</v>
      </c>
      <c r="C4214" s="3">
        <v>139</v>
      </c>
      <c r="D4214" s="3">
        <v>30</v>
      </c>
      <c r="E4214" s="3" t="s">
        <v>11</v>
      </c>
      <c r="F4214" s="4">
        <v>55.5</v>
      </c>
      <c r="G4214" s="4"/>
      <c r="H4214" s="4">
        <f t="shared" ref="H4214:H4216" si="421">F4214+G4214</f>
        <v>55.5</v>
      </c>
    </row>
    <row r="4215" ht="14.25" spans="1:8">
      <c r="A4215" s="3" t="str">
        <f>"20903314001"</f>
        <v>20903314001</v>
      </c>
      <c r="B4215" s="3">
        <v>3</v>
      </c>
      <c r="C4215" s="3">
        <v>140</v>
      </c>
      <c r="D4215" s="3">
        <v>1</v>
      </c>
      <c r="E4215" s="3" t="s">
        <v>11</v>
      </c>
      <c r="F4215" s="4">
        <v>82.5</v>
      </c>
      <c r="G4215" s="4"/>
      <c r="H4215" s="4">
        <f t="shared" si="421"/>
        <v>82.5</v>
      </c>
    </row>
    <row r="4216" ht="14.25" spans="1:8">
      <c r="A4216" s="3" t="str">
        <f>"20903314002"</f>
        <v>20903314002</v>
      </c>
      <c r="B4216" s="3">
        <v>3</v>
      </c>
      <c r="C4216" s="3">
        <v>140</v>
      </c>
      <c r="D4216" s="3">
        <v>2</v>
      </c>
      <c r="E4216" s="3" t="s">
        <v>11</v>
      </c>
      <c r="F4216" s="4">
        <v>77</v>
      </c>
      <c r="G4216" s="4"/>
      <c r="H4216" s="4">
        <f t="shared" si="421"/>
        <v>77</v>
      </c>
    </row>
    <row r="4217" ht="14.25" spans="1:8">
      <c r="A4217" s="3" t="str">
        <f>"20903314003"</f>
        <v>20903314003</v>
      </c>
      <c r="B4217" s="3">
        <v>3</v>
      </c>
      <c r="C4217" s="3">
        <v>140</v>
      </c>
      <c r="D4217" s="3">
        <v>3</v>
      </c>
      <c r="E4217" s="3" t="s">
        <v>11</v>
      </c>
      <c r="F4217" s="3">
        <v>0</v>
      </c>
      <c r="G4217" s="4"/>
      <c r="H4217" s="3">
        <v>0</v>
      </c>
    </row>
    <row r="4218" ht="14.25" spans="1:8">
      <c r="A4218" s="3" t="str">
        <f>"20903314004"</f>
        <v>20903314004</v>
      </c>
      <c r="B4218" s="3">
        <v>3</v>
      </c>
      <c r="C4218" s="3">
        <v>140</v>
      </c>
      <c r="D4218" s="3">
        <v>4</v>
      </c>
      <c r="E4218" s="3" t="s">
        <v>11</v>
      </c>
      <c r="F4218" s="4">
        <v>66.5</v>
      </c>
      <c r="G4218" s="4"/>
      <c r="H4218" s="4">
        <f t="shared" ref="H4218:H4222" si="422">F4218+G4218</f>
        <v>66.5</v>
      </c>
    </row>
    <row r="4219" ht="14.25" spans="1:8">
      <c r="A4219" s="3" t="str">
        <f>"20903314005"</f>
        <v>20903314005</v>
      </c>
      <c r="B4219" s="3">
        <v>3</v>
      </c>
      <c r="C4219" s="3">
        <v>140</v>
      </c>
      <c r="D4219" s="3">
        <v>5</v>
      </c>
      <c r="E4219" s="3" t="s">
        <v>11</v>
      </c>
      <c r="F4219" s="4">
        <v>53.5</v>
      </c>
      <c r="G4219" s="4"/>
      <c r="H4219" s="4">
        <f t="shared" si="422"/>
        <v>53.5</v>
      </c>
    </row>
    <row r="4220" ht="14.25" spans="1:8">
      <c r="A4220" s="3" t="str">
        <f>"20903314006"</f>
        <v>20903314006</v>
      </c>
      <c r="B4220" s="3">
        <v>3</v>
      </c>
      <c r="C4220" s="3">
        <v>140</v>
      </c>
      <c r="D4220" s="3">
        <v>6</v>
      </c>
      <c r="E4220" s="3" t="s">
        <v>11</v>
      </c>
      <c r="F4220" s="3">
        <v>0</v>
      </c>
      <c r="G4220" s="4"/>
      <c r="H4220" s="3">
        <v>0</v>
      </c>
    </row>
    <row r="4221" ht="14.25" spans="1:8">
      <c r="A4221" s="3" t="str">
        <f>"20903314007"</f>
        <v>20903314007</v>
      </c>
      <c r="B4221" s="3">
        <v>3</v>
      </c>
      <c r="C4221" s="3">
        <v>140</v>
      </c>
      <c r="D4221" s="3">
        <v>7</v>
      </c>
      <c r="E4221" s="3" t="s">
        <v>11</v>
      </c>
      <c r="F4221" s="3">
        <v>0</v>
      </c>
      <c r="G4221" s="4"/>
      <c r="H4221" s="3">
        <v>0</v>
      </c>
    </row>
    <row r="4222" ht="14.25" spans="1:8">
      <c r="A4222" s="3" t="str">
        <f>"20903314008"</f>
        <v>20903314008</v>
      </c>
      <c r="B4222" s="3">
        <v>3</v>
      </c>
      <c r="C4222" s="3">
        <v>140</v>
      </c>
      <c r="D4222" s="3">
        <v>8</v>
      </c>
      <c r="E4222" s="3" t="s">
        <v>11</v>
      </c>
      <c r="F4222" s="4">
        <v>76.5</v>
      </c>
      <c r="G4222" s="4"/>
      <c r="H4222" s="4">
        <f t="shared" si="422"/>
        <v>76.5</v>
      </c>
    </row>
    <row r="4223" ht="14.25" spans="1:8">
      <c r="A4223" s="3" t="str">
        <f>"20903314009"</f>
        <v>20903314009</v>
      </c>
      <c r="B4223" s="3">
        <v>3</v>
      </c>
      <c r="C4223" s="3">
        <v>140</v>
      </c>
      <c r="D4223" s="3">
        <v>9</v>
      </c>
      <c r="E4223" s="3" t="s">
        <v>11</v>
      </c>
      <c r="F4223" s="3">
        <v>0</v>
      </c>
      <c r="G4223" s="4"/>
      <c r="H4223" s="3">
        <v>0</v>
      </c>
    </row>
    <row r="4224" ht="14.25" spans="1:8">
      <c r="A4224" s="3" t="str">
        <f>"20903314010"</f>
        <v>20903314010</v>
      </c>
      <c r="B4224" s="3">
        <v>3</v>
      </c>
      <c r="C4224" s="3">
        <v>140</v>
      </c>
      <c r="D4224" s="3">
        <v>10</v>
      </c>
      <c r="E4224" s="3" t="s">
        <v>11</v>
      </c>
      <c r="F4224" s="4">
        <v>61.5</v>
      </c>
      <c r="G4224" s="4"/>
      <c r="H4224" s="4">
        <f t="shared" ref="H4224:H4227" si="423">F4224+G4224</f>
        <v>61.5</v>
      </c>
    </row>
    <row r="4225" ht="14.25" spans="1:8">
      <c r="A4225" s="3" t="str">
        <f>"20903314011"</f>
        <v>20903314011</v>
      </c>
      <c r="B4225" s="3">
        <v>3</v>
      </c>
      <c r="C4225" s="3">
        <v>140</v>
      </c>
      <c r="D4225" s="3">
        <v>11</v>
      </c>
      <c r="E4225" s="3" t="s">
        <v>11</v>
      </c>
      <c r="F4225" s="4">
        <v>87</v>
      </c>
      <c r="G4225" s="4"/>
      <c r="H4225" s="4">
        <f t="shared" si="423"/>
        <v>87</v>
      </c>
    </row>
    <row r="4226" ht="14.25" spans="1:8">
      <c r="A4226" s="3" t="str">
        <f>"20903314012"</f>
        <v>20903314012</v>
      </c>
      <c r="B4226" s="3">
        <v>3</v>
      </c>
      <c r="C4226" s="3">
        <v>140</v>
      </c>
      <c r="D4226" s="3">
        <v>12</v>
      </c>
      <c r="E4226" s="3" t="s">
        <v>11</v>
      </c>
      <c r="F4226" s="4">
        <v>56</v>
      </c>
      <c r="G4226" s="4"/>
      <c r="H4226" s="4">
        <f t="shared" si="423"/>
        <v>56</v>
      </c>
    </row>
    <row r="4227" ht="14.25" spans="1:8">
      <c r="A4227" s="3" t="str">
        <f>"20903314013"</f>
        <v>20903314013</v>
      </c>
      <c r="B4227" s="3">
        <v>3</v>
      </c>
      <c r="C4227" s="3">
        <v>140</v>
      </c>
      <c r="D4227" s="3">
        <v>13</v>
      </c>
      <c r="E4227" s="3" t="s">
        <v>11</v>
      </c>
      <c r="F4227" s="4">
        <v>75.5</v>
      </c>
      <c r="G4227" s="4"/>
      <c r="H4227" s="4">
        <f t="shared" si="423"/>
        <v>75.5</v>
      </c>
    </row>
    <row r="4228" ht="14.25" spans="1:8">
      <c r="A4228" s="3" t="str">
        <f>"20903314014"</f>
        <v>20903314014</v>
      </c>
      <c r="B4228" s="3">
        <v>3</v>
      </c>
      <c r="C4228" s="3">
        <v>140</v>
      </c>
      <c r="D4228" s="3">
        <v>14</v>
      </c>
      <c r="E4228" s="3" t="s">
        <v>11</v>
      </c>
      <c r="F4228" s="3">
        <v>0</v>
      </c>
      <c r="G4228" s="4"/>
      <c r="H4228" s="3">
        <v>0</v>
      </c>
    </row>
    <row r="4229" ht="14.25" spans="1:8">
      <c r="A4229" s="3" t="str">
        <f>"20903314015"</f>
        <v>20903314015</v>
      </c>
      <c r="B4229" s="3">
        <v>3</v>
      </c>
      <c r="C4229" s="3">
        <v>140</v>
      </c>
      <c r="D4229" s="3">
        <v>15</v>
      </c>
      <c r="E4229" s="3" t="s">
        <v>11</v>
      </c>
      <c r="F4229" s="4">
        <v>58</v>
      </c>
      <c r="G4229" s="4"/>
      <c r="H4229" s="4">
        <f t="shared" ref="H4229:H4232" si="424">F4229+G4229</f>
        <v>58</v>
      </c>
    </row>
    <row r="4230" ht="14.25" spans="1:8">
      <c r="A4230" s="3" t="str">
        <f>"20903314016"</f>
        <v>20903314016</v>
      </c>
      <c r="B4230" s="3">
        <v>3</v>
      </c>
      <c r="C4230" s="3">
        <v>140</v>
      </c>
      <c r="D4230" s="3">
        <v>16</v>
      </c>
      <c r="E4230" s="3" t="s">
        <v>11</v>
      </c>
      <c r="F4230" s="3">
        <v>0</v>
      </c>
      <c r="G4230" s="4"/>
      <c r="H4230" s="3">
        <v>0</v>
      </c>
    </row>
    <row r="4231" ht="14.25" spans="1:8">
      <c r="A4231" s="3" t="str">
        <f>"20903314017"</f>
        <v>20903314017</v>
      </c>
      <c r="B4231" s="3">
        <v>3</v>
      </c>
      <c r="C4231" s="3">
        <v>140</v>
      </c>
      <c r="D4231" s="3">
        <v>17</v>
      </c>
      <c r="E4231" s="3" t="s">
        <v>11</v>
      </c>
      <c r="F4231" s="4">
        <v>65</v>
      </c>
      <c r="G4231" s="4"/>
      <c r="H4231" s="4">
        <f t="shared" si="424"/>
        <v>65</v>
      </c>
    </row>
    <row r="4232" ht="14.25" spans="1:8">
      <c r="A4232" s="3" t="str">
        <f>"20903314018"</f>
        <v>20903314018</v>
      </c>
      <c r="B4232" s="3">
        <v>3</v>
      </c>
      <c r="C4232" s="3">
        <v>140</v>
      </c>
      <c r="D4232" s="3">
        <v>18</v>
      </c>
      <c r="E4232" s="3" t="s">
        <v>11</v>
      </c>
      <c r="F4232" s="4">
        <v>79</v>
      </c>
      <c r="G4232" s="4"/>
      <c r="H4232" s="4">
        <f t="shared" si="424"/>
        <v>79</v>
      </c>
    </row>
    <row r="4233" ht="14.25" spans="1:8">
      <c r="A4233" s="3" t="str">
        <f>"20903314019"</f>
        <v>20903314019</v>
      </c>
      <c r="B4233" s="3">
        <v>3</v>
      </c>
      <c r="C4233" s="3">
        <v>140</v>
      </c>
      <c r="D4233" s="3">
        <v>19</v>
      </c>
      <c r="E4233" s="3" t="s">
        <v>11</v>
      </c>
      <c r="F4233" s="3">
        <v>0</v>
      </c>
      <c r="G4233" s="4"/>
      <c r="H4233" s="3">
        <v>0</v>
      </c>
    </row>
    <row r="4234" ht="14.25" spans="1:8">
      <c r="A4234" s="3" t="str">
        <f>"20903314020"</f>
        <v>20903314020</v>
      </c>
      <c r="B4234" s="3">
        <v>3</v>
      </c>
      <c r="C4234" s="3">
        <v>140</v>
      </c>
      <c r="D4234" s="3">
        <v>20</v>
      </c>
      <c r="E4234" s="3" t="s">
        <v>11</v>
      </c>
      <c r="F4234" s="3">
        <v>0</v>
      </c>
      <c r="G4234" s="4"/>
      <c r="H4234" s="3">
        <v>0</v>
      </c>
    </row>
    <row r="4235" ht="14.25" spans="1:8">
      <c r="A4235" s="3" t="str">
        <f>"20903314021"</f>
        <v>20903314021</v>
      </c>
      <c r="B4235" s="3">
        <v>3</v>
      </c>
      <c r="C4235" s="3">
        <v>140</v>
      </c>
      <c r="D4235" s="3">
        <v>21</v>
      </c>
      <c r="E4235" s="3" t="s">
        <v>11</v>
      </c>
      <c r="F4235" s="4">
        <v>72</v>
      </c>
      <c r="G4235" s="4"/>
      <c r="H4235" s="4">
        <f t="shared" ref="H4235:H4239" si="425">F4235+G4235</f>
        <v>72</v>
      </c>
    </row>
    <row r="4236" ht="14.25" spans="1:8">
      <c r="A4236" s="3" t="str">
        <f>"20903314022"</f>
        <v>20903314022</v>
      </c>
      <c r="B4236" s="3">
        <v>3</v>
      </c>
      <c r="C4236" s="3">
        <v>140</v>
      </c>
      <c r="D4236" s="3">
        <v>22</v>
      </c>
      <c r="E4236" s="3" t="s">
        <v>11</v>
      </c>
      <c r="F4236" s="4">
        <v>49</v>
      </c>
      <c r="G4236" s="4"/>
      <c r="H4236" s="4">
        <f t="shared" si="425"/>
        <v>49</v>
      </c>
    </row>
    <row r="4237" ht="14.25" spans="1:8">
      <c r="A4237" s="3" t="str">
        <f>"21001314023"</f>
        <v>21001314023</v>
      </c>
      <c r="B4237" s="3">
        <v>3</v>
      </c>
      <c r="C4237" s="3">
        <v>140</v>
      </c>
      <c r="D4237" s="3">
        <v>23</v>
      </c>
      <c r="E4237" s="3" t="s">
        <v>11</v>
      </c>
      <c r="F4237" s="4">
        <v>71</v>
      </c>
      <c r="G4237" s="4"/>
      <c r="H4237" s="4">
        <f t="shared" si="425"/>
        <v>71</v>
      </c>
    </row>
    <row r="4238" ht="14.25" spans="1:8">
      <c r="A4238" s="3" t="str">
        <f>"21001314024"</f>
        <v>21001314024</v>
      </c>
      <c r="B4238" s="3">
        <v>3</v>
      </c>
      <c r="C4238" s="3">
        <v>140</v>
      </c>
      <c r="D4238" s="3">
        <v>24</v>
      </c>
      <c r="E4238" s="3" t="s">
        <v>11</v>
      </c>
      <c r="F4238" s="4">
        <v>80</v>
      </c>
      <c r="G4238" s="4"/>
      <c r="H4238" s="4">
        <f t="shared" si="425"/>
        <v>80</v>
      </c>
    </row>
    <row r="4239" ht="14.25" spans="1:8">
      <c r="A4239" s="3" t="str">
        <f>"21001314025"</f>
        <v>21001314025</v>
      </c>
      <c r="B4239" s="3">
        <v>3</v>
      </c>
      <c r="C4239" s="3">
        <v>140</v>
      </c>
      <c r="D4239" s="3">
        <v>25</v>
      </c>
      <c r="E4239" s="3" t="s">
        <v>11</v>
      </c>
      <c r="F4239" s="4">
        <v>59</v>
      </c>
      <c r="G4239" s="4"/>
      <c r="H4239" s="4">
        <f t="shared" si="425"/>
        <v>59</v>
      </c>
    </row>
    <row r="4240" ht="14.25" spans="1:8">
      <c r="A4240" s="3" t="str">
        <f>"21001314026"</f>
        <v>21001314026</v>
      </c>
      <c r="B4240" s="3">
        <v>3</v>
      </c>
      <c r="C4240" s="3">
        <v>140</v>
      </c>
      <c r="D4240" s="3">
        <v>26</v>
      </c>
      <c r="E4240" s="3" t="s">
        <v>11</v>
      </c>
      <c r="F4240" s="3">
        <v>0</v>
      </c>
      <c r="G4240" s="4"/>
      <c r="H4240" s="3">
        <v>0</v>
      </c>
    </row>
    <row r="4241" ht="14.25" spans="1:8">
      <c r="A4241" s="3" t="str">
        <f>"21001314027"</f>
        <v>21001314027</v>
      </c>
      <c r="B4241" s="3">
        <v>3</v>
      </c>
      <c r="C4241" s="3">
        <v>140</v>
      </c>
      <c r="D4241" s="3">
        <v>27</v>
      </c>
      <c r="E4241" s="3" t="s">
        <v>11</v>
      </c>
      <c r="F4241" s="4">
        <v>81</v>
      </c>
      <c r="G4241" s="4"/>
      <c r="H4241" s="4">
        <f t="shared" ref="H4241:H4245" si="426">F4241+G4241</f>
        <v>81</v>
      </c>
    </row>
    <row r="4242" ht="14.25" spans="1:8">
      <c r="A4242" s="3" t="str">
        <f>"21001314028"</f>
        <v>21001314028</v>
      </c>
      <c r="B4242" s="3">
        <v>3</v>
      </c>
      <c r="C4242" s="3">
        <v>140</v>
      </c>
      <c r="D4242" s="3">
        <v>28</v>
      </c>
      <c r="E4242" s="3" t="s">
        <v>11</v>
      </c>
      <c r="F4242" s="4">
        <v>71</v>
      </c>
      <c r="G4242" s="4"/>
      <c r="H4242" s="4">
        <f t="shared" si="426"/>
        <v>71</v>
      </c>
    </row>
    <row r="4243" ht="14.25" spans="1:8">
      <c r="A4243" s="3" t="str">
        <f>"21001314029"</f>
        <v>21001314029</v>
      </c>
      <c r="B4243" s="3">
        <v>3</v>
      </c>
      <c r="C4243" s="3">
        <v>140</v>
      </c>
      <c r="D4243" s="3">
        <v>29</v>
      </c>
      <c r="E4243" s="3" t="s">
        <v>11</v>
      </c>
      <c r="F4243" s="4">
        <v>61.5</v>
      </c>
      <c r="G4243" s="4"/>
      <c r="H4243" s="4">
        <f t="shared" si="426"/>
        <v>61.5</v>
      </c>
    </row>
    <row r="4244" ht="14.25" spans="1:8">
      <c r="A4244" s="3" t="str">
        <f>"21001314030"</f>
        <v>21001314030</v>
      </c>
      <c r="B4244" s="3">
        <v>3</v>
      </c>
      <c r="C4244" s="3">
        <v>140</v>
      </c>
      <c r="D4244" s="3">
        <v>30</v>
      </c>
      <c r="E4244" s="3" t="s">
        <v>11</v>
      </c>
      <c r="F4244" s="4">
        <v>79</v>
      </c>
      <c r="G4244" s="4"/>
      <c r="H4244" s="4">
        <f t="shared" si="426"/>
        <v>79</v>
      </c>
    </row>
    <row r="4245" ht="14.25" spans="1:8">
      <c r="A4245" s="3" t="str">
        <f>"21001314101"</f>
        <v>21001314101</v>
      </c>
      <c r="B4245" s="3">
        <v>3</v>
      </c>
      <c r="C4245" s="3">
        <v>141</v>
      </c>
      <c r="D4245" s="3">
        <v>1</v>
      </c>
      <c r="E4245" s="3" t="s">
        <v>11</v>
      </c>
      <c r="F4245" s="4">
        <v>73.5</v>
      </c>
      <c r="G4245" s="4"/>
      <c r="H4245" s="4">
        <f t="shared" si="426"/>
        <v>73.5</v>
      </c>
    </row>
    <row r="4246" ht="14.25" spans="1:8">
      <c r="A4246" s="3" t="str">
        <f>"21001314102"</f>
        <v>21001314102</v>
      </c>
      <c r="B4246" s="3">
        <v>3</v>
      </c>
      <c r="C4246" s="3">
        <v>141</v>
      </c>
      <c r="D4246" s="3">
        <v>2</v>
      </c>
      <c r="E4246" s="3" t="s">
        <v>11</v>
      </c>
      <c r="F4246" s="3">
        <v>0</v>
      </c>
      <c r="G4246" s="4"/>
      <c r="H4246" s="3">
        <v>0</v>
      </c>
    </row>
    <row r="4247" ht="14.25" spans="1:8">
      <c r="A4247" s="3" t="str">
        <f>"21001314103"</f>
        <v>21001314103</v>
      </c>
      <c r="B4247" s="3">
        <v>3</v>
      </c>
      <c r="C4247" s="3">
        <v>141</v>
      </c>
      <c r="D4247" s="3">
        <v>3</v>
      </c>
      <c r="E4247" s="3" t="s">
        <v>11</v>
      </c>
      <c r="F4247" s="4">
        <v>76</v>
      </c>
      <c r="G4247" s="4"/>
      <c r="H4247" s="4">
        <f t="shared" ref="H4247:H4255" si="427">F4247+G4247</f>
        <v>76</v>
      </c>
    </row>
    <row r="4248" ht="14.25" spans="1:8">
      <c r="A4248" s="3" t="str">
        <f>"21001314104"</f>
        <v>21001314104</v>
      </c>
      <c r="B4248" s="3">
        <v>3</v>
      </c>
      <c r="C4248" s="3">
        <v>141</v>
      </c>
      <c r="D4248" s="3">
        <v>4</v>
      </c>
      <c r="E4248" s="3" t="s">
        <v>11</v>
      </c>
      <c r="F4248" s="4">
        <v>82.5</v>
      </c>
      <c r="G4248" s="4"/>
      <c r="H4248" s="4">
        <f t="shared" si="427"/>
        <v>82.5</v>
      </c>
    </row>
    <row r="4249" ht="14.25" spans="1:8">
      <c r="A4249" s="3" t="str">
        <f>"21001314105"</f>
        <v>21001314105</v>
      </c>
      <c r="B4249" s="3">
        <v>3</v>
      </c>
      <c r="C4249" s="3">
        <v>141</v>
      </c>
      <c r="D4249" s="3">
        <v>5</v>
      </c>
      <c r="E4249" s="3" t="s">
        <v>11</v>
      </c>
      <c r="F4249" s="4">
        <v>74.5</v>
      </c>
      <c r="G4249" s="4"/>
      <c r="H4249" s="4">
        <f t="shared" si="427"/>
        <v>74.5</v>
      </c>
    </row>
    <row r="4250" ht="14.25" spans="1:8">
      <c r="A4250" s="3" t="str">
        <f>"21001314106"</f>
        <v>21001314106</v>
      </c>
      <c r="B4250" s="3">
        <v>3</v>
      </c>
      <c r="C4250" s="3">
        <v>141</v>
      </c>
      <c r="D4250" s="3">
        <v>6</v>
      </c>
      <c r="E4250" s="3" t="s">
        <v>11</v>
      </c>
      <c r="F4250" s="4">
        <v>56.5</v>
      </c>
      <c r="G4250" s="4"/>
      <c r="H4250" s="4">
        <f t="shared" si="427"/>
        <v>56.5</v>
      </c>
    </row>
    <row r="4251" ht="14.25" spans="1:8">
      <c r="A4251" s="3" t="str">
        <f>"21001314107"</f>
        <v>21001314107</v>
      </c>
      <c r="B4251" s="3">
        <v>3</v>
      </c>
      <c r="C4251" s="3">
        <v>141</v>
      </c>
      <c r="D4251" s="3">
        <v>7</v>
      </c>
      <c r="E4251" s="3" t="s">
        <v>11</v>
      </c>
      <c r="F4251" s="4">
        <v>53</v>
      </c>
      <c r="G4251" s="4"/>
      <c r="H4251" s="4">
        <f t="shared" si="427"/>
        <v>53</v>
      </c>
    </row>
    <row r="4252" ht="14.25" spans="1:8">
      <c r="A4252" s="3" t="str">
        <f>"21001314108"</f>
        <v>21001314108</v>
      </c>
      <c r="B4252" s="3">
        <v>3</v>
      </c>
      <c r="C4252" s="3">
        <v>141</v>
      </c>
      <c r="D4252" s="3">
        <v>8</v>
      </c>
      <c r="E4252" s="3" t="s">
        <v>11</v>
      </c>
      <c r="F4252" s="4">
        <v>76</v>
      </c>
      <c r="G4252" s="4"/>
      <c r="H4252" s="4">
        <f t="shared" si="427"/>
        <v>76</v>
      </c>
    </row>
    <row r="4253" ht="14.25" spans="1:8">
      <c r="A4253" s="3" t="str">
        <f>"21001314109"</f>
        <v>21001314109</v>
      </c>
      <c r="B4253" s="3">
        <v>3</v>
      </c>
      <c r="C4253" s="3">
        <v>141</v>
      </c>
      <c r="D4253" s="3">
        <v>9</v>
      </c>
      <c r="E4253" s="3" t="s">
        <v>11</v>
      </c>
      <c r="F4253" s="4">
        <v>66</v>
      </c>
      <c r="G4253" s="4"/>
      <c r="H4253" s="4">
        <f t="shared" si="427"/>
        <v>66</v>
      </c>
    </row>
    <row r="4254" ht="14.25" spans="1:8">
      <c r="A4254" s="3" t="str">
        <f>"21001314110"</f>
        <v>21001314110</v>
      </c>
      <c r="B4254" s="3">
        <v>3</v>
      </c>
      <c r="C4254" s="3">
        <v>141</v>
      </c>
      <c r="D4254" s="3">
        <v>10</v>
      </c>
      <c r="E4254" s="3" t="s">
        <v>11</v>
      </c>
      <c r="F4254" s="4">
        <v>54.5</v>
      </c>
      <c r="G4254" s="4"/>
      <c r="H4254" s="4">
        <f t="shared" si="427"/>
        <v>54.5</v>
      </c>
    </row>
    <row r="4255" ht="14.25" spans="1:8">
      <c r="A4255" s="3" t="str">
        <f>"21001314111"</f>
        <v>21001314111</v>
      </c>
      <c r="B4255" s="3">
        <v>3</v>
      </c>
      <c r="C4255" s="3">
        <v>141</v>
      </c>
      <c r="D4255" s="3">
        <v>11</v>
      </c>
      <c r="E4255" s="3" t="s">
        <v>11</v>
      </c>
      <c r="F4255" s="4">
        <v>80.5</v>
      </c>
      <c r="G4255" s="4"/>
      <c r="H4255" s="4">
        <f t="shared" si="427"/>
        <v>80.5</v>
      </c>
    </row>
    <row r="4256" ht="14.25" spans="1:8">
      <c r="A4256" s="3" t="str">
        <f>"21001314112"</f>
        <v>21001314112</v>
      </c>
      <c r="B4256" s="3">
        <v>3</v>
      </c>
      <c r="C4256" s="3">
        <v>141</v>
      </c>
      <c r="D4256" s="3">
        <v>12</v>
      </c>
      <c r="E4256" s="3" t="s">
        <v>11</v>
      </c>
      <c r="F4256" s="3">
        <v>0</v>
      </c>
      <c r="G4256" s="4"/>
      <c r="H4256" s="3">
        <v>0</v>
      </c>
    </row>
    <row r="4257" ht="14.25" spans="1:8">
      <c r="A4257" s="3" t="str">
        <f>"21001314113"</f>
        <v>21001314113</v>
      </c>
      <c r="B4257" s="3">
        <v>3</v>
      </c>
      <c r="C4257" s="3">
        <v>141</v>
      </c>
      <c r="D4257" s="3">
        <v>13</v>
      </c>
      <c r="E4257" s="3" t="s">
        <v>11</v>
      </c>
      <c r="F4257" s="4">
        <v>82</v>
      </c>
      <c r="G4257" s="4"/>
      <c r="H4257" s="4">
        <f t="shared" ref="H4257:H4261" si="428">F4257+G4257</f>
        <v>82</v>
      </c>
    </row>
    <row r="4258" ht="14.25" spans="1:8">
      <c r="A4258" s="3" t="str">
        <f>"21001314114"</f>
        <v>21001314114</v>
      </c>
      <c r="B4258" s="3">
        <v>3</v>
      </c>
      <c r="C4258" s="3">
        <v>141</v>
      </c>
      <c r="D4258" s="3">
        <v>14</v>
      </c>
      <c r="E4258" s="3" t="s">
        <v>11</v>
      </c>
      <c r="F4258" s="4">
        <v>79.5</v>
      </c>
      <c r="G4258" s="4"/>
      <c r="H4258" s="4">
        <f t="shared" si="428"/>
        <v>79.5</v>
      </c>
    </row>
    <row r="4259" ht="14.25" spans="1:8">
      <c r="A4259" s="3" t="str">
        <f>"21001314115"</f>
        <v>21001314115</v>
      </c>
      <c r="B4259" s="3">
        <v>3</v>
      </c>
      <c r="C4259" s="3">
        <v>141</v>
      </c>
      <c r="D4259" s="3">
        <v>15</v>
      </c>
      <c r="E4259" s="3" t="s">
        <v>11</v>
      </c>
      <c r="F4259" s="4">
        <v>82</v>
      </c>
      <c r="G4259" s="4"/>
      <c r="H4259" s="4">
        <f t="shared" si="428"/>
        <v>82</v>
      </c>
    </row>
    <row r="4260" ht="14.25" spans="1:8">
      <c r="A4260" s="3" t="str">
        <f>"21001314116"</f>
        <v>21001314116</v>
      </c>
      <c r="B4260" s="3">
        <v>3</v>
      </c>
      <c r="C4260" s="3">
        <v>141</v>
      </c>
      <c r="D4260" s="3">
        <v>16</v>
      </c>
      <c r="E4260" s="3" t="s">
        <v>11</v>
      </c>
      <c r="F4260" s="4">
        <v>48.5</v>
      </c>
      <c r="G4260" s="4"/>
      <c r="H4260" s="4">
        <f t="shared" si="428"/>
        <v>48.5</v>
      </c>
    </row>
    <row r="4261" ht="14.25" spans="1:8">
      <c r="A4261" s="3" t="str">
        <f>"21001314117"</f>
        <v>21001314117</v>
      </c>
      <c r="B4261" s="3">
        <v>3</v>
      </c>
      <c r="C4261" s="3">
        <v>141</v>
      </c>
      <c r="D4261" s="3">
        <v>17</v>
      </c>
      <c r="E4261" s="3" t="s">
        <v>11</v>
      </c>
      <c r="F4261" s="4">
        <v>76.5</v>
      </c>
      <c r="G4261" s="4"/>
      <c r="H4261" s="4">
        <f t="shared" si="428"/>
        <v>76.5</v>
      </c>
    </row>
    <row r="4262" ht="14.25" spans="1:8">
      <c r="A4262" s="3" t="str">
        <f>"21001314118"</f>
        <v>21001314118</v>
      </c>
      <c r="B4262" s="3">
        <v>3</v>
      </c>
      <c r="C4262" s="3">
        <v>141</v>
      </c>
      <c r="D4262" s="3">
        <v>18</v>
      </c>
      <c r="E4262" s="3" t="s">
        <v>11</v>
      </c>
      <c r="F4262" s="3">
        <v>0</v>
      </c>
      <c r="G4262" s="4"/>
      <c r="H4262" s="3">
        <v>0</v>
      </c>
    </row>
    <row r="4263" ht="14.25" spans="1:8">
      <c r="A4263" s="3" t="str">
        <f>"21001314119"</f>
        <v>21001314119</v>
      </c>
      <c r="B4263" s="3">
        <v>3</v>
      </c>
      <c r="C4263" s="3">
        <v>141</v>
      </c>
      <c r="D4263" s="3">
        <v>19</v>
      </c>
      <c r="E4263" s="3" t="s">
        <v>11</v>
      </c>
      <c r="F4263" s="3">
        <v>0</v>
      </c>
      <c r="G4263" s="4"/>
      <c r="H4263" s="3">
        <v>0</v>
      </c>
    </row>
    <row r="4264" ht="14.25" spans="1:8">
      <c r="A4264" s="3" t="str">
        <f>"21001314120"</f>
        <v>21001314120</v>
      </c>
      <c r="B4264" s="3">
        <v>3</v>
      </c>
      <c r="C4264" s="3">
        <v>141</v>
      </c>
      <c r="D4264" s="3">
        <v>20</v>
      </c>
      <c r="E4264" s="3" t="s">
        <v>11</v>
      </c>
      <c r="F4264" s="4">
        <v>62.5</v>
      </c>
      <c r="G4264" s="4"/>
      <c r="H4264" s="4">
        <f t="shared" ref="H4264:H4276" si="429">F4264+G4264</f>
        <v>62.5</v>
      </c>
    </row>
    <row r="4265" ht="14.25" spans="1:8">
      <c r="A4265" s="3" t="str">
        <f>"21001314121"</f>
        <v>21001314121</v>
      </c>
      <c r="B4265" s="3">
        <v>3</v>
      </c>
      <c r="C4265" s="3">
        <v>141</v>
      </c>
      <c r="D4265" s="3">
        <v>21</v>
      </c>
      <c r="E4265" s="3" t="s">
        <v>11</v>
      </c>
      <c r="F4265" s="4">
        <v>73</v>
      </c>
      <c r="G4265" s="4"/>
      <c r="H4265" s="4">
        <f t="shared" si="429"/>
        <v>73</v>
      </c>
    </row>
    <row r="4266" ht="14.25" spans="1:8">
      <c r="A4266" s="3" t="str">
        <f>"21001314122"</f>
        <v>21001314122</v>
      </c>
      <c r="B4266" s="3">
        <v>3</v>
      </c>
      <c r="C4266" s="3">
        <v>141</v>
      </c>
      <c r="D4266" s="3">
        <v>22</v>
      </c>
      <c r="E4266" s="3" t="s">
        <v>11</v>
      </c>
      <c r="F4266" s="4">
        <v>74</v>
      </c>
      <c r="G4266" s="4"/>
      <c r="H4266" s="4">
        <f t="shared" si="429"/>
        <v>74</v>
      </c>
    </row>
    <row r="4267" ht="14.25" spans="1:8">
      <c r="A4267" s="3" t="str">
        <f>"21001314123"</f>
        <v>21001314123</v>
      </c>
      <c r="B4267" s="3">
        <v>3</v>
      </c>
      <c r="C4267" s="3">
        <v>141</v>
      </c>
      <c r="D4267" s="3">
        <v>23</v>
      </c>
      <c r="E4267" s="3" t="s">
        <v>11</v>
      </c>
      <c r="F4267" s="4">
        <v>81.5</v>
      </c>
      <c r="G4267" s="4"/>
      <c r="H4267" s="4">
        <f t="shared" si="429"/>
        <v>81.5</v>
      </c>
    </row>
    <row r="4268" ht="14.25" spans="1:8">
      <c r="A4268" s="3" t="str">
        <f>"21001314124"</f>
        <v>21001314124</v>
      </c>
      <c r="B4268" s="3">
        <v>3</v>
      </c>
      <c r="C4268" s="3">
        <v>141</v>
      </c>
      <c r="D4268" s="3">
        <v>24</v>
      </c>
      <c r="E4268" s="3" t="s">
        <v>11</v>
      </c>
      <c r="F4268" s="4">
        <v>55.5</v>
      </c>
      <c r="G4268" s="4"/>
      <c r="H4268" s="4">
        <f t="shared" si="429"/>
        <v>55.5</v>
      </c>
    </row>
    <row r="4269" ht="14.25" spans="1:8">
      <c r="A4269" s="3" t="str">
        <f>"21001314125"</f>
        <v>21001314125</v>
      </c>
      <c r="B4269" s="3">
        <v>3</v>
      </c>
      <c r="C4269" s="3">
        <v>141</v>
      </c>
      <c r="D4269" s="3">
        <v>25</v>
      </c>
      <c r="E4269" s="3" t="s">
        <v>11</v>
      </c>
      <c r="F4269" s="4">
        <v>81</v>
      </c>
      <c r="G4269" s="4"/>
      <c r="H4269" s="4">
        <f t="shared" si="429"/>
        <v>81</v>
      </c>
    </row>
    <row r="4270" ht="14.25" spans="1:8">
      <c r="A4270" s="3" t="str">
        <f>"21001314126"</f>
        <v>21001314126</v>
      </c>
      <c r="B4270" s="3">
        <v>3</v>
      </c>
      <c r="C4270" s="3">
        <v>141</v>
      </c>
      <c r="D4270" s="3">
        <v>26</v>
      </c>
      <c r="E4270" s="3" t="s">
        <v>11</v>
      </c>
      <c r="F4270" s="4">
        <v>55</v>
      </c>
      <c r="G4270" s="4"/>
      <c r="H4270" s="4">
        <f t="shared" si="429"/>
        <v>55</v>
      </c>
    </row>
    <row r="4271" ht="14.25" spans="1:8">
      <c r="A4271" s="3" t="str">
        <f>"21001314127"</f>
        <v>21001314127</v>
      </c>
      <c r="B4271" s="3">
        <v>3</v>
      </c>
      <c r="C4271" s="3">
        <v>141</v>
      </c>
      <c r="D4271" s="3">
        <v>27</v>
      </c>
      <c r="E4271" s="3" t="s">
        <v>11</v>
      </c>
      <c r="F4271" s="4">
        <v>87.5</v>
      </c>
      <c r="G4271" s="4"/>
      <c r="H4271" s="4">
        <f t="shared" si="429"/>
        <v>87.5</v>
      </c>
    </row>
    <row r="4272" ht="14.25" spans="1:8">
      <c r="A4272" s="3" t="str">
        <f>"21001314128"</f>
        <v>21001314128</v>
      </c>
      <c r="B4272" s="3">
        <v>3</v>
      </c>
      <c r="C4272" s="3">
        <v>141</v>
      </c>
      <c r="D4272" s="3">
        <v>28</v>
      </c>
      <c r="E4272" s="3" t="s">
        <v>11</v>
      </c>
      <c r="F4272" s="4">
        <v>81</v>
      </c>
      <c r="G4272" s="4"/>
      <c r="H4272" s="4">
        <f t="shared" si="429"/>
        <v>81</v>
      </c>
    </row>
    <row r="4273" ht="14.25" spans="1:8">
      <c r="A4273" s="3" t="str">
        <f>"21001314129"</f>
        <v>21001314129</v>
      </c>
      <c r="B4273" s="3">
        <v>3</v>
      </c>
      <c r="C4273" s="3">
        <v>141</v>
      </c>
      <c r="D4273" s="3">
        <v>29</v>
      </c>
      <c r="E4273" s="3" t="s">
        <v>11</v>
      </c>
      <c r="F4273" s="4">
        <v>77</v>
      </c>
      <c r="G4273" s="4"/>
      <c r="H4273" s="4">
        <f t="shared" si="429"/>
        <v>77</v>
      </c>
    </row>
    <row r="4274" ht="14.25" spans="1:8">
      <c r="A4274" s="3" t="str">
        <f>"21001314130"</f>
        <v>21001314130</v>
      </c>
      <c r="B4274" s="3">
        <v>3</v>
      </c>
      <c r="C4274" s="3">
        <v>141</v>
      </c>
      <c r="D4274" s="3">
        <v>30</v>
      </c>
      <c r="E4274" s="3" t="s">
        <v>11</v>
      </c>
      <c r="F4274" s="4">
        <v>73.5</v>
      </c>
      <c r="G4274" s="4"/>
      <c r="H4274" s="4">
        <f t="shared" si="429"/>
        <v>73.5</v>
      </c>
    </row>
    <row r="4275" ht="14.25" spans="1:8">
      <c r="A4275" s="3" t="str">
        <f>"21001314201"</f>
        <v>21001314201</v>
      </c>
      <c r="B4275" s="3">
        <v>3</v>
      </c>
      <c r="C4275" s="3">
        <v>142</v>
      </c>
      <c r="D4275" s="3">
        <v>1</v>
      </c>
      <c r="E4275" s="3" t="s">
        <v>11</v>
      </c>
      <c r="F4275" s="4">
        <v>78.5</v>
      </c>
      <c r="G4275" s="4"/>
      <c r="H4275" s="4">
        <f t="shared" si="429"/>
        <v>78.5</v>
      </c>
    </row>
    <row r="4276" ht="14.25" spans="1:8">
      <c r="A4276" s="3" t="str">
        <f>"21001314202"</f>
        <v>21001314202</v>
      </c>
      <c r="B4276" s="3">
        <v>3</v>
      </c>
      <c r="C4276" s="3">
        <v>142</v>
      </c>
      <c r="D4276" s="3">
        <v>2</v>
      </c>
      <c r="E4276" s="3" t="s">
        <v>11</v>
      </c>
      <c r="F4276" s="4">
        <v>81.5</v>
      </c>
      <c r="G4276" s="4"/>
      <c r="H4276" s="4">
        <f t="shared" si="429"/>
        <v>81.5</v>
      </c>
    </row>
    <row r="4277" ht="14.25" spans="1:8">
      <c r="A4277" s="3" t="str">
        <f>"21001314203"</f>
        <v>21001314203</v>
      </c>
      <c r="B4277" s="3">
        <v>3</v>
      </c>
      <c r="C4277" s="3">
        <v>142</v>
      </c>
      <c r="D4277" s="3">
        <v>3</v>
      </c>
      <c r="E4277" s="3" t="s">
        <v>11</v>
      </c>
      <c r="F4277" s="3">
        <v>0</v>
      </c>
      <c r="G4277" s="4"/>
      <c r="H4277" s="3">
        <v>0</v>
      </c>
    </row>
    <row r="4278" ht="14.25" spans="1:8">
      <c r="A4278" s="3" t="str">
        <f>"21001314204"</f>
        <v>21001314204</v>
      </c>
      <c r="B4278" s="3">
        <v>3</v>
      </c>
      <c r="C4278" s="3">
        <v>142</v>
      </c>
      <c r="D4278" s="3">
        <v>4</v>
      </c>
      <c r="E4278" s="3" t="s">
        <v>11</v>
      </c>
      <c r="F4278" s="4">
        <v>64.5</v>
      </c>
      <c r="G4278" s="4"/>
      <c r="H4278" s="4">
        <f t="shared" ref="H4278:H4283" si="430">F4278+G4278</f>
        <v>64.5</v>
      </c>
    </row>
    <row r="4279" ht="14.25" spans="1:8">
      <c r="A4279" s="3" t="str">
        <f>"21001314205"</f>
        <v>21001314205</v>
      </c>
      <c r="B4279" s="3">
        <v>3</v>
      </c>
      <c r="C4279" s="3">
        <v>142</v>
      </c>
      <c r="D4279" s="3">
        <v>5</v>
      </c>
      <c r="E4279" s="3" t="s">
        <v>11</v>
      </c>
      <c r="F4279" s="4">
        <v>70.5</v>
      </c>
      <c r="G4279" s="4"/>
      <c r="H4279" s="4">
        <f t="shared" si="430"/>
        <v>70.5</v>
      </c>
    </row>
    <row r="4280" ht="14.25" spans="1:8">
      <c r="A4280" s="3" t="str">
        <f>"21001314206"</f>
        <v>21001314206</v>
      </c>
      <c r="B4280" s="3">
        <v>3</v>
      </c>
      <c r="C4280" s="3">
        <v>142</v>
      </c>
      <c r="D4280" s="3">
        <v>6</v>
      </c>
      <c r="E4280" s="3" t="s">
        <v>11</v>
      </c>
      <c r="F4280" s="4">
        <v>60</v>
      </c>
      <c r="G4280" s="4"/>
      <c r="H4280" s="4">
        <f t="shared" si="430"/>
        <v>60</v>
      </c>
    </row>
    <row r="4281" ht="14.25" spans="1:8">
      <c r="A4281" s="3" t="str">
        <f>"21001314207"</f>
        <v>21001314207</v>
      </c>
      <c r="B4281" s="3">
        <v>3</v>
      </c>
      <c r="C4281" s="3">
        <v>142</v>
      </c>
      <c r="D4281" s="3">
        <v>7</v>
      </c>
      <c r="E4281" s="3" t="s">
        <v>11</v>
      </c>
      <c r="F4281" s="4">
        <v>51.5</v>
      </c>
      <c r="G4281" s="4"/>
      <c r="H4281" s="4">
        <f t="shared" si="430"/>
        <v>51.5</v>
      </c>
    </row>
    <row r="4282" ht="14.25" spans="1:8">
      <c r="A4282" s="3" t="str">
        <f>"21001314208"</f>
        <v>21001314208</v>
      </c>
      <c r="B4282" s="3">
        <v>3</v>
      </c>
      <c r="C4282" s="3">
        <v>142</v>
      </c>
      <c r="D4282" s="3">
        <v>8</v>
      </c>
      <c r="E4282" s="3" t="s">
        <v>11</v>
      </c>
      <c r="F4282" s="4">
        <v>82</v>
      </c>
      <c r="G4282" s="4"/>
      <c r="H4282" s="4">
        <f t="shared" si="430"/>
        <v>82</v>
      </c>
    </row>
    <row r="4283" ht="14.25" spans="1:8">
      <c r="A4283" s="3" t="str">
        <f>"21001314209"</f>
        <v>21001314209</v>
      </c>
      <c r="B4283" s="3">
        <v>3</v>
      </c>
      <c r="C4283" s="3">
        <v>142</v>
      </c>
      <c r="D4283" s="3">
        <v>9</v>
      </c>
      <c r="E4283" s="3" t="s">
        <v>11</v>
      </c>
      <c r="F4283" s="4">
        <v>52</v>
      </c>
      <c r="G4283" s="4"/>
      <c r="H4283" s="4">
        <f t="shared" si="430"/>
        <v>52</v>
      </c>
    </row>
    <row r="4284" ht="14.25" spans="1:8">
      <c r="A4284" s="3" t="str">
        <f>"21001314210"</f>
        <v>21001314210</v>
      </c>
      <c r="B4284" s="3">
        <v>3</v>
      </c>
      <c r="C4284" s="3">
        <v>142</v>
      </c>
      <c r="D4284" s="3">
        <v>10</v>
      </c>
      <c r="E4284" s="3" t="s">
        <v>11</v>
      </c>
      <c r="F4284" s="3">
        <v>0</v>
      </c>
      <c r="G4284" s="4"/>
      <c r="H4284" s="3">
        <v>0</v>
      </c>
    </row>
    <row r="4285" ht="14.25" spans="1:8">
      <c r="A4285" s="3" t="str">
        <f>"21001314211"</f>
        <v>21001314211</v>
      </c>
      <c r="B4285" s="3">
        <v>3</v>
      </c>
      <c r="C4285" s="3">
        <v>142</v>
      </c>
      <c r="D4285" s="3">
        <v>11</v>
      </c>
      <c r="E4285" s="3" t="s">
        <v>11</v>
      </c>
      <c r="F4285" s="4">
        <v>85</v>
      </c>
      <c r="G4285" s="4"/>
      <c r="H4285" s="4">
        <f t="shared" ref="H4285:H4289" si="431">F4285+G4285</f>
        <v>85</v>
      </c>
    </row>
    <row r="4286" ht="14.25" spans="1:8">
      <c r="A4286" s="3" t="str">
        <f>"21001314212"</f>
        <v>21001314212</v>
      </c>
      <c r="B4286" s="3">
        <v>3</v>
      </c>
      <c r="C4286" s="3">
        <v>142</v>
      </c>
      <c r="D4286" s="3">
        <v>12</v>
      </c>
      <c r="E4286" s="3" t="s">
        <v>11</v>
      </c>
      <c r="F4286" s="4">
        <v>53</v>
      </c>
      <c r="G4286" s="4"/>
      <c r="H4286" s="4">
        <f t="shared" si="431"/>
        <v>53</v>
      </c>
    </row>
    <row r="4287" ht="14.25" spans="1:8">
      <c r="A4287" s="3" t="str">
        <f>"21001314213"</f>
        <v>21001314213</v>
      </c>
      <c r="B4287" s="3">
        <v>3</v>
      </c>
      <c r="C4287" s="3">
        <v>142</v>
      </c>
      <c r="D4287" s="3">
        <v>13</v>
      </c>
      <c r="E4287" s="3" t="s">
        <v>11</v>
      </c>
      <c r="F4287" s="4">
        <v>67.5</v>
      </c>
      <c r="G4287" s="4"/>
      <c r="H4287" s="4">
        <f t="shared" si="431"/>
        <v>67.5</v>
      </c>
    </row>
    <row r="4288" ht="14.25" spans="1:8">
      <c r="A4288" s="3" t="str">
        <f>"21001314214"</f>
        <v>21001314214</v>
      </c>
      <c r="B4288" s="3">
        <v>3</v>
      </c>
      <c r="C4288" s="3">
        <v>142</v>
      </c>
      <c r="D4288" s="3">
        <v>14</v>
      </c>
      <c r="E4288" s="3" t="s">
        <v>11</v>
      </c>
      <c r="F4288" s="4">
        <v>68.5</v>
      </c>
      <c r="G4288" s="4"/>
      <c r="H4288" s="4">
        <f t="shared" si="431"/>
        <v>68.5</v>
      </c>
    </row>
    <row r="4289" ht="14.25" spans="1:8">
      <c r="A4289" s="3" t="str">
        <f>"21001314215"</f>
        <v>21001314215</v>
      </c>
      <c r="B4289" s="3">
        <v>3</v>
      </c>
      <c r="C4289" s="3">
        <v>142</v>
      </c>
      <c r="D4289" s="3">
        <v>15</v>
      </c>
      <c r="E4289" s="3" t="s">
        <v>11</v>
      </c>
      <c r="F4289" s="4">
        <v>71.5</v>
      </c>
      <c r="G4289" s="4"/>
      <c r="H4289" s="4">
        <f t="shared" si="431"/>
        <v>71.5</v>
      </c>
    </row>
    <row r="4290" ht="14.25" spans="1:8">
      <c r="A4290" s="3" t="str">
        <f>"21001314216"</f>
        <v>21001314216</v>
      </c>
      <c r="B4290" s="3">
        <v>3</v>
      </c>
      <c r="C4290" s="3">
        <v>142</v>
      </c>
      <c r="D4290" s="3">
        <v>16</v>
      </c>
      <c r="E4290" s="3" t="s">
        <v>11</v>
      </c>
      <c r="F4290" s="3">
        <v>0</v>
      </c>
      <c r="G4290" s="4"/>
      <c r="H4290" s="3">
        <v>0</v>
      </c>
    </row>
    <row r="4291" ht="14.25" spans="1:8">
      <c r="A4291" s="3" t="str">
        <f>"21001314217"</f>
        <v>21001314217</v>
      </c>
      <c r="B4291" s="3">
        <v>3</v>
      </c>
      <c r="C4291" s="3">
        <v>142</v>
      </c>
      <c r="D4291" s="3">
        <v>17</v>
      </c>
      <c r="E4291" s="3" t="s">
        <v>11</v>
      </c>
      <c r="F4291" s="3">
        <v>0</v>
      </c>
      <c r="G4291" s="4"/>
      <c r="H4291" s="3">
        <v>0</v>
      </c>
    </row>
    <row r="4292" ht="14.25" spans="1:8">
      <c r="A4292" s="3" t="str">
        <f>"21001314218"</f>
        <v>21001314218</v>
      </c>
      <c r="B4292" s="3">
        <v>3</v>
      </c>
      <c r="C4292" s="3">
        <v>142</v>
      </c>
      <c r="D4292" s="3">
        <v>18</v>
      </c>
      <c r="E4292" s="3" t="s">
        <v>11</v>
      </c>
      <c r="F4292" s="4">
        <v>78.5</v>
      </c>
      <c r="G4292" s="4"/>
      <c r="H4292" s="4">
        <f t="shared" ref="H4292:H4297" si="432">F4292+G4292</f>
        <v>78.5</v>
      </c>
    </row>
    <row r="4293" ht="14.25" spans="1:8">
      <c r="A4293" s="3" t="str">
        <f>"21001314219"</f>
        <v>21001314219</v>
      </c>
      <c r="B4293" s="3">
        <v>3</v>
      </c>
      <c r="C4293" s="3">
        <v>142</v>
      </c>
      <c r="D4293" s="3">
        <v>19</v>
      </c>
      <c r="E4293" s="3" t="s">
        <v>11</v>
      </c>
      <c r="F4293" s="3">
        <v>0</v>
      </c>
      <c r="G4293" s="4"/>
      <c r="H4293" s="3">
        <v>0</v>
      </c>
    </row>
    <row r="4294" ht="14.25" spans="1:8">
      <c r="A4294" s="3" t="str">
        <f>"21001314220"</f>
        <v>21001314220</v>
      </c>
      <c r="B4294" s="3">
        <v>3</v>
      </c>
      <c r="C4294" s="3">
        <v>142</v>
      </c>
      <c r="D4294" s="3">
        <v>20</v>
      </c>
      <c r="E4294" s="3" t="s">
        <v>11</v>
      </c>
      <c r="F4294" s="4">
        <v>81.5</v>
      </c>
      <c r="G4294" s="4"/>
      <c r="H4294" s="4">
        <f t="shared" si="432"/>
        <v>81.5</v>
      </c>
    </row>
    <row r="4295" ht="14.25" spans="1:8">
      <c r="A4295" s="3" t="str">
        <f>"21001314221"</f>
        <v>21001314221</v>
      </c>
      <c r="B4295" s="3">
        <v>3</v>
      </c>
      <c r="C4295" s="3">
        <v>142</v>
      </c>
      <c r="D4295" s="3">
        <v>21</v>
      </c>
      <c r="E4295" s="3" t="s">
        <v>11</v>
      </c>
      <c r="F4295" s="4">
        <v>78.5</v>
      </c>
      <c r="G4295" s="4"/>
      <c r="H4295" s="4">
        <f t="shared" si="432"/>
        <v>78.5</v>
      </c>
    </row>
    <row r="4296" ht="14.25" spans="1:8">
      <c r="A4296" s="3" t="str">
        <f>"21001314222"</f>
        <v>21001314222</v>
      </c>
      <c r="B4296" s="3">
        <v>3</v>
      </c>
      <c r="C4296" s="3">
        <v>142</v>
      </c>
      <c r="D4296" s="3">
        <v>22</v>
      </c>
      <c r="E4296" s="3" t="s">
        <v>11</v>
      </c>
      <c r="F4296" s="4">
        <v>77.5</v>
      </c>
      <c r="G4296" s="4"/>
      <c r="H4296" s="4">
        <f t="shared" si="432"/>
        <v>77.5</v>
      </c>
    </row>
    <row r="4297" ht="14.25" spans="1:8">
      <c r="A4297" s="3" t="str">
        <f>"21002314223"</f>
        <v>21002314223</v>
      </c>
      <c r="B4297" s="3">
        <v>3</v>
      </c>
      <c r="C4297" s="3">
        <v>142</v>
      </c>
      <c r="D4297" s="3">
        <v>23</v>
      </c>
      <c r="E4297" s="3" t="s">
        <v>11</v>
      </c>
      <c r="F4297" s="4">
        <v>85</v>
      </c>
      <c r="G4297" s="4"/>
      <c r="H4297" s="4">
        <f t="shared" si="432"/>
        <v>85</v>
      </c>
    </row>
    <row r="4298" ht="14.25" spans="1:8">
      <c r="A4298" s="3" t="str">
        <f>"21002314224"</f>
        <v>21002314224</v>
      </c>
      <c r="B4298" s="3">
        <v>3</v>
      </c>
      <c r="C4298" s="3">
        <v>142</v>
      </c>
      <c r="D4298" s="3">
        <v>24</v>
      </c>
      <c r="E4298" s="3" t="s">
        <v>11</v>
      </c>
      <c r="F4298" s="3">
        <v>0</v>
      </c>
      <c r="G4298" s="4"/>
      <c r="H4298" s="3">
        <v>0</v>
      </c>
    </row>
    <row r="4299" ht="14.25" spans="1:8">
      <c r="A4299" s="3" t="str">
        <f>"21002314225"</f>
        <v>21002314225</v>
      </c>
      <c r="B4299" s="3">
        <v>3</v>
      </c>
      <c r="C4299" s="3">
        <v>142</v>
      </c>
      <c r="D4299" s="3">
        <v>25</v>
      </c>
      <c r="E4299" s="3" t="s">
        <v>11</v>
      </c>
      <c r="F4299" s="4">
        <v>50</v>
      </c>
      <c r="G4299" s="4"/>
      <c r="H4299" s="4">
        <f t="shared" ref="H4299:H4302" si="433">F4299+G4299</f>
        <v>50</v>
      </c>
    </row>
    <row r="4300" ht="14.25" spans="1:8">
      <c r="A4300" s="3" t="str">
        <f>"21002314226"</f>
        <v>21002314226</v>
      </c>
      <c r="B4300" s="3">
        <v>3</v>
      </c>
      <c r="C4300" s="3">
        <v>142</v>
      </c>
      <c r="D4300" s="3">
        <v>26</v>
      </c>
      <c r="E4300" s="3" t="s">
        <v>11</v>
      </c>
      <c r="F4300" s="4">
        <v>56</v>
      </c>
      <c r="G4300" s="4"/>
      <c r="H4300" s="4">
        <f t="shared" si="433"/>
        <v>56</v>
      </c>
    </row>
    <row r="4301" ht="14.25" spans="1:8">
      <c r="A4301" s="3" t="str">
        <f>"21002314227"</f>
        <v>21002314227</v>
      </c>
      <c r="B4301" s="3">
        <v>3</v>
      </c>
      <c r="C4301" s="3">
        <v>142</v>
      </c>
      <c r="D4301" s="3">
        <v>27</v>
      </c>
      <c r="E4301" s="3" t="s">
        <v>11</v>
      </c>
      <c r="F4301" s="4">
        <v>63</v>
      </c>
      <c r="G4301" s="4"/>
      <c r="H4301" s="4">
        <f t="shared" si="433"/>
        <v>63</v>
      </c>
    </row>
    <row r="4302" ht="14.25" spans="1:8">
      <c r="A4302" s="3" t="str">
        <f>"21002314228"</f>
        <v>21002314228</v>
      </c>
      <c r="B4302" s="3">
        <v>3</v>
      </c>
      <c r="C4302" s="3">
        <v>142</v>
      </c>
      <c r="D4302" s="3">
        <v>28</v>
      </c>
      <c r="E4302" s="3" t="s">
        <v>11</v>
      </c>
      <c r="F4302" s="4">
        <v>62.5</v>
      </c>
      <c r="G4302" s="4"/>
      <c r="H4302" s="4">
        <f t="shared" si="433"/>
        <v>62.5</v>
      </c>
    </row>
    <row r="4303" ht="14.25" spans="1:8">
      <c r="A4303" s="3" t="str">
        <f>"21002314229"</f>
        <v>21002314229</v>
      </c>
      <c r="B4303" s="3">
        <v>3</v>
      </c>
      <c r="C4303" s="3">
        <v>142</v>
      </c>
      <c r="D4303" s="3">
        <v>29</v>
      </c>
      <c r="E4303" s="3" t="s">
        <v>11</v>
      </c>
      <c r="F4303" s="3">
        <v>0</v>
      </c>
      <c r="G4303" s="4"/>
      <c r="H4303" s="3">
        <v>0</v>
      </c>
    </row>
    <row r="4304" ht="14.25" spans="1:8">
      <c r="A4304" s="3" t="str">
        <f>"21002314230"</f>
        <v>21002314230</v>
      </c>
      <c r="B4304" s="3">
        <v>3</v>
      </c>
      <c r="C4304" s="3">
        <v>142</v>
      </c>
      <c r="D4304" s="3">
        <v>30</v>
      </c>
      <c r="E4304" s="3" t="s">
        <v>11</v>
      </c>
      <c r="F4304" s="4">
        <v>71</v>
      </c>
      <c r="G4304" s="4"/>
      <c r="H4304" s="4">
        <f t="shared" ref="H4304:H4307" si="434">F4304+G4304</f>
        <v>71</v>
      </c>
    </row>
    <row r="4305" ht="14.25" spans="1:8">
      <c r="A4305" s="3" t="str">
        <f>"21002314301"</f>
        <v>21002314301</v>
      </c>
      <c r="B4305" s="3">
        <v>3</v>
      </c>
      <c r="C4305" s="3">
        <v>143</v>
      </c>
      <c r="D4305" s="3">
        <v>1</v>
      </c>
      <c r="E4305" s="3" t="s">
        <v>11</v>
      </c>
      <c r="F4305" s="4">
        <v>64</v>
      </c>
      <c r="G4305" s="4"/>
      <c r="H4305" s="4">
        <f t="shared" si="434"/>
        <v>64</v>
      </c>
    </row>
    <row r="4306" ht="14.25" spans="1:8">
      <c r="A4306" s="3" t="str">
        <f>"21002314302"</f>
        <v>21002314302</v>
      </c>
      <c r="B4306" s="3">
        <v>3</v>
      </c>
      <c r="C4306" s="3">
        <v>143</v>
      </c>
      <c r="D4306" s="3">
        <v>2</v>
      </c>
      <c r="E4306" s="3" t="s">
        <v>11</v>
      </c>
      <c r="F4306" s="3">
        <v>0</v>
      </c>
      <c r="G4306" s="4"/>
      <c r="H4306" s="3">
        <v>0</v>
      </c>
    </row>
    <row r="4307" ht="14.25" spans="1:8">
      <c r="A4307" s="3" t="str">
        <f>"21002314303"</f>
        <v>21002314303</v>
      </c>
      <c r="B4307" s="3">
        <v>3</v>
      </c>
      <c r="C4307" s="3">
        <v>143</v>
      </c>
      <c r="D4307" s="3">
        <v>3</v>
      </c>
      <c r="E4307" s="3" t="s">
        <v>11</v>
      </c>
      <c r="F4307" s="4">
        <v>44.5</v>
      </c>
      <c r="G4307" s="4"/>
      <c r="H4307" s="4">
        <f t="shared" si="434"/>
        <v>44.5</v>
      </c>
    </row>
    <row r="4308" ht="14.25" spans="1:8">
      <c r="A4308" s="3" t="str">
        <f>"21002314304"</f>
        <v>21002314304</v>
      </c>
      <c r="B4308" s="3">
        <v>3</v>
      </c>
      <c r="C4308" s="3">
        <v>143</v>
      </c>
      <c r="D4308" s="3">
        <v>4</v>
      </c>
      <c r="E4308" s="3" t="s">
        <v>11</v>
      </c>
      <c r="F4308" s="3">
        <v>0</v>
      </c>
      <c r="G4308" s="4"/>
      <c r="H4308" s="3">
        <v>0</v>
      </c>
    </row>
    <row r="4309" ht="14.25" spans="1:8">
      <c r="A4309" s="3" t="str">
        <f>"21002314305"</f>
        <v>21002314305</v>
      </c>
      <c r="B4309" s="3">
        <v>3</v>
      </c>
      <c r="C4309" s="3">
        <v>143</v>
      </c>
      <c r="D4309" s="3">
        <v>5</v>
      </c>
      <c r="E4309" s="3" t="s">
        <v>11</v>
      </c>
      <c r="F4309" s="4">
        <v>81.5</v>
      </c>
      <c r="G4309" s="4"/>
      <c r="H4309" s="4">
        <f t="shared" ref="H4309:H4312" si="435">F4309+G4309</f>
        <v>81.5</v>
      </c>
    </row>
    <row r="4310" ht="14.25" spans="1:8">
      <c r="A4310" s="3" t="str">
        <f>"21002314306"</f>
        <v>21002314306</v>
      </c>
      <c r="B4310" s="3">
        <v>3</v>
      </c>
      <c r="C4310" s="3">
        <v>143</v>
      </c>
      <c r="D4310" s="3">
        <v>6</v>
      </c>
      <c r="E4310" s="3" t="s">
        <v>11</v>
      </c>
      <c r="F4310" s="4">
        <v>68</v>
      </c>
      <c r="G4310" s="4"/>
      <c r="H4310" s="4">
        <f t="shared" si="435"/>
        <v>68</v>
      </c>
    </row>
    <row r="4311" ht="14.25" spans="1:8">
      <c r="A4311" s="3" t="str">
        <f>"21002314307"</f>
        <v>21002314307</v>
      </c>
      <c r="B4311" s="3">
        <v>3</v>
      </c>
      <c r="C4311" s="3">
        <v>143</v>
      </c>
      <c r="D4311" s="3">
        <v>7</v>
      </c>
      <c r="E4311" s="3" t="s">
        <v>11</v>
      </c>
      <c r="F4311" s="4">
        <v>71</v>
      </c>
      <c r="G4311" s="4"/>
      <c r="H4311" s="4">
        <f t="shared" si="435"/>
        <v>71</v>
      </c>
    </row>
    <row r="4312" ht="14.25" spans="1:8">
      <c r="A4312" s="3" t="str">
        <f>"21002314308"</f>
        <v>21002314308</v>
      </c>
      <c r="B4312" s="3">
        <v>3</v>
      </c>
      <c r="C4312" s="3">
        <v>143</v>
      </c>
      <c r="D4312" s="3">
        <v>8</v>
      </c>
      <c r="E4312" s="3" t="s">
        <v>11</v>
      </c>
      <c r="F4312" s="4">
        <v>82</v>
      </c>
      <c r="G4312" s="4"/>
      <c r="H4312" s="4">
        <f t="shared" si="435"/>
        <v>82</v>
      </c>
    </row>
    <row r="4313" ht="14.25" spans="1:8">
      <c r="A4313" s="3" t="str">
        <f>"21002314309"</f>
        <v>21002314309</v>
      </c>
      <c r="B4313" s="3">
        <v>3</v>
      </c>
      <c r="C4313" s="3">
        <v>143</v>
      </c>
      <c r="D4313" s="3">
        <v>9</v>
      </c>
      <c r="E4313" s="3" t="s">
        <v>11</v>
      </c>
      <c r="F4313" s="3">
        <v>0</v>
      </c>
      <c r="G4313" s="4"/>
      <c r="H4313" s="3">
        <v>0</v>
      </c>
    </row>
    <row r="4314" ht="14.25" spans="1:8">
      <c r="A4314" s="3" t="str">
        <f>"21002314310"</f>
        <v>21002314310</v>
      </c>
      <c r="B4314" s="3">
        <v>3</v>
      </c>
      <c r="C4314" s="3">
        <v>143</v>
      </c>
      <c r="D4314" s="3">
        <v>10</v>
      </c>
      <c r="E4314" s="3" t="s">
        <v>11</v>
      </c>
      <c r="F4314" s="4">
        <v>62.5</v>
      </c>
      <c r="G4314" s="4"/>
      <c r="H4314" s="4">
        <f t="shared" ref="H4314:H4319" si="436">F4314+G4314</f>
        <v>62.5</v>
      </c>
    </row>
    <row r="4315" ht="14.25" spans="1:8">
      <c r="A4315" s="3" t="str">
        <f>"21002314311"</f>
        <v>21002314311</v>
      </c>
      <c r="B4315" s="3">
        <v>3</v>
      </c>
      <c r="C4315" s="3">
        <v>143</v>
      </c>
      <c r="D4315" s="3">
        <v>11</v>
      </c>
      <c r="E4315" s="3" t="s">
        <v>11</v>
      </c>
      <c r="F4315" s="4">
        <v>79</v>
      </c>
      <c r="G4315" s="4"/>
      <c r="H4315" s="4">
        <f t="shared" si="436"/>
        <v>79</v>
      </c>
    </row>
    <row r="4316" ht="14.25" spans="1:8">
      <c r="A4316" s="3" t="str">
        <f>"21002314312"</f>
        <v>21002314312</v>
      </c>
      <c r="B4316" s="3">
        <v>3</v>
      </c>
      <c r="C4316" s="3">
        <v>143</v>
      </c>
      <c r="D4316" s="3">
        <v>12</v>
      </c>
      <c r="E4316" s="3" t="s">
        <v>11</v>
      </c>
      <c r="F4316" s="4">
        <v>61</v>
      </c>
      <c r="G4316" s="4"/>
      <c r="H4316" s="4">
        <f t="shared" si="436"/>
        <v>61</v>
      </c>
    </row>
    <row r="4317" ht="14.25" spans="1:8">
      <c r="A4317" s="3" t="str">
        <f>"21002314313"</f>
        <v>21002314313</v>
      </c>
      <c r="B4317" s="3">
        <v>3</v>
      </c>
      <c r="C4317" s="3">
        <v>143</v>
      </c>
      <c r="D4317" s="3">
        <v>13</v>
      </c>
      <c r="E4317" s="3" t="s">
        <v>11</v>
      </c>
      <c r="F4317" s="4">
        <v>81.5</v>
      </c>
      <c r="G4317" s="4"/>
      <c r="H4317" s="4">
        <f t="shared" si="436"/>
        <v>81.5</v>
      </c>
    </row>
    <row r="4318" ht="14.25" spans="1:8">
      <c r="A4318" s="3" t="str">
        <f>"21002314314"</f>
        <v>21002314314</v>
      </c>
      <c r="B4318" s="3">
        <v>3</v>
      </c>
      <c r="C4318" s="3">
        <v>143</v>
      </c>
      <c r="D4318" s="3">
        <v>14</v>
      </c>
      <c r="E4318" s="3" t="s">
        <v>11</v>
      </c>
      <c r="F4318" s="4">
        <v>72</v>
      </c>
      <c r="G4318" s="4"/>
      <c r="H4318" s="4">
        <f t="shared" si="436"/>
        <v>72</v>
      </c>
    </row>
    <row r="4319" ht="14.25" spans="1:8">
      <c r="A4319" s="3" t="str">
        <f>"21002314315"</f>
        <v>21002314315</v>
      </c>
      <c r="B4319" s="3">
        <v>3</v>
      </c>
      <c r="C4319" s="3">
        <v>143</v>
      </c>
      <c r="D4319" s="3">
        <v>15</v>
      </c>
      <c r="E4319" s="3" t="s">
        <v>11</v>
      </c>
      <c r="F4319" s="4">
        <v>78</v>
      </c>
      <c r="G4319" s="4"/>
      <c r="H4319" s="4">
        <f t="shared" si="436"/>
        <v>78</v>
      </c>
    </row>
    <row r="4320" ht="14.25" spans="1:8">
      <c r="A4320" s="3" t="str">
        <f>"21002314316"</f>
        <v>21002314316</v>
      </c>
      <c r="B4320" s="3">
        <v>3</v>
      </c>
      <c r="C4320" s="3">
        <v>143</v>
      </c>
      <c r="D4320" s="3">
        <v>16</v>
      </c>
      <c r="E4320" s="3" t="s">
        <v>11</v>
      </c>
      <c r="F4320" s="3">
        <v>0</v>
      </c>
      <c r="G4320" s="4"/>
      <c r="H4320" s="3">
        <v>0</v>
      </c>
    </row>
    <row r="4321" ht="14.25" spans="1:8">
      <c r="A4321" s="3" t="str">
        <f>"21002314317"</f>
        <v>21002314317</v>
      </c>
      <c r="B4321" s="3">
        <v>3</v>
      </c>
      <c r="C4321" s="3">
        <v>143</v>
      </c>
      <c r="D4321" s="3">
        <v>17</v>
      </c>
      <c r="E4321" s="3" t="s">
        <v>11</v>
      </c>
      <c r="F4321" s="4">
        <v>64</v>
      </c>
      <c r="G4321" s="4"/>
      <c r="H4321" s="4">
        <f t="shared" ref="H4321:H4330" si="437">F4321+G4321</f>
        <v>64</v>
      </c>
    </row>
    <row r="4322" ht="14.25" spans="1:8">
      <c r="A4322" s="3" t="str">
        <f>"21002314318"</f>
        <v>21002314318</v>
      </c>
      <c r="B4322" s="3">
        <v>3</v>
      </c>
      <c r="C4322" s="3">
        <v>143</v>
      </c>
      <c r="D4322" s="3">
        <v>18</v>
      </c>
      <c r="E4322" s="3" t="s">
        <v>11</v>
      </c>
      <c r="F4322" s="4">
        <v>75</v>
      </c>
      <c r="G4322" s="4"/>
      <c r="H4322" s="4">
        <f t="shared" si="437"/>
        <v>75</v>
      </c>
    </row>
    <row r="4323" ht="14.25" spans="1:8">
      <c r="A4323" s="3" t="str">
        <f>"21002314319"</f>
        <v>21002314319</v>
      </c>
      <c r="B4323" s="3">
        <v>3</v>
      </c>
      <c r="C4323" s="3">
        <v>143</v>
      </c>
      <c r="D4323" s="3">
        <v>19</v>
      </c>
      <c r="E4323" s="3" t="s">
        <v>11</v>
      </c>
      <c r="F4323" s="4">
        <v>87</v>
      </c>
      <c r="G4323" s="4"/>
      <c r="H4323" s="4">
        <f t="shared" si="437"/>
        <v>87</v>
      </c>
    </row>
    <row r="4324" ht="14.25" spans="1:8">
      <c r="A4324" s="3" t="str">
        <f>"21002314320"</f>
        <v>21002314320</v>
      </c>
      <c r="B4324" s="3">
        <v>3</v>
      </c>
      <c r="C4324" s="3">
        <v>143</v>
      </c>
      <c r="D4324" s="3">
        <v>20</v>
      </c>
      <c r="E4324" s="3" t="s">
        <v>11</v>
      </c>
      <c r="F4324" s="4">
        <v>75.5</v>
      </c>
      <c r="G4324" s="4"/>
      <c r="H4324" s="4">
        <f t="shared" si="437"/>
        <v>75.5</v>
      </c>
    </row>
    <row r="4325" ht="14.25" spans="1:8">
      <c r="A4325" s="3" t="str">
        <f>"21002314321"</f>
        <v>21002314321</v>
      </c>
      <c r="B4325" s="3">
        <v>3</v>
      </c>
      <c r="C4325" s="3">
        <v>143</v>
      </c>
      <c r="D4325" s="3">
        <v>21</v>
      </c>
      <c r="E4325" s="3" t="s">
        <v>11</v>
      </c>
      <c r="F4325" s="4">
        <v>77</v>
      </c>
      <c r="G4325" s="4"/>
      <c r="H4325" s="4">
        <f t="shared" si="437"/>
        <v>77</v>
      </c>
    </row>
    <row r="4326" ht="14.25" spans="1:8">
      <c r="A4326" s="3" t="str">
        <f>"21002314322"</f>
        <v>21002314322</v>
      </c>
      <c r="B4326" s="3">
        <v>3</v>
      </c>
      <c r="C4326" s="3">
        <v>143</v>
      </c>
      <c r="D4326" s="3">
        <v>22</v>
      </c>
      <c r="E4326" s="3" t="s">
        <v>11</v>
      </c>
      <c r="F4326" s="4">
        <v>83</v>
      </c>
      <c r="G4326" s="4"/>
      <c r="H4326" s="4">
        <f t="shared" si="437"/>
        <v>83</v>
      </c>
    </row>
    <row r="4327" ht="14.25" spans="1:8">
      <c r="A4327" s="3" t="str">
        <f>"21002314323"</f>
        <v>21002314323</v>
      </c>
      <c r="B4327" s="3">
        <v>3</v>
      </c>
      <c r="C4327" s="3">
        <v>143</v>
      </c>
      <c r="D4327" s="3">
        <v>23</v>
      </c>
      <c r="E4327" s="3" t="s">
        <v>11</v>
      </c>
      <c r="F4327" s="4">
        <v>82.5</v>
      </c>
      <c r="G4327" s="4"/>
      <c r="H4327" s="4">
        <f t="shared" si="437"/>
        <v>82.5</v>
      </c>
    </row>
    <row r="4328" ht="14.25" spans="1:8">
      <c r="A4328" s="3" t="str">
        <f>"21002314324"</f>
        <v>21002314324</v>
      </c>
      <c r="B4328" s="3">
        <v>3</v>
      </c>
      <c r="C4328" s="3">
        <v>143</v>
      </c>
      <c r="D4328" s="3">
        <v>24</v>
      </c>
      <c r="E4328" s="3" t="s">
        <v>11</v>
      </c>
      <c r="F4328" s="4">
        <v>70.5</v>
      </c>
      <c r="G4328" s="4"/>
      <c r="H4328" s="4">
        <f t="shared" si="437"/>
        <v>70.5</v>
      </c>
    </row>
    <row r="4329" ht="14.25" spans="1:8">
      <c r="A4329" s="3" t="str">
        <f>"21002314325"</f>
        <v>21002314325</v>
      </c>
      <c r="B4329" s="3">
        <v>3</v>
      </c>
      <c r="C4329" s="3">
        <v>143</v>
      </c>
      <c r="D4329" s="3">
        <v>25</v>
      </c>
      <c r="E4329" s="3" t="s">
        <v>11</v>
      </c>
      <c r="F4329" s="4">
        <v>76.5</v>
      </c>
      <c r="G4329" s="4"/>
      <c r="H4329" s="4">
        <f t="shared" si="437"/>
        <v>76.5</v>
      </c>
    </row>
    <row r="4330" ht="14.25" spans="1:8">
      <c r="A4330" s="3" t="str">
        <f>"21002314326"</f>
        <v>21002314326</v>
      </c>
      <c r="B4330" s="3">
        <v>3</v>
      </c>
      <c r="C4330" s="3">
        <v>143</v>
      </c>
      <c r="D4330" s="3">
        <v>26</v>
      </c>
      <c r="E4330" s="3" t="s">
        <v>11</v>
      </c>
      <c r="F4330" s="4">
        <v>50.5</v>
      </c>
      <c r="G4330" s="4"/>
      <c r="H4330" s="4">
        <f t="shared" si="437"/>
        <v>50.5</v>
      </c>
    </row>
    <row r="4331" ht="14.25" spans="1:8">
      <c r="A4331" s="3" t="str">
        <f>"21002314327"</f>
        <v>21002314327</v>
      </c>
      <c r="B4331" s="3">
        <v>3</v>
      </c>
      <c r="C4331" s="3">
        <v>143</v>
      </c>
      <c r="D4331" s="3">
        <v>27</v>
      </c>
      <c r="E4331" s="3" t="s">
        <v>11</v>
      </c>
      <c r="F4331" s="3">
        <v>0</v>
      </c>
      <c r="G4331" s="4"/>
      <c r="H4331" s="3">
        <v>0</v>
      </c>
    </row>
    <row r="4332" ht="14.25" spans="1:8">
      <c r="A4332" s="3" t="str">
        <f>"21002314328"</f>
        <v>21002314328</v>
      </c>
      <c r="B4332" s="3">
        <v>3</v>
      </c>
      <c r="C4332" s="3">
        <v>143</v>
      </c>
      <c r="D4332" s="3">
        <v>28</v>
      </c>
      <c r="E4332" s="3" t="s">
        <v>11</v>
      </c>
      <c r="F4332" s="3">
        <v>0</v>
      </c>
      <c r="G4332" s="4"/>
      <c r="H4332" s="3">
        <v>0</v>
      </c>
    </row>
    <row r="4333" ht="14.25" spans="1:8">
      <c r="A4333" s="3" t="str">
        <f>"21002314329"</f>
        <v>21002314329</v>
      </c>
      <c r="B4333" s="3">
        <v>3</v>
      </c>
      <c r="C4333" s="3">
        <v>143</v>
      </c>
      <c r="D4333" s="3">
        <v>29</v>
      </c>
      <c r="E4333" s="3" t="s">
        <v>11</v>
      </c>
      <c r="F4333" s="4">
        <v>80</v>
      </c>
      <c r="G4333" s="4"/>
      <c r="H4333" s="4">
        <f t="shared" ref="H4333:H4350" si="438">F4333+G4333</f>
        <v>80</v>
      </c>
    </row>
    <row r="4334" ht="14.25" spans="1:8">
      <c r="A4334" s="3" t="str">
        <f>"21101314330"</f>
        <v>21101314330</v>
      </c>
      <c r="B4334" s="3">
        <v>3</v>
      </c>
      <c r="C4334" s="3">
        <v>143</v>
      </c>
      <c r="D4334" s="3">
        <v>30</v>
      </c>
      <c r="E4334" s="3" t="s">
        <v>11</v>
      </c>
      <c r="F4334" s="4">
        <v>74</v>
      </c>
      <c r="G4334" s="4"/>
      <c r="H4334" s="4">
        <f t="shared" si="438"/>
        <v>74</v>
      </c>
    </row>
    <row r="4335" ht="14.25" spans="1:8">
      <c r="A4335" s="3" t="str">
        <f>"21101314401"</f>
        <v>21101314401</v>
      </c>
      <c r="B4335" s="3">
        <v>3</v>
      </c>
      <c r="C4335" s="3">
        <v>144</v>
      </c>
      <c r="D4335" s="3">
        <v>1</v>
      </c>
      <c r="E4335" s="3" t="s">
        <v>11</v>
      </c>
      <c r="F4335" s="4">
        <v>61.5</v>
      </c>
      <c r="G4335" s="4"/>
      <c r="H4335" s="4">
        <f t="shared" si="438"/>
        <v>61.5</v>
      </c>
    </row>
    <row r="4336" ht="14.25" spans="1:8">
      <c r="A4336" s="3" t="str">
        <f>"21101314402"</f>
        <v>21101314402</v>
      </c>
      <c r="B4336" s="3">
        <v>3</v>
      </c>
      <c r="C4336" s="3">
        <v>144</v>
      </c>
      <c r="D4336" s="3">
        <v>2</v>
      </c>
      <c r="E4336" s="3" t="s">
        <v>11</v>
      </c>
      <c r="F4336" s="4">
        <v>68</v>
      </c>
      <c r="G4336" s="4"/>
      <c r="H4336" s="4">
        <f t="shared" si="438"/>
        <v>68</v>
      </c>
    </row>
    <row r="4337" ht="14.25" spans="1:8">
      <c r="A4337" s="3" t="str">
        <f>"21101314403"</f>
        <v>21101314403</v>
      </c>
      <c r="B4337" s="3">
        <v>3</v>
      </c>
      <c r="C4337" s="3">
        <v>144</v>
      </c>
      <c r="D4337" s="3">
        <v>3</v>
      </c>
      <c r="E4337" s="3" t="s">
        <v>11</v>
      </c>
      <c r="F4337" s="4">
        <v>65</v>
      </c>
      <c r="G4337" s="4"/>
      <c r="H4337" s="4">
        <f t="shared" si="438"/>
        <v>65</v>
      </c>
    </row>
    <row r="4338" ht="14.25" spans="1:8">
      <c r="A4338" s="3" t="str">
        <f>"21101314404"</f>
        <v>21101314404</v>
      </c>
      <c r="B4338" s="3">
        <v>3</v>
      </c>
      <c r="C4338" s="3">
        <v>144</v>
      </c>
      <c r="D4338" s="3">
        <v>4</v>
      </c>
      <c r="E4338" s="3" t="s">
        <v>11</v>
      </c>
      <c r="F4338" s="4">
        <v>75.5</v>
      </c>
      <c r="G4338" s="4"/>
      <c r="H4338" s="4">
        <f t="shared" si="438"/>
        <v>75.5</v>
      </c>
    </row>
    <row r="4339" ht="14.25" spans="1:8">
      <c r="A4339" s="3" t="str">
        <f>"21101314405"</f>
        <v>21101314405</v>
      </c>
      <c r="B4339" s="3">
        <v>3</v>
      </c>
      <c r="C4339" s="3">
        <v>144</v>
      </c>
      <c r="D4339" s="3">
        <v>5</v>
      </c>
      <c r="E4339" s="3" t="s">
        <v>11</v>
      </c>
      <c r="F4339" s="4">
        <v>69</v>
      </c>
      <c r="G4339" s="4"/>
      <c r="H4339" s="4">
        <f t="shared" si="438"/>
        <v>69</v>
      </c>
    </row>
    <row r="4340" ht="14.25" spans="1:8">
      <c r="A4340" s="3" t="str">
        <f>"21101314406"</f>
        <v>21101314406</v>
      </c>
      <c r="B4340" s="3">
        <v>3</v>
      </c>
      <c r="C4340" s="3">
        <v>144</v>
      </c>
      <c r="D4340" s="3">
        <v>6</v>
      </c>
      <c r="E4340" s="3" t="s">
        <v>11</v>
      </c>
      <c r="F4340" s="4">
        <v>50.5</v>
      </c>
      <c r="G4340" s="4"/>
      <c r="H4340" s="4">
        <f t="shared" si="438"/>
        <v>50.5</v>
      </c>
    </row>
    <row r="4341" ht="14.25" spans="1:8">
      <c r="A4341" s="3" t="str">
        <f>"21101314407"</f>
        <v>21101314407</v>
      </c>
      <c r="B4341" s="3">
        <v>3</v>
      </c>
      <c r="C4341" s="3">
        <v>144</v>
      </c>
      <c r="D4341" s="3">
        <v>7</v>
      </c>
      <c r="E4341" s="3" t="s">
        <v>11</v>
      </c>
      <c r="F4341" s="4">
        <v>73</v>
      </c>
      <c r="G4341" s="4"/>
      <c r="H4341" s="4">
        <f t="shared" si="438"/>
        <v>73</v>
      </c>
    </row>
    <row r="4342" ht="14.25" spans="1:8">
      <c r="A4342" s="3" t="str">
        <f>"21101314408"</f>
        <v>21101314408</v>
      </c>
      <c r="B4342" s="3">
        <v>3</v>
      </c>
      <c r="C4342" s="3">
        <v>144</v>
      </c>
      <c r="D4342" s="3">
        <v>8</v>
      </c>
      <c r="E4342" s="3" t="s">
        <v>11</v>
      </c>
      <c r="F4342" s="4">
        <v>75.5</v>
      </c>
      <c r="G4342" s="4"/>
      <c r="H4342" s="4">
        <f t="shared" si="438"/>
        <v>75.5</v>
      </c>
    </row>
    <row r="4343" ht="14.25" spans="1:8">
      <c r="A4343" s="3" t="str">
        <f>"21101314409"</f>
        <v>21101314409</v>
      </c>
      <c r="B4343" s="3">
        <v>3</v>
      </c>
      <c r="C4343" s="3">
        <v>144</v>
      </c>
      <c r="D4343" s="3">
        <v>9</v>
      </c>
      <c r="E4343" s="3" t="s">
        <v>11</v>
      </c>
      <c r="F4343" s="4">
        <v>67</v>
      </c>
      <c r="G4343" s="4"/>
      <c r="H4343" s="4">
        <f t="shared" si="438"/>
        <v>67</v>
      </c>
    </row>
    <row r="4344" ht="14.25" spans="1:8">
      <c r="A4344" s="3" t="str">
        <f>"21101314410"</f>
        <v>21101314410</v>
      </c>
      <c r="B4344" s="3">
        <v>3</v>
      </c>
      <c r="C4344" s="3">
        <v>144</v>
      </c>
      <c r="D4344" s="3">
        <v>10</v>
      </c>
      <c r="E4344" s="3" t="s">
        <v>11</v>
      </c>
      <c r="F4344" s="4">
        <v>74.5</v>
      </c>
      <c r="G4344" s="4"/>
      <c r="H4344" s="4">
        <f t="shared" si="438"/>
        <v>74.5</v>
      </c>
    </row>
    <row r="4345" ht="14.25" spans="1:8">
      <c r="A4345" s="3" t="str">
        <f>"21101314411"</f>
        <v>21101314411</v>
      </c>
      <c r="B4345" s="3">
        <v>3</v>
      </c>
      <c r="C4345" s="3">
        <v>144</v>
      </c>
      <c r="D4345" s="3">
        <v>11</v>
      </c>
      <c r="E4345" s="3" t="s">
        <v>11</v>
      </c>
      <c r="F4345" s="4">
        <v>83.5</v>
      </c>
      <c r="G4345" s="4"/>
      <c r="H4345" s="4">
        <f t="shared" si="438"/>
        <v>83.5</v>
      </c>
    </row>
    <row r="4346" ht="14.25" spans="1:8">
      <c r="A4346" s="3" t="str">
        <f>"21101314412"</f>
        <v>21101314412</v>
      </c>
      <c r="B4346" s="3">
        <v>3</v>
      </c>
      <c r="C4346" s="3">
        <v>144</v>
      </c>
      <c r="D4346" s="3">
        <v>12</v>
      </c>
      <c r="E4346" s="3" t="s">
        <v>11</v>
      </c>
      <c r="F4346" s="4">
        <v>59</v>
      </c>
      <c r="G4346" s="4"/>
      <c r="H4346" s="4">
        <f t="shared" si="438"/>
        <v>59</v>
      </c>
    </row>
    <row r="4347" ht="14.25" spans="1:8">
      <c r="A4347" s="3" t="str">
        <f>"21101314413"</f>
        <v>21101314413</v>
      </c>
      <c r="B4347" s="3">
        <v>3</v>
      </c>
      <c r="C4347" s="3">
        <v>144</v>
      </c>
      <c r="D4347" s="3">
        <v>13</v>
      </c>
      <c r="E4347" s="3" t="s">
        <v>11</v>
      </c>
      <c r="F4347" s="4">
        <v>80.5</v>
      </c>
      <c r="G4347" s="4"/>
      <c r="H4347" s="4">
        <f t="shared" si="438"/>
        <v>80.5</v>
      </c>
    </row>
    <row r="4348" ht="14.25" spans="1:8">
      <c r="A4348" s="3" t="str">
        <f>"21101314414"</f>
        <v>21101314414</v>
      </c>
      <c r="B4348" s="3">
        <v>3</v>
      </c>
      <c r="C4348" s="3">
        <v>144</v>
      </c>
      <c r="D4348" s="3">
        <v>14</v>
      </c>
      <c r="E4348" s="3" t="s">
        <v>11</v>
      </c>
      <c r="F4348" s="4">
        <v>78.5</v>
      </c>
      <c r="G4348" s="4"/>
      <c r="H4348" s="4">
        <f t="shared" si="438"/>
        <v>78.5</v>
      </c>
    </row>
    <row r="4349" ht="14.25" spans="1:8">
      <c r="A4349" s="3" t="str">
        <f>"21102314415"</f>
        <v>21102314415</v>
      </c>
      <c r="B4349" s="3">
        <v>3</v>
      </c>
      <c r="C4349" s="3">
        <v>144</v>
      </c>
      <c r="D4349" s="3">
        <v>15</v>
      </c>
      <c r="E4349" s="3" t="s">
        <v>11</v>
      </c>
      <c r="F4349" s="4">
        <v>77.5</v>
      </c>
      <c r="G4349" s="4"/>
      <c r="H4349" s="4">
        <f t="shared" si="438"/>
        <v>77.5</v>
      </c>
    </row>
    <row r="4350" ht="14.25" spans="1:8">
      <c r="A4350" s="3" t="str">
        <f>"21102314416"</f>
        <v>21102314416</v>
      </c>
      <c r="B4350" s="3">
        <v>3</v>
      </c>
      <c r="C4350" s="3">
        <v>144</v>
      </c>
      <c r="D4350" s="3">
        <v>16</v>
      </c>
      <c r="E4350" s="3" t="s">
        <v>11</v>
      </c>
      <c r="F4350" s="4">
        <v>67.5</v>
      </c>
      <c r="G4350" s="4"/>
      <c r="H4350" s="4">
        <f t="shared" si="438"/>
        <v>67.5</v>
      </c>
    </row>
    <row r="4351" ht="14.25" spans="1:8">
      <c r="A4351" s="3" t="str">
        <f>"21102314417"</f>
        <v>21102314417</v>
      </c>
      <c r="B4351" s="3">
        <v>3</v>
      </c>
      <c r="C4351" s="3">
        <v>144</v>
      </c>
      <c r="D4351" s="3">
        <v>17</v>
      </c>
      <c r="E4351" s="3" t="s">
        <v>11</v>
      </c>
      <c r="F4351" s="3">
        <v>0</v>
      </c>
      <c r="G4351" s="4"/>
      <c r="H4351" s="3">
        <v>0</v>
      </c>
    </row>
    <row r="4352" ht="14.25" spans="1:8">
      <c r="A4352" s="3" t="str">
        <f>"21102314418"</f>
        <v>21102314418</v>
      </c>
      <c r="B4352" s="3">
        <v>3</v>
      </c>
      <c r="C4352" s="3">
        <v>144</v>
      </c>
      <c r="D4352" s="3">
        <v>18</v>
      </c>
      <c r="E4352" s="3" t="s">
        <v>11</v>
      </c>
      <c r="F4352" s="3">
        <v>0</v>
      </c>
      <c r="G4352" s="4"/>
      <c r="H4352" s="3">
        <v>0</v>
      </c>
    </row>
    <row r="4353" ht="14.25" spans="1:8">
      <c r="A4353" s="3" t="str">
        <f>"21102314419"</f>
        <v>21102314419</v>
      </c>
      <c r="B4353" s="3">
        <v>3</v>
      </c>
      <c r="C4353" s="3">
        <v>144</v>
      </c>
      <c r="D4353" s="3">
        <v>19</v>
      </c>
      <c r="E4353" s="3" t="s">
        <v>11</v>
      </c>
      <c r="F4353" s="4">
        <v>76.5</v>
      </c>
      <c r="G4353" s="4"/>
      <c r="H4353" s="4">
        <f t="shared" ref="H4353:H4359" si="439">F4353+G4353</f>
        <v>76.5</v>
      </c>
    </row>
    <row r="4354" ht="14.25" spans="1:8">
      <c r="A4354" s="3" t="str">
        <f>"21102314420"</f>
        <v>21102314420</v>
      </c>
      <c r="B4354" s="3">
        <v>3</v>
      </c>
      <c r="C4354" s="3">
        <v>144</v>
      </c>
      <c r="D4354" s="3">
        <v>20</v>
      </c>
      <c r="E4354" s="3" t="s">
        <v>11</v>
      </c>
      <c r="F4354" s="3">
        <v>0</v>
      </c>
      <c r="G4354" s="4"/>
      <c r="H4354" s="3">
        <v>0</v>
      </c>
    </row>
    <row r="4355" ht="14.25" spans="1:8">
      <c r="A4355" s="3" t="str">
        <f>"21102314421"</f>
        <v>21102314421</v>
      </c>
      <c r="B4355" s="3">
        <v>3</v>
      </c>
      <c r="C4355" s="3">
        <v>144</v>
      </c>
      <c r="D4355" s="3">
        <v>21</v>
      </c>
      <c r="E4355" s="3" t="s">
        <v>11</v>
      </c>
      <c r="F4355" s="4">
        <v>65.5</v>
      </c>
      <c r="G4355" s="4"/>
      <c r="H4355" s="4">
        <f t="shared" si="439"/>
        <v>65.5</v>
      </c>
    </row>
    <row r="4356" ht="14.25" spans="1:8">
      <c r="A4356" s="3" t="str">
        <f>"21102314422"</f>
        <v>21102314422</v>
      </c>
      <c r="B4356" s="3">
        <v>3</v>
      </c>
      <c r="C4356" s="3">
        <v>144</v>
      </c>
      <c r="D4356" s="3">
        <v>22</v>
      </c>
      <c r="E4356" s="3" t="s">
        <v>11</v>
      </c>
      <c r="F4356" s="4">
        <v>59</v>
      </c>
      <c r="G4356" s="4"/>
      <c r="H4356" s="4">
        <f t="shared" si="439"/>
        <v>59</v>
      </c>
    </row>
    <row r="4357" ht="14.25" spans="1:8">
      <c r="A4357" s="3" t="str">
        <f>"21102314423"</f>
        <v>21102314423</v>
      </c>
      <c r="B4357" s="3">
        <v>3</v>
      </c>
      <c r="C4357" s="3">
        <v>144</v>
      </c>
      <c r="D4357" s="3">
        <v>23</v>
      </c>
      <c r="E4357" s="3" t="s">
        <v>11</v>
      </c>
      <c r="F4357" s="4">
        <v>62.5</v>
      </c>
      <c r="G4357" s="4"/>
      <c r="H4357" s="4">
        <f t="shared" si="439"/>
        <v>62.5</v>
      </c>
    </row>
    <row r="4358" ht="14.25" spans="1:8">
      <c r="A4358" s="3" t="str">
        <f>"21102314424"</f>
        <v>21102314424</v>
      </c>
      <c r="B4358" s="3">
        <v>3</v>
      </c>
      <c r="C4358" s="3">
        <v>144</v>
      </c>
      <c r="D4358" s="3">
        <v>24</v>
      </c>
      <c r="E4358" s="3" t="s">
        <v>11</v>
      </c>
      <c r="F4358" s="4">
        <v>65</v>
      </c>
      <c r="G4358" s="4"/>
      <c r="H4358" s="4">
        <f t="shared" si="439"/>
        <v>65</v>
      </c>
    </row>
    <row r="4359" ht="14.25" spans="1:8">
      <c r="A4359" s="3" t="str">
        <f>"21102314425"</f>
        <v>21102314425</v>
      </c>
      <c r="B4359" s="3">
        <v>3</v>
      </c>
      <c r="C4359" s="3">
        <v>144</v>
      </c>
      <c r="D4359" s="3">
        <v>25</v>
      </c>
      <c r="E4359" s="3" t="s">
        <v>11</v>
      </c>
      <c r="F4359" s="4">
        <v>54</v>
      </c>
      <c r="G4359" s="4"/>
      <c r="H4359" s="4">
        <f t="shared" si="439"/>
        <v>54</v>
      </c>
    </row>
    <row r="4360" ht="14.25" spans="1:8">
      <c r="A4360" s="3" t="str">
        <f>"21102314426"</f>
        <v>21102314426</v>
      </c>
      <c r="B4360" s="3">
        <v>3</v>
      </c>
      <c r="C4360" s="3">
        <v>144</v>
      </c>
      <c r="D4360" s="3">
        <v>26</v>
      </c>
      <c r="E4360" s="3" t="s">
        <v>11</v>
      </c>
      <c r="F4360" s="3">
        <v>0</v>
      </c>
      <c r="G4360" s="4"/>
      <c r="H4360" s="3">
        <v>0</v>
      </c>
    </row>
    <row r="4361" ht="14.25" spans="1:8">
      <c r="A4361" s="3" t="str">
        <f>"21102314427"</f>
        <v>21102314427</v>
      </c>
      <c r="B4361" s="3">
        <v>3</v>
      </c>
      <c r="C4361" s="3">
        <v>144</v>
      </c>
      <c r="D4361" s="3">
        <v>27</v>
      </c>
      <c r="E4361" s="3" t="s">
        <v>11</v>
      </c>
      <c r="F4361" s="3">
        <v>0</v>
      </c>
      <c r="G4361" s="4"/>
      <c r="H4361" s="3">
        <v>0</v>
      </c>
    </row>
    <row r="4362" ht="14.25" spans="1:8">
      <c r="A4362" s="3" t="str">
        <f>"21102314428"</f>
        <v>21102314428</v>
      </c>
      <c r="B4362" s="3">
        <v>3</v>
      </c>
      <c r="C4362" s="3">
        <v>144</v>
      </c>
      <c r="D4362" s="3">
        <v>28</v>
      </c>
      <c r="E4362" s="3" t="s">
        <v>11</v>
      </c>
      <c r="F4362" s="3">
        <v>0</v>
      </c>
      <c r="G4362" s="4"/>
      <c r="H4362" s="3">
        <v>0</v>
      </c>
    </row>
    <row r="4363" ht="14.25" spans="1:8">
      <c r="A4363" s="3" t="str">
        <f>"21102314429"</f>
        <v>21102314429</v>
      </c>
      <c r="B4363" s="3">
        <v>3</v>
      </c>
      <c r="C4363" s="3">
        <v>144</v>
      </c>
      <c r="D4363" s="3">
        <v>29</v>
      </c>
      <c r="E4363" s="3" t="s">
        <v>11</v>
      </c>
      <c r="F4363" s="3">
        <v>0</v>
      </c>
      <c r="G4363" s="4"/>
      <c r="H4363" s="3">
        <v>0</v>
      </c>
    </row>
    <row r="4364" ht="14.25" spans="1:8">
      <c r="A4364" s="3" t="str">
        <f>"21102314430"</f>
        <v>21102314430</v>
      </c>
      <c r="B4364" s="3">
        <v>3</v>
      </c>
      <c r="C4364" s="3">
        <v>144</v>
      </c>
      <c r="D4364" s="3">
        <v>30</v>
      </c>
      <c r="E4364" s="3" t="s">
        <v>11</v>
      </c>
      <c r="F4364" s="3">
        <v>0</v>
      </c>
      <c r="G4364" s="4"/>
      <c r="H4364" s="3">
        <v>0</v>
      </c>
    </row>
    <row r="4365" ht="14.25" spans="1:8">
      <c r="A4365" s="3" t="str">
        <f>"21103314501"</f>
        <v>21103314501</v>
      </c>
      <c r="B4365" s="3">
        <v>3</v>
      </c>
      <c r="C4365" s="3">
        <v>145</v>
      </c>
      <c r="D4365" s="3">
        <v>1</v>
      </c>
      <c r="E4365" s="3" t="s">
        <v>11</v>
      </c>
      <c r="F4365" s="4">
        <v>83.5</v>
      </c>
      <c r="G4365" s="4"/>
      <c r="H4365" s="4">
        <f>F4365+G4365</f>
        <v>83.5</v>
      </c>
    </row>
    <row r="4366" ht="14.25" spans="1:8">
      <c r="A4366" s="3" t="str">
        <f>"21103314502"</f>
        <v>21103314502</v>
      </c>
      <c r="B4366" s="3">
        <v>3</v>
      </c>
      <c r="C4366" s="3">
        <v>145</v>
      </c>
      <c r="D4366" s="3">
        <v>2</v>
      </c>
      <c r="E4366" s="3" t="s">
        <v>11</v>
      </c>
      <c r="F4366" s="4">
        <v>62.5</v>
      </c>
      <c r="G4366" s="4"/>
      <c r="H4366" s="4">
        <f>F4366+G4366</f>
        <v>62.5</v>
      </c>
    </row>
    <row r="4367" ht="14.25" spans="1:8">
      <c r="A4367" s="3" t="str">
        <f>"21103314503"</f>
        <v>21103314503</v>
      </c>
      <c r="B4367" s="3">
        <v>3</v>
      </c>
      <c r="C4367" s="3">
        <v>145</v>
      </c>
      <c r="D4367" s="3">
        <v>3</v>
      </c>
      <c r="E4367" s="3" t="s">
        <v>11</v>
      </c>
      <c r="F4367" s="3">
        <v>0</v>
      </c>
      <c r="G4367" s="4"/>
      <c r="H4367" s="3">
        <v>0</v>
      </c>
    </row>
    <row r="4368" ht="14.25" spans="1:8">
      <c r="A4368" s="3" t="str">
        <f>"21103314504"</f>
        <v>21103314504</v>
      </c>
      <c r="B4368" s="3">
        <v>3</v>
      </c>
      <c r="C4368" s="3">
        <v>145</v>
      </c>
      <c r="D4368" s="3">
        <v>4</v>
      </c>
      <c r="E4368" s="3" t="s">
        <v>11</v>
      </c>
      <c r="F4368" s="3">
        <v>0</v>
      </c>
      <c r="G4368" s="4"/>
      <c r="H4368" s="3">
        <v>0</v>
      </c>
    </row>
    <row r="4369" ht="14.25" spans="1:8">
      <c r="A4369" s="3" t="str">
        <f>"21103314505"</f>
        <v>21103314505</v>
      </c>
      <c r="B4369" s="3">
        <v>3</v>
      </c>
      <c r="C4369" s="3">
        <v>145</v>
      </c>
      <c r="D4369" s="3">
        <v>5</v>
      </c>
      <c r="E4369" s="3" t="s">
        <v>11</v>
      </c>
      <c r="F4369" s="3">
        <v>0</v>
      </c>
      <c r="G4369" s="4"/>
      <c r="H4369" s="3">
        <v>0</v>
      </c>
    </row>
    <row r="4370" ht="14.25" spans="1:8">
      <c r="A4370" s="3" t="str">
        <f>"21103314506"</f>
        <v>21103314506</v>
      </c>
      <c r="B4370" s="3">
        <v>3</v>
      </c>
      <c r="C4370" s="3">
        <v>145</v>
      </c>
      <c r="D4370" s="3">
        <v>6</v>
      </c>
      <c r="E4370" s="3" t="s">
        <v>11</v>
      </c>
      <c r="F4370" s="3">
        <v>0</v>
      </c>
      <c r="G4370" s="4"/>
      <c r="H4370" s="3">
        <v>0</v>
      </c>
    </row>
    <row r="4371" ht="14.25" spans="1:8">
      <c r="A4371" s="3" t="str">
        <f>"21103314507"</f>
        <v>21103314507</v>
      </c>
      <c r="B4371" s="3">
        <v>3</v>
      </c>
      <c r="C4371" s="3">
        <v>145</v>
      </c>
      <c r="D4371" s="3">
        <v>7</v>
      </c>
      <c r="E4371" s="3" t="s">
        <v>11</v>
      </c>
      <c r="F4371" s="4">
        <v>77</v>
      </c>
      <c r="G4371" s="4"/>
      <c r="H4371" s="4">
        <f t="shared" ref="H4371:H4374" si="440">F4371+G4371</f>
        <v>77</v>
      </c>
    </row>
    <row r="4372" ht="14.25" spans="1:8">
      <c r="A4372" s="3" t="str">
        <f>"21103314508"</f>
        <v>21103314508</v>
      </c>
      <c r="B4372" s="3">
        <v>3</v>
      </c>
      <c r="C4372" s="3">
        <v>145</v>
      </c>
      <c r="D4372" s="3">
        <v>8</v>
      </c>
      <c r="E4372" s="3" t="s">
        <v>11</v>
      </c>
      <c r="F4372" s="4">
        <v>78.5</v>
      </c>
      <c r="G4372" s="4"/>
      <c r="H4372" s="4">
        <f t="shared" si="440"/>
        <v>78.5</v>
      </c>
    </row>
    <row r="4373" ht="14.25" spans="1:8">
      <c r="A4373" s="3" t="str">
        <f>"21103314509"</f>
        <v>21103314509</v>
      </c>
      <c r="B4373" s="3">
        <v>3</v>
      </c>
      <c r="C4373" s="3">
        <v>145</v>
      </c>
      <c r="D4373" s="3">
        <v>9</v>
      </c>
      <c r="E4373" s="3" t="s">
        <v>11</v>
      </c>
      <c r="F4373" s="3">
        <v>0</v>
      </c>
      <c r="G4373" s="4"/>
      <c r="H4373" s="3">
        <v>0</v>
      </c>
    </row>
    <row r="4374" ht="14.25" spans="1:8">
      <c r="A4374" s="3" t="str">
        <f>"21103314510"</f>
        <v>21103314510</v>
      </c>
      <c r="B4374" s="3">
        <v>3</v>
      </c>
      <c r="C4374" s="3">
        <v>145</v>
      </c>
      <c r="D4374" s="3">
        <v>10</v>
      </c>
      <c r="E4374" s="3" t="s">
        <v>11</v>
      </c>
      <c r="F4374" s="4">
        <v>75</v>
      </c>
      <c r="G4374" s="4"/>
      <c r="H4374" s="4">
        <f t="shared" si="440"/>
        <v>75</v>
      </c>
    </row>
    <row r="4375" ht="14.25" spans="1:8">
      <c r="A4375" s="3" t="str">
        <f>"21103314511"</f>
        <v>21103314511</v>
      </c>
      <c r="B4375" s="3">
        <v>3</v>
      </c>
      <c r="C4375" s="3">
        <v>145</v>
      </c>
      <c r="D4375" s="3">
        <v>11</v>
      </c>
      <c r="E4375" s="3" t="s">
        <v>11</v>
      </c>
      <c r="F4375" s="3">
        <v>0</v>
      </c>
      <c r="G4375" s="4"/>
      <c r="H4375" s="3">
        <v>0</v>
      </c>
    </row>
    <row r="4376" ht="14.25" spans="1:8">
      <c r="A4376" s="3" t="str">
        <f>"21103314512"</f>
        <v>21103314512</v>
      </c>
      <c r="B4376" s="3">
        <v>3</v>
      </c>
      <c r="C4376" s="3">
        <v>145</v>
      </c>
      <c r="D4376" s="3">
        <v>12</v>
      </c>
      <c r="E4376" s="3" t="s">
        <v>11</v>
      </c>
      <c r="F4376" s="4">
        <v>71.5</v>
      </c>
      <c r="G4376" s="4"/>
      <c r="H4376" s="4">
        <f t="shared" ref="H4376:H4382" si="441">F4376+G4376</f>
        <v>71.5</v>
      </c>
    </row>
    <row r="4377" ht="14.25" spans="1:8">
      <c r="A4377" s="3" t="str">
        <f>"21103314513"</f>
        <v>21103314513</v>
      </c>
      <c r="B4377" s="3">
        <v>3</v>
      </c>
      <c r="C4377" s="3">
        <v>145</v>
      </c>
      <c r="D4377" s="3">
        <v>13</v>
      </c>
      <c r="E4377" s="3" t="s">
        <v>11</v>
      </c>
      <c r="F4377" s="3">
        <v>0</v>
      </c>
      <c r="G4377" s="4"/>
      <c r="H4377" s="3">
        <v>0</v>
      </c>
    </row>
    <row r="4378" ht="14.25" spans="1:8">
      <c r="A4378" s="3" t="str">
        <f>"21103314514"</f>
        <v>21103314514</v>
      </c>
      <c r="B4378" s="3">
        <v>3</v>
      </c>
      <c r="C4378" s="3">
        <v>145</v>
      </c>
      <c r="D4378" s="3">
        <v>14</v>
      </c>
      <c r="E4378" s="3" t="s">
        <v>11</v>
      </c>
      <c r="F4378" s="4">
        <v>77</v>
      </c>
      <c r="G4378" s="4"/>
      <c r="H4378" s="4">
        <f t="shared" si="441"/>
        <v>77</v>
      </c>
    </row>
    <row r="4379" ht="14.25" spans="1:8">
      <c r="A4379" s="3" t="str">
        <f>"21103314515"</f>
        <v>21103314515</v>
      </c>
      <c r="B4379" s="3">
        <v>3</v>
      </c>
      <c r="C4379" s="3">
        <v>145</v>
      </c>
      <c r="D4379" s="3">
        <v>15</v>
      </c>
      <c r="E4379" s="3" t="s">
        <v>11</v>
      </c>
      <c r="F4379" s="3">
        <v>0</v>
      </c>
      <c r="G4379" s="4"/>
      <c r="H4379" s="3">
        <v>0</v>
      </c>
    </row>
    <row r="4380" ht="14.25" spans="1:8">
      <c r="A4380" s="3" t="str">
        <f>"21103314516"</f>
        <v>21103314516</v>
      </c>
      <c r="B4380" s="3">
        <v>3</v>
      </c>
      <c r="C4380" s="3">
        <v>145</v>
      </c>
      <c r="D4380" s="3">
        <v>16</v>
      </c>
      <c r="E4380" s="3" t="s">
        <v>11</v>
      </c>
      <c r="F4380" s="4">
        <v>67.5</v>
      </c>
      <c r="G4380" s="4"/>
      <c r="H4380" s="4">
        <f t="shared" si="441"/>
        <v>67.5</v>
      </c>
    </row>
    <row r="4381" ht="14.25" spans="1:8">
      <c r="A4381" s="3" t="str">
        <f>"21103314517"</f>
        <v>21103314517</v>
      </c>
      <c r="B4381" s="3">
        <v>3</v>
      </c>
      <c r="C4381" s="3">
        <v>145</v>
      </c>
      <c r="D4381" s="3">
        <v>17</v>
      </c>
      <c r="E4381" s="3" t="s">
        <v>11</v>
      </c>
      <c r="F4381" s="4">
        <v>71</v>
      </c>
      <c r="G4381" s="4"/>
      <c r="H4381" s="4">
        <f t="shared" si="441"/>
        <v>71</v>
      </c>
    </row>
    <row r="4382" ht="14.25" spans="1:8">
      <c r="A4382" s="3" t="str">
        <f>"21104314518"</f>
        <v>21104314518</v>
      </c>
      <c r="B4382" s="3">
        <v>3</v>
      </c>
      <c r="C4382" s="3">
        <v>145</v>
      </c>
      <c r="D4382" s="3">
        <v>18</v>
      </c>
      <c r="E4382" s="3" t="s">
        <v>11</v>
      </c>
      <c r="F4382" s="4">
        <v>58</v>
      </c>
      <c r="G4382" s="4"/>
      <c r="H4382" s="4">
        <f t="shared" si="441"/>
        <v>58</v>
      </c>
    </row>
    <row r="4383" ht="14.25" spans="1:8">
      <c r="A4383" s="3" t="str">
        <f>"21104314519"</f>
        <v>21104314519</v>
      </c>
      <c r="B4383" s="3">
        <v>3</v>
      </c>
      <c r="C4383" s="3">
        <v>145</v>
      </c>
      <c r="D4383" s="3">
        <v>19</v>
      </c>
      <c r="E4383" s="3" t="s">
        <v>11</v>
      </c>
      <c r="F4383" s="3">
        <v>0</v>
      </c>
      <c r="G4383" s="4"/>
      <c r="H4383" s="3">
        <v>0</v>
      </c>
    </row>
    <row r="4384" ht="14.25" spans="1:8">
      <c r="A4384" s="3" t="str">
        <f>"21104314520"</f>
        <v>21104314520</v>
      </c>
      <c r="B4384" s="3">
        <v>3</v>
      </c>
      <c r="C4384" s="3">
        <v>145</v>
      </c>
      <c r="D4384" s="3">
        <v>20</v>
      </c>
      <c r="E4384" s="3" t="s">
        <v>11</v>
      </c>
      <c r="F4384" s="3">
        <v>0</v>
      </c>
      <c r="G4384" s="4"/>
      <c r="H4384" s="3">
        <v>0</v>
      </c>
    </row>
    <row r="4385" ht="14.25" spans="1:8">
      <c r="A4385" s="3" t="str">
        <f>"21105314521"</f>
        <v>21105314521</v>
      </c>
      <c r="B4385" s="3">
        <v>3</v>
      </c>
      <c r="C4385" s="3">
        <v>145</v>
      </c>
      <c r="D4385" s="3">
        <v>21</v>
      </c>
      <c r="E4385" s="3" t="s">
        <v>11</v>
      </c>
      <c r="F4385" s="4">
        <v>62</v>
      </c>
      <c r="G4385" s="4"/>
      <c r="H4385" s="4">
        <f t="shared" ref="H4385:H4391" si="442">F4385+G4385</f>
        <v>62</v>
      </c>
    </row>
    <row r="4386" ht="14.25" spans="1:8">
      <c r="A4386" s="3" t="str">
        <f>"21105314522"</f>
        <v>21105314522</v>
      </c>
      <c r="B4386" s="3">
        <v>3</v>
      </c>
      <c r="C4386" s="3">
        <v>145</v>
      </c>
      <c r="D4386" s="3">
        <v>22</v>
      </c>
      <c r="E4386" s="3" t="s">
        <v>11</v>
      </c>
      <c r="F4386" s="4">
        <v>71.5</v>
      </c>
      <c r="G4386" s="4"/>
      <c r="H4386" s="4">
        <f t="shared" si="442"/>
        <v>71.5</v>
      </c>
    </row>
    <row r="4387" ht="14.25" spans="1:8">
      <c r="A4387" s="3" t="str">
        <f>"21105314523"</f>
        <v>21105314523</v>
      </c>
      <c r="B4387" s="3">
        <v>3</v>
      </c>
      <c r="C4387" s="3">
        <v>145</v>
      </c>
      <c r="D4387" s="3">
        <v>23</v>
      </c>
      <c r="E4387" s="3" t="s">
        <v>11</v>
      </c>
      <c r="F4387" s="4">
        <v>53.5</v>
      </c>
      <c r="G4387" s="4"/>
      <c r="H4387" s="4">
        <f t="shared" si="442"/>
        <v>53.5</v>
      </c>
    </row>
    <row r="4388" ht="14.25" spans="1:8">
      <c r="A4388" s="3" t="str">
        <f>"21105314524"</f>
        <v>21105314524</v>
      </c>
      <c r="B4388" s="3">
        <v>3</v>
      </c>
      <c r="C4388" s="3">
        <v>145</v>
      </c>
      <c r="D4388" s="3">
        <v>24</v>
      </c>
      <c r="E4388" s="3" t="s">
        <v>11</v>
      </c>
      <c r="F4388" s="4">
        <v>61</v>
      </c>
      <c r="G4388" s="4"/>
      <c r="H4388" s="4">
        <f t="shared" si="442"/>
        <v>61</v>
      </c>
    </row>
    <row r="4389" ht="14.25" spans="1:8">
      <c r="A4389" s="3" t="str">
        <f>"21105314525"</f>
        <v>21105314525</v>
      </c>
      <c r="B4389" s="3">
        <v>3</v>
      </c>
      <c r="C4389" s="3">
        <v>145</v>
      </c>
      <c r="D4389" s="3">
        <v>25</v>
      </c>
      <c r="E4389" s="3" t="s">
        <v>11</v>
      </c>
      <c r="F4389" s="4">
        <v>73</v>
      </c>
      <c r="G4389" s="4"/>
      <c r="H4389" s="4">
        <f t="shared" si="442"/>
        <v>73</v>
      </c>
    </row>
    <row r="4390" ht="14.25" spans="1:8">
      <c r="A4390" s="3" t="str">
        <f>"21105314526"</f>
        <v>21105314526</v>
      </c>
      <c r="B4390" s="3">
        <v>3</v>
      </c>
      <c r="C4390" s="3">
        <v>145</v>
      </c>
      <c r="D4390" s="3">
        <v>26</v>
      </c>
      <c r="E4390" s="3" t="s">
        <v>11</v>
      </c>
      <c r="F4390" s="4">
        <v>58.5</v>
      </c>
      <c r="G4390" s="4"/>
      <c r="H4390" s="4">
        <f t="shared" si="442"/>
        <v>58.5</v>
      </c>
    </row>
    <row r="4391" ht="14.25" spans="1:8">
      <c r="A4391" s="3" t="str">
        <f>"21105314527"</f>
        <v>21105314527</v>
      </c>
      <c r="B4391" s="3">
        <v>3</v>
      </c>
      <c r="C4391" s="3">
        <v>145</v>
      </c>
      <c r="D4391" s="3">
        <v>27</v>
      </c>
      <c r="E4391" s="3" t="s">
        <v>11</v>
      </c>
      <c r="F4391" s="4">
        <v>81.5</v>
      </c>
      <c r="G4391" s="4"/>
      <c r="H4391" s="4">
        <f t="shared" si="442"/>
        <v>81.5</v>
      </c>
    </row>
    <row r="4392" ht="14.25" spans="1:8">
      <c r="A4392" s="3" t="str">
        <f>"21105314528"</f>
        <v>21105314528</v>
      </c>
      <c r="B4392" s="3">
        <v>3</v>
      </c>
      <c r="C4392" s="3">
        <v>145</v>
      </c>
      <c r="D4392" s="3">
        <v>28</v>
      </c>
      <c r="E4392" s="3" t="s">
        <v>11</v>
      </c>
      <c r="F4392" s="3">
        <v>0</v>
      </c>
      <c r="G4392" s="4"/>
      <c r="H4392" s="3">
        <v>0</v>
      </c>
    </row>
    <row r="4393" ht="14.25" spans="1:8">
      <c r="A4393" s="3" t="str">
        <f>"21105314529"</f>
        <v>21105314529</v>
      </c>
      <c r="B4393" s="3">
        <v>3</v>
      </c>
      <c r="C4393" s="3">
        <v>145</v>
      </c>
      <c r="D4393" s="3">
        <v>29</v>
      </c>
      <c r="E4393" s="3" t="s">
        <v>11</v>
      </c>
      <c r="F4393" s="4">
        <v>71.5</v>
      </c>
      <c r="G4393" s="4"/>
      <c r="H4393" s="4">
        <f t="shared" ref="H4393:H4396" si="443">F4393+G4393</f>
        <v>71.5</v>
      </c>
    </row>
    <row r="4394" ht="14.25" spans="1:8">
      <c r="A4394" s="3" t="str">
        <f>"21105314530"</f>
        <v>21105314530</v>
      </c>
      <c r="B4394" s="3">
        <v>3</v>
      </c>
      <c r="C4394" s="3">
        <v>145</v>
      </c>
      <c r="D4394" s="3">
        <v>30</v>
      </c>
      <c r="E4394" s="3" t="s">
        <v>11</v>
      </c>
      <c r="F4394" s="4">
        <v>86</v>
      </c>
      <c r="G4394" s="4"/>
      <c r="H4394" s="4">
        <f t="shared" si="443"/>
        <v>86</v>
      </c>
    </row>
    <row r="4395" ht="14.25" spans="1:8">
      <c r="A4395" s="3" t="str">
        <f>"21105314601"</f>
        <v>21105314601</v>
      </c>
      <c r="B4395" s="3">
        <v>3</v>
      </c>
      <c r="C4395" s="3">
        <v>146</v>
      </c>
      <c r="D4395" s="3">
        <v>1</v>
      </c>
      <c r="E4395" s="3" t="s">
        <v>11</v>
      </c>
      <c r="F4395" s="4">
        <v>50</v>
      </c>
      <c r="G4395" s="4"/>
      <c r="H4395" s="4">
        <f t="shared" si="443"/>
        <v>50</v>
      </c>
    </row>
    <row r="4396" ht="14.25" spans="1:8">
      <c r="A4396" s="3" t="str">
        <f>"21106314602"</f>
        <v>21106314602</v>
      </c>
      <c r="B4396" s="3">
        <v>3</v>
      </c>
      <c r="C4396" s="3">
        <v>146</v>
      </c>
      <c r="D4396" s="3">
        <v>2</v>
      </c>
      <c r="E4396" s="3" t="s">
        <v>11</v>
      </c>
      <c r="F4396" s="4">
        <v>69</v>
      </c>
      <c r="G4396" s="4"/>
      <c r="H4396" s="4">
        <f t="shared" si="443"/>
        <v>69</v>
      </c>
    </row>
    <row r="4397" ht="14.25" spans="1:8">
      <c r="A4397" s="3" t="str">
        <f>"21106314603"</f>
        <v>21106314603</v>
      </c>
      <c r="B4397" s="3">
        <v>3</v>
      </c>
      <c r="C4397" s="3">
        <v>146</v>
      </c>
      <c r="D4397" s="3">
        <v>3</v>
      </c>
      <c r="E4397" s="3" t="s">
        <v>11</v>
      </c>
      <c r="F4397" s="3">
        <v>0</v>
      </c>
      <c r="G4397" s="4"/>
      <c r="H4397" s="3">
        <v>0</v>
      </c>
    </row>
    <row r="4398" ht="14.25" spans="1:8">
      <c r="A4398" s="3" t="str">
        <f>"21106314604"</f>
        <v>21106314604</v>
      </c>
      <c r="B4398" s="3">
        <v>3</v>
      </c>
      <c r="C4398" s="3">
        <v>146</v>
      </c>
      <c r="D4398" s="3">
        <v>4</v>
      </c>
      <c r="E4398" s="3" t="s">
        <v>11</v>
      </c>
      <c r="F4398" s="4">
        <v>81</v>
      </c>
      <c r="G4398" s="4"/>
      <c r="H4398" s="4">
        <f t="shared" ref="H4398:H4402" si="444">F4398+G4398</f>
        <v>81</v>
      </c>
    </row>
    <row r="4399" ht="14.25" spans="1:8">
      <c r="A4399" s="3" t="str">
        <f>"21106314605"</f>
        <v>21106314605</v>
      </c>
      <c r="B4399" s="3">
        <v>3</v>
      </c>
      <c r="C4399" s="3">
        <v>146</v>
      </c>
      <c r="D4399" s="3">
        <v>5</v>
      </c>
      <c r="E4399" s="3" t="s">
        <v>11</v>
      </c>
      <c r="F4399" s="3">
        <v>0</v>
      </c>
      <c r="G4399" s="4"/>
      <c r="H4399" s="3">
        <v>0</v>
      </c>
    </row>
    <row r="4400" ht="14.25" spans="1:8">
      <c r="A4400" s="3" t="str">
        <f>"21106314606"</f>
        <v>21106314606</v>
      </c>
      <c r="B4400" s="3">
        <v>3</v>
      </c>
      <c r="C4400" s="3">
        <v>146</v>
      </c>
      <c r="D4400" s="3">
        <v>6</v>
      </c>
      <c r="E4400" s="3" t="s">
        <v>11</v>
      </c>
      <c r="F4400" s="4">
        <v>73</v>
      </c>
      <c r="G4400" s="4"/>
      <c r="H4400" s="4">
        <f t="shared" si="444"/>
        <v>73</v>
      </c>
    </row>
    <row r="4401" ht="14.25" spans="1:8">
      <c r="A4401" s="3" t="str">
        <f>"21106314607"</f>
        <v>21106314607</v>
      </c>
      <c r="B4401" s="3">
        <v>3</v>
      </c>
      <c r="C4401" s="3">
        <v>146</v>
      </c>
      <c r="D4401" s="3">
        <v>7</v>
      </c>
      <c r="E4401" s="3" t="s">
        <v>11</v>
      </c>
      <c r="F4401" s="4">
        <v>68.5</v>
      </c>
      <c r="G4401" s="4"/>
      <c r="H4401" s="4">
        <f t="shared" si="444"/>
        <v>68.5</v>
      </c>
    </row>
    <row r="4402" ht="14.25" spans="1:8">
      <c r="A4402" s="3" t="str">
        <f>"21106314608"</f>
        <v>21106314608</v>
      </c>
      <c r="B4402" s="3">
        <v>3</v>
      </c>
      <c r="C4402" s="3">
        <v>146</v>
      </c>
      <c r="D4402" s="3">
        <v>8</v>
      </c>
      <c r="E4402" s="3" t="s">
        <v>11</v>
      </c>
      <c r="F4402" s="4">
        <v>62.5</v>
      </c>
      <c r="G4402" s="4"/>
      <c r="H4402" s="4">
        <f t="shared" si="444"/>
        <v>62.5</v>
      </c>
    </row>
    <row r="4403" ht="14.25" spans="1:8">
      <c r="A4403" s="3" t="str">
        <f>"21106314609"</f>
        <v>21106314609</v>
      </c>
      <c r="B4403" s="3">
        <v>3</v>
      </c>
      <c r="C4403" s="3">
        <v>146</v>
      </c>
      <c r="D4403" s="3">
        <v>9</v>
      </c>
      <c r="E4403" s="3" t="s">
        <v>11</v>
      </c>
      <c r="F4403" s="3">
        <v>0</v>
      </c>
      <c r="G4403" s="4"/>
      <c r="H4403" s="3">
        <v>0</v>
      </c>
    </row>
    <row r="4404" ht="14.25" spans="1:8">
      <c r="A4404" s="3" t="str">
        <f>"21106314610"</f>
        <v>21106314610</v>
      </c>
      <c r="B4404" s="3">
        <v>3</v>
      </c>
      <c r="C4404" s="3">
        <v>146</v>
      </c>
      <c r="D4404" s="3">
        <v>10</v>
      </c>
      <c r="E4404" s="3" t="s">
        <v>11</v>
      </c>
      <c r="F4404" s="3">
        <v>0</v>
      </c>
      <c r="G4404" s="4"/>
      <c r="H4404" s="3">
        <v>0</v>
      </c>
    </row>
    <row r="4405" ht="14.25" spans="1:8">
      <c r="A4405" s="3" t="str">
        <f>"21106314611"</f>
        <v>21106314611</v>
      </c>
      <c r="B4405" s="3">
        <v>3</v>
      </c>
      <c r="C4405" s="3">
        <v>146</v>
      </c>
      <c r="D4405" s="3">
        <v>11</v>
      </c>
      <c r="E4405" s="3" t="s">
        <v>11</v>
      </c>
      <c r="F4405" s="3">
        <v>0</v>
      </c>
      <c r="G4405" s="4"/>
      <c r="H4405" s="3">
        <v>0</v>
      </c>
    </row>
    <row r="4406" ht="14.25" spans="1:8">
      <c r="A4406" s="3" t="str">
        <f>"21106314612"</f>
        <v>21106314612</v>
      </c>
      <c r="B4406" s="3">
        <v>3</v>
      </c>
      <c r="C4406" s="3">
        <v>146</v>
      </c>
      <c r="D4406" s="3">
        <v>12</v>
      </c>
      <c r="E4406" s="3" t="s">
        <v>11</v>
      </c>
      <c r="F4406" s="3">
        <v>0</v>
      </c>
      <c r="G4406" s="4"/>
      <c r="H4406" s="3">
        <v>0</v>
      </c>
    </row>
    <row r="4407" ht="14.25" spans="1:8">
      <c r="A4407" s="3" t="str">
        <f>"21106314613"</f>
        <v>21106314613</v>
      </c>
      <c r="B4407" s="3">
        <v>3</v>
      </c>
      <c r="C4407" s="3">
        <v>146</v>
      </c>
      <c r="D4407" s="3">
        <v>13</v>
      </c>
      <c r="E4407" s="3" t="s">
        <v>11</v>
      </c>
      <c r="F4407" s="4">
        <v>62</v>
      </c>
      <c r="G4407" s="4"/>
      <c r="H4407" s="4">
        <f t="shared" ref="H4407:H4411" si="445">F4407+G4407</f>
        <v>62</v>
      </c>
    </row>
    <row r="4408" ht="14.25" spans="1:8">
      <c r="A4408" s="3" t="str">
        <f>"21107314614"</f>
        <v>21107314614</v>
      </c>
      <c r="B4408" s="3">
        <v>3</v>
      </c>
      <c r="C4408" s="3">
        <v>146</v>
      </c>
      <c r="D4408" s="3">
        <v>14</v>
      </c>
      <c r="E4408" s="3" t="s">
        <v>11</v>
      </c>
      <c r="F4408" s="4">
        <v>68.5</v>
      </c>
      <c r="G4408" s="4"/>
      <c r="H4408" s="4">
        <f t="shared" si="445"/>
        <v>68.5</v>
      </c>
    </row>
    <row r="4409" ht="14.25" spans="1:8">
      <c r="A4409" s="3" t="str">
        <f>"21107314615"</f>
        <v>21107314615</v>
      </c>
      <c r="B4409" s="3">
        <v>3</v>
      </c>
      <c r="C4409" s="3">
        <v>146</v>
      </c>
      <c r="D4409" s="3">
        <v>15</v>
      </c>
      <c r="E4409" s="3" t="s">
        <v>11</v>
      </c>
      <c r="F4409" s="3">
        <v>0</v>
      </c>
      <c r="G4409" s="4"/>
      <c r="H4409" s="3">
        <v>0</v>
      </c>
    </row>
    <row r="4410" ht="14.25" spans="1:8">
      <c r="A4410" s="3" t="str">
        <f>"21107314616"</f>
        <v>21107314616</v>
      </c>
      <c r="B4410" s="3">
        <v>3</v>
      </c>
      <c r="C4410" s="3">
        <v>146</v>
      </c>
      <c r="D4410" s="3">
        <v>16</v>
      </c>
      <c r="E4410" s="3" t="s">
        <v>11</v>
      </c>
      <c r="F4410" s="4">
        <v>64</v>
      </c>
      <c r="G4410" s="4"/>
      <c r="H4410" s="4">
        <f t="shared" si="445"/>
        <v>64</v>
      </c>
    </row>
    <row r="4411" ht="14.25" spans="1:8">
      <c r="A4411" s="3" t="str">
        <f>"21107314617"</f>
        <v>21107314617</v>
      </c>
      <c r="B4411" s="3">
        <v>3</v>
      </c>
      <c r="C4411" s="3">
        <v>146</v>
      </c>
      <c r="D4411" s="3">
        <v>17</v>
      </c>
      <c r="E4411" s="3" t="s">
        <v>11</v>
      </c>
      <c r="F4411" s="4">
        <v>90.5</v>
      </c>
      <c r="G4411" s="4"/>
      <c r="H4411" s="4">
        <f t="shared" si="445"/>
        <v>90.5</v>
      </c>
    </row>
    <row r="4412" ht="14.25" spans="1:8">
      <c r="A4412" s="3" t="str">
        <f>"21107314618"</f>
        <v>21107314618</v>
      </c>
      <c r="B4412" s="3">
        <v>3</v>
      </c>
      <c r="C4412" s="3">
        <v>146</v>
      </c>
      <c r="D4412" s="3">
        <v>18</v>
      </c>
      <c r="E4412" s="3" t="s">
        <v>11</v>
      </c>
      <c r="F4412" s="3">
        <v>0</v>
      </c>
      <c r="G4412" s="4"/>
      <c r="H4412" s="3">
        <v>0</v>
      </c>
    </row>
    <row r="4413" ht="14.25" spans="1:8">
      <c r="A4413" s="3" t="str">
        <f>"21107314619"</f>
        <v>21107314619</v>
      </c>
      <c r="B4413" s="3">
        <v>3</v>
      </c>
      <c r="C4413" s="3">
        <v>146</v>
      </c>
      <c r="D4413" s="3">
        <v>19</v>
      </c>
      <c r="E4413" s="3" t="s">
        <v>11</v>
      </c>
      <c r="F4413" s="3">
        <v>0</v>
      </c>
      <c r="G4413" s="4"/>
      <c r="H4413" s="3">
        <v>0</v>
      </c>
    </row>
    <row r="4414" ht="14.25" spans="1:8">
      <c r="A4414" s="3" t="str">
        <f>"21107314620"</f>
        <v>21107314620</v>
      </c>
      <c r="B4414" s="3">
        <v>3</v>
      </c>
      <c r="C4414" s="3">
        <v>146</v>
      </c>
      <c r="D4414" s="3">
        <v>20</v>
      </c>
      <c r="E4414" s="3" t="s">
        <v>11</v>
      </c>
      <c r="F4414" s="4">
        <v>55.5</v>
      </c>
      <c r="G4414" s="4"/>
      <c r="H4414" s="4">
        <f>F4414+G4414</f>
        <v>55.5</v>
      </c>
    </row>
    <row r="4415" ht="14.25" spans="1:8">
      <c r="A4415" s="3" t="str">
        <f>"21107314621"</f>
        <v>21107314621</v>
      </c>
      <c r="B4415" s="3">
        <v>3</v>
      </c>
      <c r="C4415" s="3">
        <v>146</v>
      </c>
      <c r="D4415" s="3">
        <v>21</v>
      </c>
      <c r="E4415" s="3" t="s">
        <v>11</v>
      </c>
      <c r="F4415" s="3">
        <v>0</v>
      </c>
      <c r="G4415" s="4"/>
      <c r="H4415" s="3">
        <v>0</v>
      </c>
    </row>
    <row r="4416" ht="14.25" spans="1:8">
      <c r="A4416" s="3" t="str">
        <f>"21108314622"</f>
        <v>21108314622</v>
      </c>
      <c r="B4416" s="3">
        <v>3</v>
      </c>
      <c r="C4416" s="3">
        <v>146</v>
      </c>
      <c r="D4416" s="3">
        <v>22</v>
      </c>
      <c r="E4416" s="3" t="s">
        <v>11</v>
      </c>
      <c r="F4416" s="4">
        <v>81</v>
      </c>
      <c r="G4416" s="4"/>
      <c r="H4416" s="4">
        <f>F4416+G4416</f>
        <v>81</v>
      </c>
    </row>
    <row r="4417" ht="14.25" spans="1:8">
      <c r="A4417" s="3" t="str">
        <f>"21108314623"</f>
        <v>21108314623</v>
      </c>
      <c r="B4417" s="3">
        <v>3</v>
      </c>
      <c r="C4417" s="3">
        <v>146</v>
      </c>
      <c r="D4417" s="3">
        <v>23</v>
      </c>
      <c r="E4417" s="3" t="s">
        <v>11</v>
      </c>
      <c r="F4417" s="3">
        <v>0</v>
      </c>
      <c r="G4417" s="4"/>
      <c r="H4417" s="3">
        <v>0</v>
      </c>
    </row>
    <row r="4418" ht="14.25" spans="1:8">
      <c r="A4418" s="3" t="str">
        <f>"21108314624"</f>
        <v>21108314624</v>
      </c>
      <c r="B4418" s="3">
        <v>3</v>
      </c>
      <c r="C4418" s="3">
        <v>146</v>
      </c>
      <c r="D4418" s="3">
        <v>24</v>
      </c>
      <c r="E4418" s="3" t="s">
        <v>11</v>
      </c>
      <c r="F4418" s="3">
        <v>0</v>
      </c>
      <c r="G4418" s="4"/>
      <c r="H4418" s="3">
        <v>0</v>
      </c>
    </row>
    <row r="4419" ht="14.25" spans="1:8">
      <c r="A4419" s="3" t="str">
        <f>"21108314625"</f>
        <v>21108314625</v>
      </c>
      <c r="B4419" s="3">
        <v>3</v>
      </c>
      <c r="C4419" s="3">
        <v>146</v>
      </c>
      <c r="D4419" s="3">
        <v>25</v>
      </c>
      <c r="E4419" s="3" t="s">
        <v>11</v>
      </c>
      <c r="F4419" s="3">
        <v>0</v>
      </c>
      <c r="G4419" s="4"/>
      <c r="H4419" s="3">
        <v>0</v>
      </c>
    </row>
    <row r="4420" ht="14.25" spans="1:8">
      <c r="A4420" s="3" t="str">
        <f>"21108314626"</f>
        <v>21108314626</v>
      </c>
      <c r="B4420" s="3">
        <v>3</v>
      </c>
      <c r="C4420" s="3">
        <v>146</v>
      </c>
      <c r="D4420" s="3">
        <v>26</v>
      </c>
      <c r="E4420" s="3" t="s">
        <v>11</v>
      </c>
      <c r="F4420" s="4">
        <v>79.5</v>
      </c>
      <c r="G4420" s="4"/>
      <c r="H4420" s="4">
        <f>F4420+G4420</f>
        <v>79.5</v>
      </c>
    </row>
    <row r="4421" ht="14.25" spans="1:8">
      <c r="A4421" s="3" t="str">
        <f>"21108314627"</f>
        <v>21108314627</v>
      </c>
      <c r="B4421" s="3">
        <v>3</v>
      </c>
      <c r="C4421" s="3">
        <v>146</v>
      </c>
      <c r="D4421" s="3">
        <v>27</v>
      </c>
      <c r="E4421" s="3" t="s">
        <v>11</v>
      </c>
      <c r="F4421" s="3">
        <v>0</v>
      </c>
      <c r="G4421" s="4"/>
      <c r="H4421" s="3">
        <v>0</v>
      </c>
    </row>
    <row r="4422" ht="14.25" spans="1:8">
      <c r="A4422" s="3" t="str">
        <f>"21108314628"</f>
        <v>21108314628</v>
      </c>
      <c r="B4422" s="3">
        <v>3</v>
      </c>
      <c r="C4422" s="3">
        <v>146</v>
      </c>
      <c r="D4422" s="3">
        <v>28</v>
      </c>
      <c r="E4422" s="3" t="s">
        <v>11</v>
      </c>
      <c r="F4422" s="3">
        <v>0</v>
      </c>
      <c r="G4422" s="4"/>
      <c r="H4422" s="3">
        <v>0</v>
      </c>
    </row>
    <row r="4423" ht="14.25" spans="1:8">
      <c r="A4423" s="3" t="str">
        <f>"21109314629"</f>
        <v>21109314629</v>
      </c>
      <c r="B4423" s="3">
        <v>3</v>
      </c>
      <c r="C4423" s="3">
        <v>146</v>
      </c>
      <c r="D4423" s="3">
        <v>29</v>
      </c>
      <c r="E4423" s="3" t="s">
        <v>11</v>
      </c>
      <c r="F4423" s="3">
        <v>0</v>
      </c>
      <c r="G4423" s="4"/>
      <c r="H4423" s="3">
        <v>0</v>
      </c>
    </row>
    <row r="4424" ht="14.25" spans="1:8">
      <c r="A4424" s="3" t="str">
        <f>"21109314630"</f>
        <v>21109314630</v>
      </c>
      <c r="B4424" s="3">
        <v>3</v>
      </c>
      <c r="C4424" s="3">
        <v>146</v>
      </c>
      <c r="D4424" s="3">
        <v>30</v>
      </c>
      <c r="E4424" s="3" t="s">
        <v>11</v>
      </c>
      <c r="F4424" s="3">
        <v>0</v>
      </c>
      <c r="G4424" s="4"/>
      <c r="H4424" s="3">
        <v>0</v>
      </c>
    </row>
    <row r="4425" ht="14.25" spans="1:8">
      <c r="A4425" s="3" t="str">
        <f>"21109314701"</f>
        <v>21109314701</v>
      </c>
      <c r="B4425" s="3">
        <v>3</v>
      </c>
      <c r="C4425" s="3">
        <v>147</v>
      </c>
      <c r="D4425" s="3">
        <v>1</v>
      </c>
      <c r="E4425" s="3" t="s">
        <v>11</v>
      </c>
      <c r="F4425" s="3">
        <v>0</v>
      </c>
      <c r="G4425" s="4"/>
      <c r="H4425" s="3">
        <v>0</v>
      </c>
    </row>
    <row r="4426" ht="14.25" spans="1:8">
      <c r="A4426" s="3" t="str">
        <f>"21109314702"</f>
        <v>21109314702</v>
      </c>
      <c r="B4426" s="3">
        <v>3</v>
      </c>
      <c r="C4426" s="3">
        <v>147</v>
      </c>
      <c r="D4426" s="3">
        <v>2</v>
      </c>
      <c r="E4426" s="3" t="s">
        <v>11</v>
      </c>
      <c r="F4426" s="4">
        <v>79</v>
      </c>
      <c r="G4426" s="4"/>
      <c r="H4426" s="4">
        <f t="shared" ref="H4426:H4429" si="446">F4426+G4426</f>
        <v>79</v>
      </c>
    </row>
    <row r="4427" ht="14.25" spans="1:8">
      <c r="A4427" s="3" t="str">
        <f>"21109314703"</f>
        <v>21109314703</v>
      </c>
      <c r="B4427" s="3">
        <v>3</v>
      </c>
      <c r="C4427" s="3">
        <v>147</v>
      </c>
      <c r="D4427" s="3">
        <v>3</v>
      </c>
      <c r="E4427" s="3" t="s">
        <v>11</v>
      </c>
      <c r="F4427" s="4">
        <v>51.5</v>
      </c>
      <c r="G4427" s="4"/>
      <c r="H4427" s="4">
        <f t="shared" si="446"/>
        <v>51.5</v>
      </c>
    </row>
    <row r="4428" ht="14.25" spans="1:8">
      <c r="A4428" s="3" t="str">
        <f>"21109314704"</f>
        <v>21109314704</v>
      </c>
      <c r="B4428" s="3">
        <v>3</v>
      </c>
      <c r="C4428" s="3">
        <v>147</v>
      </c>
      <c r="D4428" s="3">
        <v>4</v>
      </c>
      <c r="E4428" s="3" t="s">
        <v>11</v>
      </c>
      <c r="F4428" s="3">
        <v>0</v>
      </c>
      <c r="G4428" s="4"/>
      <c r="H4428" s="3">
        <v>0</v>
      </c>
    </row>
    <row r="4429" ht="14.25" spans="1:8">
      <c r="A4429" s="3" t="str">
        <f>"21109314705"</f>
        <v>21109314705</v>
      </c>
      <c r="B4429" s="3">
        <v>3</v>
      </c>
      <c r="C4429" s="3">
        <v>147</v>
      </c>
      <c r="D4429" s="3">
        <v>5</v>
      </c>
      <c r="E4429" s="3" t="s">
        <v>11</v>
      </c>
      <c r="F4429" s="4">
        <v>64.5</v>
      </c>
      <c r="G4429" s="4"/>
      <c r="H4429" s="4">
        <f t="shared" si="446"/>
        <v>64.5</v>
      </c>
    </row>
    <row r="4430" ht="14.25" spans="1:8">
      <c r="A4430" s="3" t="str">
        <f>"21109314706"</f>
        <v>21109314706</v>
      </c>
      <c r="B4430" s="3">
        <v>3</v>
      </c>
      <c r="C4430" s="3">
        <v>147</v>
      </c>
      <c r="D4430" s="3">
        <v>6</v>
      </c>
      <c r="E4430" s="3" t="s">
        <v>11</v>
      </c>
      <c r="F4430" s="3">
        <v>0</v>
      </c>
      <c r="G4430" s="4"/>
      <c r="H4430" s="3">
        <v>0</v>
      </c>
    </row>
    <row r="4431" ht="14.25" spans="1:8">
      <c r="A4431" s="3" t="str">
        <f>"21201314707"</f>
        <v>21201314707</v>
      </c>
      <c r="B4431" s="3">
        <v>3</v>
      </c>
      <c r="C4431" s="3">
        <v>147</v>
      </c>
      <c r="D4431" s="3">
        <v>7</v>
      </c>
      <c r="E4431" s="3" t="s">
        <v>11</v>
      </c>
      <c r="F4431" s="4">
        <v>85</v>
      </c>
      <c r="G4431" s="4"/>
      <c r="H4431" s="4">
        <f t="shared" ref="H4431:H4434" si="447">F4431+G4431</f>
        <v>85</v>
      </c>
    </row>
    <row r="4432" ht="14.25" spans="1:8">
      <c r="A4432" s="3" t="str">
        <f>"21201314708"</f>
        <v>21201314708</v>
      </c>
      <c r="B4432" s="3">
        <v>3</v>
      </c>
      <c r="C4432" s="3">
        <v>147</v>
      </c>
      <c r="D4432" s="3">
        <v>8</v>
      </c>
      <c r="E4432" s="3" t="s">
        <v>11</v>
      </c>
      <c r="F4432" s="4">
        <v>81.5</v>
      </c>
      <c r="G4432" s="4"/>
      <c r="H4432" s="4">
        <f t="shared" si="447"/>
        <v>81.5</v>
      </c>
    </row>
    <row r="4433" ht="14.25" spans="1:8">
      <c r="A4433" s="3" t="str">
        <f>"21201314709"</f>
        <v>21201314709</v>
      </c>
      <c r="B4433" s="3">
        <v>3</v>
      </c>
      <c r="C4433" s="3">
        <v>147</v>
      </c>
      <c r="D4433" s="3">
        <v>9</v>
      </c>
      <c r="E4433" s="3" t="s">
        <v>11</v>
      </c>
      <c r="F4433" s="4">
        <v>67.5</v>
      </c>
      <c r="G4433" s="4"/>
      <c r="H4433" s="4">
        <f t="shared" si="447"/>
        <v>67.5</v>
      </c>
    </row>
    <row r="4434" ht="14.25" spans="1:8">
      <c r="A4434" s="3" t="str">
        <f>"21201314710"</f>
        <v>21201314710</v>
      </c>
      <c r="B4434" s="3">
        <v>3</v>
      </c>
      <c r="C4434" s="3">
        <v>147</v>
      </c>
      <c r="D4434" s="3">
        <v>10</v>
      </c>
      <c r="E4434" s="3" t="s">
        <v>11</v>
      </c>
      <c r="F4434" s="4">
        <v>76</v>
      </c>
      <c r="G4434" s="4"/>
      <c r="H4434" s="4">
        <f t="shared" si="447"/>
        <v>76</v>
      </c>
    </row>
    <row r="4435" ht="14.25" spans="1:8">
      <c r="A4435" s="3" t="str">
        <f>"21201314711"</f>
        <v>21201314711</v>
      </c>
      <c r="B4435" s="3">
        <v>3</v>
      </c>
      <c r="C4435" s="3">
        <v>147</v>
      </c>
      <c r="D4435" s="3">
        <v>11</v>
      </c>
      <c r="E4435" s="3" t="s">
        <v>11</v>
      </c>
      <c r="F4435" s="3">
        <v>0</v>
      </c>
      <c r="G4435" s="4"/>
      <c r="H4435" s="3">
        <v>0</v>
      </c>
    </row>
    <row r="4436" ht="14.25" spans="1:8">
      <c r="A4436" s="3" t="str">
        <f>"21201314712"</f>
        <v>21201314712</v>
      </c>
      <c r="B4436" s="3">
        <v>3</v>
      </c>
      <c r="C4436" s="3">
        <v>147</v>
      </c>
      <c r="D4436" s="3">
        <v>12</v>
      </c>
      <c r="E4436" s="3" t="s">
        <v>11</v>
      </c>
      <c r="F4436" s="4">
        <v>85.5</v>
      </c>
      <c r="G4436" s="4"/>
      <c r="H4436" s="4">
        <f t="shared" ref="H4436:H4439" si="448">F4436+G4436</f>
        <v>85.5</v>
      </c>
    </row>
    <row r="4437" ht="14.25" spans="1:8">
      <c r="A4437" s="3" t="str">
        <f>"21201314713"</f>
        <v>21201314713</v>
      </c>
      <c r="B4437" s="3">
        <v>3</v>
      </c>
      <c r="C4437" s="3">
        <v>147</v>
      </c>
      <c r="D4437" s="3">
        <v>13</v>
      </c>
      <c r="E4437" s="3" t="s">
        <v>11</v>
      </c>
      <c r="F4437" s="4">
        <v>70.5</v>
      </c>
      <c r="G4437" s="4"/>
      <c r="H4437" s="4">
        <f t="shared" si="448"/>
        <v>70.5</v>
      </c>
    </row>
    <row r="4438" ht="14.25" spans="1:8">
      <c r="A4438" s="3" t="str">
        <f>"21201314714"</f>
        <v>21201314714</v>
      </c>
      <c r="B4438" s="3">
        <v>3</v>
      </c>
      <c r="C4438" s="3">
        <v>147</v>
      </c>
      <c r="D4438" s="3">
        <v>14</v>
      </c>
      <c r="E4438" s="3" t="s">
        <v>11</v>
      </c>
      <c r="F4438" s="4">
        <v>75.5</v>
      </c>
      <c r="G4438" s="4"/>
      <c r="H4438" s="4">
        <f t="shared" si="448"/>
        <v>75.5</v>
      </c>
    </row>
    <row r="4439" ht="14.25" spans="1:8">
      <c r="A4439" s="3" t="str">
        <f>"21201314715"</f>
        <v>21201314715</v>
      </c>
      <c r="B4439" s="3">
        <v>3</v>
      </c>
      <c r="C4439" s="3">
        <v>147</v>
      </c>
      <c r="D4439" s="3">
        <v>15</v>
      </c>
      <c r="E4439" s="3" t="s">
        <v>11</v>
      </c>
      <c r="F4439" s="4">
        <v>64</v>
      </c>
      <c r="G4439" s="4"/>
      <c r="H4439" s="4">
        <f t="shared" si="448"/>
        <v>64</v>
      </c>
    </row>
    <row r="4440" ht="14.25" spans="1:8">
      <c r="A4440" s="3" t="str">
        <f>"21201314716"</f>
        <v>21201314716</v>
      </c>
      <c r="B4440" s="3">
        <v>3</v>
      </c>
      <c r="C4440" s="3">
        <v>147</v>
      </c>
      <c r="D4440" s="3">
        <v>16</v>
      </c>
      <c r="E4440" s="3" t="s">
        <v>11</v>
      </c>
      <c r="F4440" s="3">
        <v>0</v>
      </c>
      <c r="G4440" s="4"/>
      <c r="H4440" s="3">
        <v>0</v>
      </c>
    </row>
    <row r="4441" ht="14.25" spans="1:8">
      <c r="A4441" s="3" t="str">
        <f>"21201314717"</f>
        <v>21201314717</v>
      </c>
      <c r="B4441" s="3">
        <v>3</v>
      </c>
      <c r="C4441" s="3">
        <v>147</v>
      </c>
      <c r="D4441" s="3">
        <v>17</v>
      </c>
      <c r="E4441" s="3" t="s">
        <v>11</v>
      </c>
      <c r="F4441" s="3">
        <v>0</v>
      </c>
      <c r="G4441" s="4"/>
      <c r="H4441" s="3">
        <v>0</v>
      </c>
    </row>
    <row r="4442" ht="14.25" spans="1:8">
      <c r="A4442" s="3" t="str">
        <f>"21201314718"</f>
        <v>21201314718</v>
      </c>
      <c r="B4442" s="3">
        <v>3</v>
      </c>
      <c r="C4442" s="3">
        <v>147</v>
      </c>
      <c r="D4442" s="3">
        <v>18</v>
      </c>
      <c r="E4442" s="3" t="s">
        <v>11</v>
      </c>
      <c r="F4442" s="3">
        <v>0</v>
      </c>
      <c r="G4442" s="4"/>
      <c r="H4442" s="3">
        <v>0</v>
      </c>
    </row>
    <row r="4443" ht="14.25" spans="1:8">
      <c r="A4443" s="3" t="str">
        <f>"21201314719"</f>
        <v>21201314719</v>
      </c>
      <c r="B4443" s="3">
        <v>3</v>
      </c>
      <c r="C4443" s="3">
        <v>147</v>
      </c>
      <c r="D4443" s="3">
        <v>19</v>
      </c>
      <c r="E4443" s="3" t="s">
        <v>11</v>
      </c>
      <c r="F4443" s="4">
        <v>74</v>
      </c>
      <c r="G4443" s="4"/>
      <c r="H4443" s="4">
        <f t="shared" ref="H4443:H4446" si="449">F4443+G4443</f>
        <v>74</v>
      </c>
    </row>
    <row r="4444" ht="14.25" spans="1:8">
      <c r="A4444" s="3" t="str">
        <f>"21201314720"</f>
        <v>21201314720</v>
      </c>
      <c r="B4444" s="3">
        <v>3</v>
      </c>
      <c r="C4444" s="3">
        <v>147</v>
      </c>
      <c r="D4444" s="3">
        <v>20</v>
      </c>
      <c r="E4444" s="3" t="s">
        <v>11</v>
      </c>
      <c r="F4444" s="4">
        <v>62</v>
      </c>
      <c r="G4444" s="4"/>
      <c r="H4444" s="4">
        <f t="shared" si="449"/>
        <v>62</v>
      </c>
    </row>
    <row r="4445" ht="14.25" spans="1:8">
      <c r="A4445" s="3" t="str">
        <f>"21201314721"</f>
        <v>21201314721</v>
      </c>
      <c r="B4445" s="3">
        <v>3</v>
      </c>
      <c r="C4445" s="3">
        <v>147</v>
      </c>
      <c r="D4445" s="3">
        <v>21</v>
      </c>
      <c r="E4445" s="3" t="s">
        <v>11</v>
      </c>
      <c r="F4445" s="4">
        <v>65.5</v>
      </c>
      <c r="G4445" s="4"/>
      <c r="H4445" s="4">
        <f t="shared" si="449"/>
        <v>65.5</v>
      </c>
    </row>
    <row r="4446" ht="14.25" spans="1:8">
      <c r="A4446" s="3" t="str">
        <f>"21202314722"</f>
        <v>21202314722</v>
      </c>
      <c r="B4446" s="3">
        <v>3</v>
      </c>
      <c r="C4446" s="3">
        <v>147</v>
      </c>
      <c r="D4446" s="3">
        <v>22</v>
      </c>
      <c r="E4446" s="3" t="s">
        <v>11</v>
      </c>
      <c r="F4446" s="4">
        <v>56</v>
      </c>
      <c r="G4446" s="4"/>
      <c r="H4446" s="4">
        <f t="shared" si="449"/>
        <v>56</v>
      </c>
    </row>
    <row r="4447" ht="14.25" spans="1:8">
      <c r="A4447" s="3" t="str">
        <f>"21202314723"</f>
        <v>21202314723</v>
      </c>
      <c r="B4447" s="3">
        <v>3</v>
      </c>
      <c r="C4447" s="3">
        <v>147</v>
      </c>
      <c r="D4447" s="3">
        <v>23</v>
      </c>
      <c r="E4447" s="3" t="s">
        <v>11</v>
      </c>
      <c r="F4447" s="3">
        <v>0</v>
      </c>
      <c r="G4447" s="4"/>
      <c r="H4447" s="3">
        <v>0</v>
      </c>
    </row>
    <row r="4448" ht="14.25" spans="1:8">
      <c r="A4448" s="3" t="str">
        <f>"21202314724"</f>
        <v>21202314724</v>
      </c>
      <c r="B4448" s="3">
        <v>3</v>
      </c>
      <c r="C4448" s="3">
        <v>147</v>
      </c>
      <c r="D4448" s="3">
        <v>24</v>
      </c>
      <c r="E4448" s="3" t="s">
        <v>11</v>
      </c>
      <c r="F4448" s="3">
        <v>0</v>
      </c>
      <c r="G4448" s="4"/>
      <c r="H4448" s="3">
        <v>0</v>
      </c>
    </row>
    <row r="4449" ht="14.25" spans="1:8">
      <c r="A4449" s="3" t="str">
        <f>"21202314725"</f>
        <v>21202314725</v>
      </c>
      <c r="B4449" s="3">
        <v>3</v>
      </c>
      <c r="C4449" s="3">
        <v>147</v>
      </c>
      <c r="D4449" s="3">
        <v>25</v>
      </c>
      <c r="E4449" s="3" t="s">
        <v>11</v>
      </c>
      <c r="F4449" s="4">
        <v>58.5</v>
      </c>
      <c r="G4449" s="4"/>
      <c r="H4449" s="4">
        <f t="shared" ref="H4449:H4456" si="450">F4449+G4449</f>
        <v>58.5</v>
      </c>
    </row>
    <row r="4450" ht="14.25" spans="1:8">
      <c r="A4450" s="3" t="str">
        <f>"21202314726"</f>
        <v>21202314726</v>
      </c>
      <c r="B4450" s="3">
        <v>3</v>
      </c>
      <c r="C4450" s="3">
        <v>147</v>
      </c>
      <c r="D4450" s="3">
        <v>26</v>
      </c>
      <c r="E4450" s="3" t="s">
        <v>11</v>
      </c>
      <c r="F4450" s="4">
        <v>82.5</v>
      </c>
      <c r="G4450" s="4"/>
      <c r="H4450" s="4">
        <f t="shared" si="450"/>
        <v>82.5</v>
      </c>
    </row>
    <row r="4451" ht="14.25" spans="1:8">
      <c r="A4451" s="3" t="str">
        <f>"21202314727"</f>
        <v>21202314727</v>
      </c>
      <c r="B4451" s="3">
        <v>3</v>
      </c>
      <c r="C4451" s="3">
        <v>147</v>
      </c>
      <c r="D4451" s="3">
        <v>27</v>
      </c>
      <c r="E4451" s="3" t="s">
        <v>11</v>
      </c>
      <c r="F4451" s="4">
        <v>69</v>
      </c>
      <c r="G4451" s="4"/>
      <c r="H4451" s="4">
        <f t="shared" si="450"/>
        <v>69</v>
      </c>
    </row>
    <row r="4452" ht="14.25" spans="1:8">
      <c r="A4452" s="3" t="str">
        <f>"21202314728"</f>
        <v>21202314728</v>
      </c>
      <c r="B4452" s="3">
        <v>3</v>
      </c>
      <c r="C4452" s="3">
        <v>147</v>
      </c>
      <c r="D4452" s="3">
        <v>28</v>
      </c>
      <c r="E4452" s="3" t="s">
        <v>11</v>
      </c>
      <c r="F4452" s="4">
        <v>75.5</v>
      </c>
      <c r="G4452" s="4"/>
      <c r="H4452" s="4">
        <f t="shared" si="450"/>
        <v>75.5</v>
      </c>
    </row>
    <row r="4453" ht="14.25" spans="1:8">
      <c r="A4453" s="3" t="str">
        <f>"21202314729"</f>
        <v>21202314729</v>
      </c>
      <c r="B4453" s="3">
        <v>3</v>
      </c>
      <c r="C4453" s="3">
        <v>147</v>
      </c>
      <c r="D4453" s="3">
        <v>29</v>
      </c>
      <c r="E4453" s="3" t="s">
        <v>11</v>
      </c>
      <c r="F4453" s="4">
        <v>65.5</v>
      </c>
      <c r="G4453" s="4"/>
      <c r="H4453" s="4">
        <f t="shared" si="450"/>
        <v>65.5</v>
      </c>
    </row>
    <row r="4454" ht="14.25" spans="1:8">
      <c r="A4454" s="3" t="str">
        <f>"21202314730"</f>
        <v>21202314730</v>
      </c>
      <c r="B4454" s="3">
        <v>3</v>
      </c>
      <c r="C4454" s="3">
        <v>147</v>
      </c>
      <c r="D4454" s="3">
        <v>30</v>
      </c>
      <c r="E4454" s="3" t="s">
        <v>11</v>
      </c>
      <c r="F4454" s="4">
        <v>68.5</v>
      </c>
      <c r="G4454" s="4"/>
      <c r="H4454" s="4">
        <f t="shared" si="450"/>
        <v>68.5</v>
      </c>
    </row>
    <row r="4455" ht="14.25" spans="1:8">
      <c r="A4455" s="3" t="str">
        <f>"21202314801"</f>
        <v>21202314801</v>
      </c>
      <c r="B4455" s="3">
        <v>3</v>
      </c>
      <c r="C4455" s="3">
        <v>148</v>
      </c>
      <c r="D4455" s="3">
        <v>1</v>
      </c>
      <c r="E4455" s="3" t="s">
        <v>11</v>
      </c>
      <c r="F4455" s="4">
        <v>84.5</v>
      </c>
      <c r="G4455" s="4"/>
      <c r="H4455" s="4">
        <f t="shared" si="450"/>
        <v>84.5</v>
      </c>
    </row>
    <row r="4456" ht="14.25" spans="1:8">
      <c r="A4456" s="3" t="str">
        <f>"21202314802"</f>
        <v>21202314802</v>
      </c>
      <c r="B4456" s="3">
        <v>3</v>
      </c>
      <c r="C4456" s="3">
        <v>148</v>
      </c>
      <c r="D4456" s="3">
        <v>2</v>
      </c>
      <c r="E4456" s="3" t="s">
        <v>11</v>
      </c>
      <c r="F4456" s="4">
        <v>83</v>
      </c>
      <c r="G4456" s="4"/>
      <c r="H4456" s="4">
        <f t="shared" si="450"/>
        <v>83</v>
      </c>
    </row>
    <row r="4457" ht="14.25" spans="1:8">
      <c r="A4457" s="3" t="str">
        <f>"21202314803"</f>
        <v>21202314803</v>
      </c>
      <c r="B4457" s="3">
        <v>3</v>
      </c>
      <c r="C4457" s="3">
        <v>148</v>
      </c>
      <c r="D4457" s="3">
        <v>3</v>
      </c>
      <c r="E4457" s="3" t="s">
        <v>11</v>
      </c>
      <c r="F4457" s="3">
        <v>0</v>
      </c>
      <c r="G4457" s="4"/>
      <c r="H4457" s="3">
        <v>0</v>
      </c>
    </row>
    <row r="4458" ht="14.25" spans="1:8">
      <c r="A4458" s="3" t="str">
        <f>"21202314804"</f>
        <v>21202314804</v>
      </c>
      <c r="B4458" s="3">
        <v>3</v>
      </c>
      <c r="C4458" s="3">
        <v>148</v>
      </c>
      <c r="D4458" s="3">
        <v>4</v>
      </c>
      <c r="E4458" s="3" t="s">
        <v>11</v>
      </c>
      <c r="F4458" s="4">
        <v>68</v>
      </c>
      <c r="G4458" s="4"/>
      <c r="H4458" s="4">
        <f t="shared" ref="H4458:H4476" si="451">F4458+G4458</f>
        <v>68</v>
      </c>
    </row>
    <row r="4459" ht="14.25" spans="1:8">
      <c r="A4459" s="3" t="str">
        <f>"21202314805"</f>
        <v>21202314805</v>
      </c>
      <c r="B4459" s="3">
        <v>3</v>
      </c>
      <c r="C4459" s="3">
        <v>148</v>
      </c>
      <c r="D4459" s="3">
        <v>5</v>
      </c>
      <c r="E4459" s="3" t="s">
        <v>11</v>
      </c>
      <c r="F4459" s="3">
        <v>0</v>
      </c>
      <c r="G4459" s="4"/>
      <c r="H4459" s="3">
        <v>0</v>
      </c>
    </row>
    <row r="4460" ht="14.25" spans="1:8">
      <c r="A4460" s="3" t="str">
        <f>"21202314806"</f>
        <v>21202314806</v>
      </c>
      <c r="B4460" s="3">
        <v>3</v>
      </c>
      <c r="C4460" s="3">
        <v>148</v>
      </c>
      <c r="D4460" s="3">
        <v>6</v>
      </c>
      <c r="E4460" s="3" t="s">
        <v>11</v>
      </c>
      <c r="F4460" s="4">
        <v>60.5</v>
      </c>
      <c r="G4460" s="4"/>
      <c r="H4460" s="4">
        <f t="shared" si="451"/>
        <v>60.5</v>
      </c>
    </row>
    <row r="4461" ht="14.25" spans="1:8">
      <c r="A4461" s="3" t="str">
        <f>"21202314807"</f>
        <v>21202314807</v>
      </c>
      <c r="B4461" s="3">
        <v>3</v>
      </c>
      <c r="C4461" s="3">
        <v>148</v>
      </c>
      <c r="D4461" s="3">
        <v>7</v>
      </c>
      <c r="E4461" s="3" t="s">
        <v>11</v>
      </c>
      <c r="F4461" s="3">
        <v>0</v>
      </c>
      <c r="G4461" s="4"/>
      <c r="H4461" s="3">
        <v>0</v>
      </c>
    </row>
    <row r="4462" ht="14.25" spans="1:8">
      <c r="A4462" s="3" t="str">
        <f>"21202314808"</f>
        <v>21202314808</v>
      </c>
      <c r="B4462" s="3">
        <v>3</v>
      </c>
      <c r="C4462" s="3">
        <v>148</v>
      </c>
      <c r="D4462" s="3">
        <v>8</v>
      </c>
      <c r="E4462" s="3" t="s">
        <v>11</v>
      </c>
      <c r="F4462" s="3">
        <v>0</v>
      </c>
      <c r="G4462" s="4"/>
      <c r="H4462" s="3">
        <v>0</v>
      </c>
    </row>
    <row r="4463" ht="14.25" spans="1:8">
      <c r="A4463" s="3" t="str">
        <f>"21202314809"</f>
        <v>21202314809</v>
      </c>
      <c r="B4463" s="3">
        <v>3</v>
      </c>
      <c r="C4463" s="3">
        <v>148</v>
      </c>
      <c r="D4463" s="3">
        <v>9</v>
      </c>
      <c r="E4463" s="3" t="s">
        <v>11</v>
      </c>
      <c r="F4463" s="4">
        <v>78</v>
      </c>
      <c r="G4463" s="4"/>
      <c r="H4463" s="4">
        <f t="shared" si="451"/>
        <v>78</v>
      </c>
    </row>
    <row r="4464" ht="14.25" spans="1:8">
      <c r="A4464" s="3" t="str">
        <f>"21202314810"</f>
        <v>21202314810</v>
      </c>
      <c r="B4464" s="3">
        <v>3</v>
      </c>
      <c r="C4464" s="3">
        <v>148</v>
      </c>
      <c r="D4464" s="3">
        <v>10</v>
      </c>
      <c r="E4464" s="3" t="s">
        <v>11</v>
      </c>
      <c r="F4464" s="4">
        <v>65.5</v>
      </c>
      <c r="G4464" s="4"/>
      <c r="H4464" s="4">
        <f t="shared" si="451"/>
        <v>65.5</v>
      </c>
    </row>
    <row r="4465" ht="14.25" spans="1:8">
      <c r="A4465" s="3" t="str">
        <f>"21202314811"</f>
        <v>21202314811</v>
      </c>
      <c r="B4465" s="3">
        <v>3</v>
      </c>
      <c r="C4465" s="3">
        <v>148</v>
      </c>
      <c r="D4465" s="3">
        <v>11</v>
      </c>
      <c r="E4465" s="3" t="s">
        <v>11</v>
      </c>
      <c r="F4465" s="4">
        <v>66</v>
      </c>
      <c r="G4465" s="4"/>
      <c r="H4465" s="4">
        <f t="shared" si="451"/>
        <v>66</v>
      </c>
    </row>
    <row r="4466" ht="14.25" spans="1:8">
      <c r="A4466" s="3" t="str">
        <f>"21202314812"</f>
        <v>21202314812</v>
      </c>
      <c r="B4466" s="3">
        <v>3</v>
      </c>
      <c r="C4466" s="3">
        <v>148</v>
      </c>
      <c r="D4466" s="3">
        <v>12</v>
      </c>
      <c r="E4466" s="3" t="s">
        <v>11</v>
      </c>
      <c r="F4466" s="4">
        <v>86</v>
      </c>
      <c r="G4466" s="4"/>
      <c r="H4466" s="4">
        <f t="shared" si="451"/>
        <v>86</v>
      </c>
    </row>
    <row r="4467" ht="14.25" spans="1:8">
      <c r="A4467" s="3" t="str">
        <f>"21202314813"</f>
        <v>21202314813</v>
      </c>
      <c r="B4467" s="3">
        <v>3</v>
      </c>
      <c r="C4467" s="3">
        <v>148</v>
      </c>
      <c r="D4467" s="3">
        <v>13</v>
      </c>
      <c r="E4467" s="3" t="s">
        <v>11</v>
      </c>
      <c r="F4467" s="4">
        <v>73.5</v>
      </c>
      <c r="G4467" s="4"/>
      <c r="H4467" s="4">
        <f t="shared" si="451"/>
        <v>73.5</v>
      </c>
    </row>
    <row r="4468" ht="14.25" spans="1:8">
      <c r="A4468" s="3" t="str">
        <f>"21202314814"</f>
        <v>21202314814</v>
      </c>
      <c r="B4468" s="3">
        <v>3</v>
      </c>
      <c r="C4468" s="3">
        <v>148</v>
      </c>
      <c r="D4468" s="3">
        <v>14</v>
      </c>
      <c r="E4468" s="3" t="s">
        <v>11</v>
      </c>
      <c r="F4468" s="4">
        <v>91</v>
      </c>
      <c r="G4468" s="4"/>
      <c r="H4468" s="4">
        <f t="shared" si="451"/>
        <v>91</v>
      </c>
    </row>
    <row r="4469" ht="14.25" spans="1:8">
      <c r="A4469" s="3" t="str">
        <f>"21202314815"</f>
        <v>21202314815</v>
      </c>
      <c r="B4469" s="3">
        <v>3</v>
      </c>
      <c r="C4469" s="3">
        <v>148</v>
      </c>
      <c r="D4469" s="3">
        <v>15</v>
      </c>
      <c r="E4469" s="3" t="s">
        <v>11</v>
      </c>
      <c r="F4469" s="4">
        <v>50</v>
      </c>
      <c r="G4469" s="4"/>
      <c r="H4469" s="4">
        <f t="shared" si="451"/>
        <v>50</v>
      </c>
    </row>
    <row r="4470" ht="14.25" spans="1:8">
      <c r="A4470" s="3" t="str">
        <f>"21202314816"</f>
        <v>21202314816</v>
      </c>
      <c r="B4470" s="3">
        <v>3</v>
      </c>
      <c r="C4470" s="3">
        <v>148</v>
      </c>
      <c r="D4470" s="3">
        <v>16</v>
      </c>
      <c r="E4470" s="3" t="s">
        <v>11</v>
      </c>
      <c r="F4470" s="4">
        <v>65.5</v>
      </c>
      <c r="G4470" s="4"/>
      <c r="H4470" s="4">
        <f t="shared" si="451"/>
        <v>65.5</v>
      </c>
    </row>
    <row r="4471" ht="14.25" spans="1:8">
      <c r="A4471" s="3" t="str">
        <f>"21203314817"</f>
        <v>21203314817</v>
      </c>
      <c r="B4471" s="3">
        <v>3</v>
      </c>
      <c r="C4471" s="3">
        <v>148</v>
      </c>
      <c r="D4471" s="3">
        <v>17</v>
      </c>
      <c r="E4471" s="3" t="s">
        <v>11</v>
      </c>
      <c r="F4471" s="4">
        <v>68</v>
      </c>
      <c r="G4471" s="4"/>
      <c r="H4471" s="4">
        <f t="shared" si="451"/>
        <v>68</v>
      </c>
    </row>
    <row r="4472" ht="14.25" spans="1:8">
      <c r="A4472" s="3" t="str">
        <f>"21203314818"</f>
        <v>21203314818</v>
      </c>
      <c r="B4472" s="3">
        <v>3</v>
      </c>
      <c r="C4472" s="3">
        <v>148</v>
      </c>
      <c r="D4472" s="3">
        <v>18</v>
      </c>
      <c r="E4472" s="3" t="s">
        <v>11</v>
      </c>
      <c r="F4472" s="4">
        <v>80.5</v>
      </c>
      <c r="G4472" s="4"/>
      <c r="H4472" s="4">
        <f t="shared" si="451"/>
        <v>80.5</v>
      </c>
    </row>
    <row r="4473" ht="14.25" spans="1:8">
      <c r="A4473" s="3" t="str">
        <f>"21203314819"</f>
        <v>21203314819</v>
      </c>
      <c r="B4473" s="3">
        <v>3</v>
      </c>
      <c r="C4473" s="3">
        <v>148</v>
      </c>
      <c r="D4473" s="3">
        <v>19</v>
      </c>
      <c r="E4473" s="3" t="s">
        <v>11</v>
      </c>
      <c r="F4473" s="4">
        <v>55.5</v>
      </c>
      <c r="G4473" s="4"/>
      <c r="H4473" s="4">
        <f t="shared" si="451"/>
        <v>55.5</v>
      </c>
    </row>
    <row r="4474" ht="14.25" spans="1:8">
      <c r="A4474" s="3" t="str">
        <f>"21203314820"</f>
        <v>21203314820</v>
      </c>
      <c r="B4474" s="3">
        <v>3</v>
      </c>
      <c r="C4474" s="3">
        <v>148</v>
      </c>
      <c r="D4474" s="3">
        <v>20</v>
      </c>
      <c r="E4474" s="3" t="s">
        <v>11</v>
      </c>
      <c r="F4474" s="4">
        <v>83</v>
      </c>
      <c r="G4474" s="4"/>
      <c r="H4474" s="4">
        <f t="shared" si="451"/>
        <v>83</v>
      </c>
    </row>
    <row r="4475" ht="14.25" spans="1:8">
      <c r="A4475" s="3" t="str">
        <f>"21203314821"</f>
        <v>21203314821</v>
      </c>
      <c r="B4475" s="3">
        <v>3</v>
      </c>
      <c r="C4475" s="3">
        <v>148</v>
      </c>
      <c r="D4475" s="3">
        <v>21</v>
      </c>
      <c r="E4475" s="3" t="s">
        <v>11</v>
      </c>
      <c r="F4475" s="4">
        <v>86</v>
      </c>
      <c r="G4475" s="4"/>
      <c r="H4475" s="4">
        <f t="shared" si="451"/>
        <v>86</v>
      </c>
    </row>
    <row r="4476" ht="14.25" spans="1:8">
      <c r="A4476" s="3" t="str">
        <f>"21203314822"</f>
        <v>21203314822</v>
      </c>
      <c r="B4476" s="3">
        <v>3</v>
      </c>
      <c r="C4476" s="3">
        <v>148</v>
      </c>
      <c r="D4476" s="3">
        <v>22</v>
      </c>
      <c r="E4476" s="3" t="s">
        <v>11</v>
      </c>
      <c r="F4476" s="4">
        <v>65.5</v>
      </c>
      <c r="G4476" s="4"/>
      <c r="H4476" s="4">
        <f t="shared" si="451"/>
        <v>65.5</v>
      </c>
    </row>
    <row r="4477" ht="14.25" spans="1:8">
      <c r="A4477" s="3" t="str">
        <f>"21203314823"</f>
        <v>21203314823</v>
      </c>
      <c r="B4477" s="3">
        <v>3</v>
      </c>
      <c r="C4477" s="3">
        <v>148</v>
      </c>
      <c r="D4477" s="3">
        <v>23</v>
      </c>
      <c r="E4477" s="3" t="s">
        <v>11</v>
      </c>
      <c r="F4477" s="3">
        <v>0</v>
      </c>
      <c r="G4477" s="4"/>
      <c r="H4477" s="3">
        <v>0</v>
      </c>
    </row>
    <row r="4478" ht="14.25" spans="1:8">
      <c r="A4478" s="3" t="str">
        <f>"21203314824"</f>
        <v>21203314824</v>
      </c>
      <c r="B4478" s="3">
        <v>3</v>
      </c>
      <c r="C4478" s="3">
        <v>148</v>
      </c>
      <c r="D4478" s="3">
        <v>24</v>
      </c>
      <c r="E4478" s="3" t="s">
        <v>11</v>
      </c>
      <c r="F4478" s="4">
        <v>81</v>
      </c>
      <c r="G4478" s="4"/>
      <c r="H4478" s="4">
        <f t="shared" ref="H4478:H4483" si="452">F4478+G4478</f>
        <v>81</v>
      </c>
    </row>
    <row r="4479" ht="14.25" spans="1:8">
      <c r="A4479" s="3" t="str">
        <f>"21203314825"</f>
        <v>21203314825</v>
      </c>
      <c r="B4479" s="3">
        <v>3</v>
      </c>
      <c r="C4479" s="3">
        <v>148</v>
      </c>
      <c r="D4479" s="3">
        <v>25</v>
      </c>
      <c r="E4479" s="3" t="s">
        <v>11</v>
      </c>
      <c r="F4479" s="3">
        <v>0</v>
      </c>
      <c r="G4479" s="4"/>
      <c r="H4479" s="3">
        <v>0</v>
      </c>
    </row>
    <row r="4480" ht="14.25" spans="1:8">
      <c r="A4480" s="3" t="str">
        <f>"21203314826"</f>
        <v>21203314826</v>
      </c>
      <c r="B4480" s="3">
        <v>3</v>
      </c>
      <c r="C4480" s="3">
        <v>148</v>
      </c>
      <c r="D4480" s="3">
        <v>26</v>
      </c>
      <c r="E4480" s="3" t="s">
        <v>11</v>
      </c>
      <c r="F4480" s="4">
        <v>85.5</v>
      </c>
      <c r="G4480" s="4"/>
      <c r="H4480" s="4">
        <f t="shared" si="452"/>
        <v>85.5</v>
      </c>
    </row>
    <row r="4481" ht="14.25" spans="1:8">
      <c r="A4481" s="3" t="str">
        <f>"21203314827"</f>
        <v>21203314827</v>
      </c>
      <c r="B4481" s="3">
        <v>3</v>
      </c>
      <c r="C4481" s="3">
        <v>148</v>
      </c>
      <c r="D4481" s="3">
        <v>27</v>
      </c>
      <c r="E4481" s="3" t="s">
        <v>11</v>
      </c>
      <c r="F4481" s="4">
        <v>80</v>
      </c>
      <c r="G4481" s="4"/>
      <c r="H4481" s="4">
        <f t="shared" si="452"/>
        <v>80</v>
      </c>
    </row>
    <row r="4482" ht="14.25" spans="1:8">
      <c r="A4482" s="3" t="str">
        <f>"21203314828"</f>
        <v>21203314828</v>
      </c>
      <c r="B4482" s="3">
        <v>3</v>
      </c>
      <c r="C4482" s="3">
        <v>148</v>
      </c>
      <c r="D4482" s="3">
        <v>28</v>
      </c>
      <c r="E4482" s="3" t="s">
        <v>11</v>
      </c>
      <c r="F4482" s="4">
        <v>80</v>
      </c>
      <c r="G4482" s="4"/>
      <c r="H4482" s="4">
        <f t="shared" si="452"/>
        <v>80</v>
      </c>
    </row>
    <row r="4483" ht="14.25" spans="1:8">
      <c r="A4483" s="3" t="str">
        <f>"21203314829"</f>
        <v>21203314829</v>
      </c>
      <c r="B4483" s="3">
        <v>3</v>
      </c>
      <c r="C4483" s="3">
        <v>148</v>
      </c>
      <c r="D4483" s="3">
        <v>29</v>
      </c>
      <c r="E4483" s="3" t="s">
        <v>11</v>
      </c>
      <c r="F4483" s="4">
        <v>80.5</v>
      </c>
      <c r="G4483" s="4"/>
      <c r="H4483" s="4">
        <f t="shared" si="452"/>
        <v>80.5</v>
      </c>
    </row>
    <row r="4484" ht="14.25" spans="1:8">
      <c r="A4484" s="3" t="str">
        <f>"21203314830"</f>
        <v>21203314830</v>
      </c>
      <c r="B4484" s="3">
        <v>3</v>
      </c>
      <c r="C4484" s="3">
        <v>148</v>
      </c>
      <c r="D4484" s="3">
        <v>30</v>
      </c>
      <c r="E4484" s="3" t="s">
        <v>11</v>
      </c>
      <c r="F4484" s="3">
        <v>0</v>
      </c>
      <c r="G4484" s="4"/>
      <c r="H4484" s="3">
        <v>0</v>
      </c>
    </row>
    <row r="4485" ht="14.25" spans="1:8">
      <c r="A4485" s="3" t="str">
        <f>"21203314901"</f>
        <v>21203314901</v>
      </c>
      <c r="B4485" s="3">
        <v>3</v>
      </c>
      <c r="C4485" s="3">
        <v>149</v>
      </c>
      <c r="D4485" s="3">
        <v>1</v>
      </c>
      <c r="E4485" s="3" t="s">
        <v>11</v>
      </c>
      <c r="F4485" s="4">
        <v>57.5</v>
      </c>
      <c r="G4485" s="4"/>
      <c r="H4485" s="4">
        <f t="shared" ref="H4485:H4488" si="453">F4485+G4485</f>
        <v>57.5</v>
      </c>
    </row>
    <row r="4486" ht="14.25" spans="1:8">
      <c r="A4486" s="3" t="str">
        <f>"21203314902"</f>
        <v>21203314902</v>
      </c>
      <c r="B4486" s="3">
        <v>3</v>
      </c>
      <c r="C4486" s="3">
        <v>149</v>
      </c>
      <c r="D4486" s="3">
        <v>2</v>
      </c>
      <c r="E4486" s="3" t="s">
        <v>11</v>
      </c>
      <c r="F4486" s="4">
        <v>71</v>
      </c>
      <c r="G4486" s="4"/>
      <c r="H4486" s="4">
        <f t="shared" si="453"/>
        <v>71</v>
      </c>
    </row>
    <row r="4487" ht="14.25" spans="1:8">
      <c r="A4487" s="3" t="str">
        <f>"21203314903"</f>
        <v>21203314903</v>
      </c>
      <c r="B4487" s="3">
        <v>3</v>
      </c>
      <c r="C4487" s="3">
        <v>149</v>
      </c>
      <c r="D4487" s="3">
        <v>3</v>
      </c>
      <c r="E4487" s="3" t="s">
        <v>11</v>
      </c>
      <c r="F4487" s="4">
        <v>85.5</v>
      </c>
      <c r="G4487" s="4"/>
      <c r="H4487" s="4">
        <f t="shared" si="453"/>
        <v>85.5</v>
      </c>
    </row>
    <row r="4488" ht="14.25" spans="1:8">
      <c r="A4488" s="3" t="str">
        <f>"21301314904"</f>
        <v>21301314904</v>
      </c>
      <c r="B4488" s="3">
        <v>3</v>
      </c>
      <c r="C4488" s="3">
        <v>149</v>
      </c>
      <c r="D4488" s="3">
        <v>4</v>
      </c>
      <c r="E4488" s="3" t="s">
        <v>11</v>
      </c>
      <c r="F4488" s="4">
        <v>63</v>
      </c>
      <c r="G4488" s="4"/>
      <c r="H4488" s="4">
        <f t="shared" si="453"/>
        <v>63</v>
      </c>
    </row>
    <row r="4489" ht="14.25" spans="1:8">
      <c r="A4489" s="3" t="str">
        <f>"21301314905"</f>
        <v>21301314905</v>
      </c>
      <c r="B4489" s="3">
        <v>3</v>
      </c>
      <c r="C4489" s="3">
        <v>149</v>
      </c>
      <c r="D4489" s="3">
        <v>5</v>
      </c>
      <c r="E4489" s="3" t="s">
        <v>11</v>
      </c>
      <c r="F4489" s="3">
        <v>0</v>
      </c>
      <c r="G4489" s="4"/>
      <c r="H4489" s="3">
        <v>0</v>
      </c>
    </row>
    <row r="4490" ht="14.25" spans="1:8">
      <c r="A4490" s="3" t="str">
        <f>"21301314906"</f>
        <v>21301314906</v>
      </c>
      <c r="B4490" s="3">
        <v>3</v>
      </c>
      <c r="C4490" s="3">
        <v>149</v>
      </c>
      <c r="D4490" s="3">
        <v>6</v>
      </c>
      <c r="E4490" s="3" t="s">
        <v>11</v>
      </c>
      <c r="F4490" s="3">
        <v>0</v>
      </c>
      <c r="G4490" s="4"/>
      <c r="H4490" s="3">
        <v>0</v>
      </c>
    </row>
    <row r="4491" ht="14.25" spans="1:8">
      <c r="A4491" s="3" t="str">
        <f>"21301314907"</f>
        <v>21301314907</v>
      </c>
      <c r="B4491" s="3">
        <v>3</v>
      </c>
      <c r="C4491" s="3">
        <v>149</v>
      </c>
      <c r="D4491" s="3">
        <v>7</v>
      </c>
      <c r="E4491" s="3" t="s">
        <v>11</v>
      </c>
      <c r="F4491" s="4">
        <v>59</v>
      </c>
      <c r="G4491" s="4"/>
      <c r="H4491" s="4">
        <f t="shared" ref="H4491:H4497" si="454">F4491+G4491</f>
        <v>59</v>
      </c>
    </row>
    <row r="4492" ht="14.25" spans="1:8">
      <c r="A4492" s="3" t="str">
        <f>"21301314908"</f>
        <v>21301314908</v>
      </c>
      <c r="B4492" s="3">
        <v>3</v>
      </c>
      <c r="C4492" s="3">
        <v>149</v>
      </c>
      <c r="D4492" s="3">
        <v>8</v>
      </c>
      <c r="E4492" s="3" t="s">
        <v>11</v>
      </c>
      <c r="F4492" s="3">
        <v>0</v>
      </c>
      <c r="G4492" s="4"/>
      <c r="H4492" s="3">
        <v>0</v>
      </c>
    </row>
    <row r="4493" ht="14.25" spans="1:8">
      <c r="A4493" s="3" t="str">
        <f>"21301314909"</f>
        <v>21301314909</v>
      </c>
      <c r="B4493" s="3">
        <v>3</v>
      </c>
      <c r="C4493" s="3">
        <v>149</v>
      </c>
      <c r="D4493" s="3">
        <v>9</v>
      </c>
      <c r="E4493" s="3" t="s">
        <v>11</v>
      </c>
      <c r="F4493" s="4">
        <v>72</v>
      </c>
      <c r="G4493" s="4"/>
      <c r="H4493" s="4">
        <f t="shared" si="454"/>
        <v>72</v>
      </c>
    </row>
    <row r="4494" ht="14.25" spans="1:8">
      <c r="A4494" s="3" t="str">
        <f>"21301314910"</f>
        <v>21301314910</v>
      </c>
      <c r="B4494" s="3">
        <v>3</v>
      </c>
      <c r="C4494" s="3">
        <v>149</v>
      </c>
      <c r="D4494" s="3">
        <v>10</v>
      </c>
      <c r="E4494" s="3" t="s">
        <v>11</v>
      </c>
      <c r="F4494" s="4">
        <v>84.5</v>
      </c>
      <c r="G4494" s="4"/>
      <c r="H4494" s="4">
        <f t="shared" si="454"/>
        <v>84.5</v>
      </c>
    </row>
    <row r="4495" ht="14.25" spans="1:8">
      <c r="A4495" s="3" t="str">
        <f>"21301314911"</f>
        <v>21301314911</v>
      </c>
      <c r="B4495" s="3">
        <v>3</v>
      </c>
      <c r="C4495" s="3">
        <v>149</v>
      </c>
      <c r="D4495" s="3">
        <v>11</v>
      </c>
      <c r="E4495" s="3" t="s">
        <v>11</v>
      </c>
      <c r="F4495" s="4">
        <v>82</v>
      </c>
      <c r="G4495" s="4"/>
      <c r="H4495" s="4">
        <f t="shared" si="454"/>
        <v>82</v>
      </c>
    </row>
    <row r="4496" ht="14.25" spans="1:8">
      <c r="A4496" s="3" t="str">
        <f>"21301314912"</f>
        <v>21301314912</v>
      </c>
      <c r="B4496" s="3">
        <v>3</v>
      </c>
      <c r="C4496" s="3">
        <v>149</v>
      </c>
      <c r="D4496" s="3">
        <v>12</v>
      </c>
      <c r="E4496" s="3" t="s">
        <v>11</v>
      </c>
      <c r="F4496" s="4">
        <v>66</v>
      </c>
      <c r="G4496" s="4"/>
      <c r="H4496" s="4">
        <f t="shared" si="454"/>
        <v>66</v>
      </c>
    </row>
    <row r="4497" ht="14.25" spans="1:8">
      <c r="A4497" s="3" t="str">
        <f>"21301314913"</f>
        <v>21301314913</v>
      </c>
      <c r="B4497" s="3">
        <v>3</v>
      </c>
      <c r="C4497" s="3">
        <v>149</v>
      </c>
      <c r="D4497" s="3">
        <v>13</v>
      </c>
      <c r="E4497" s="3" t="s">
        <v>11</v>
      </c>
      <c r="F4497" s="4">
        <v>74.5</v>
      </c>
      <c r="G4497" s="4"/>
      <c r="H4497" s="4">
        <f t="shared" si="454"/>
        <v>74.5</v>
      </c>
    </row>
    <row r="4498" ht="14.25" spans="1:8">
      <c r="A4498" s="3" t="str">
        <f>"21301314914"</f>
        <v>21301314914</v>
      </c>
      <c r="B4498" s="3">
        <v>3</v>
      </c>
      <c r="C4498" s="3">
        <v>149</v>
      </c>
      <c r="D4498" s="3">
        <v>14</v>
      </c>
      <c r="E4498" s="3" t="s">
        <v>11</v>
      </c>
      <c r="F4498" s="3">
        <v>0</v>
      </c>
      <c r="G4498" s="4"/>
      <c r="H4498" s="3">
        <v>0</v>
      </c>
    </row>
    <row r="4499" ht="14.25" spans="1:8">
      <c r="A4499" s="3" t="str">
        <f>"21301314915"</f>
        <v>21301314915</v>
      </c>
      <c r="B4499" s="3">
        <v>3</v>
      </c>
      <c r="C4499" s="3">
        <v>149</v>
      </c>
      <c r="D4499" s="3">
        <v>15</v>
      </c>
      <c r="E4499" s="3" t="s">
        <v>11</v>
      </c>
      <c r="F4499" s="3">
        <v>0</v>
      </c>
      <c r="G4499" s="4"/>
      <c r="H4499" s="3">
        <v>0</v>
      </c>
    </row>
    <row r="4500" ht="14.25" spans="1:8">
      <c r="A4500" s="3" t="str">
        <f>"21301314916"</f>
        <v>21301314916</v>
      </c>
      <c r="B4500" s="3">
        <v>3</v>
      </c>
      <c r="C4500" s="3">
        <v>149</v>
      </c>
      <c r="D4500" s="3">
        <v>16</v>
      </c>
      <c r="E4500" s="3" t="s">
        <v>11</v>
      </c>
      <c r="F4500" s="4">
        <v>72</v>
      </c>
      <c r="G4500" s="4"/>
      <c r="H4500" s="4">
        <f t="shared" ref="H4500:H4502" si="455">F4500+G4500</f>
        <v>72</v>
      </c>
    </row>
    <row r="4501" ht="14.25" spans="1:8">
      <c r="A4501" s="3" t="str">
        <f>"21301314917"</f>
        <v>21301314917</v>
      </c>
      <c r="B4501" s="3">
        <v>3</v>
      </c>
      <c r="C4501" s="3">
        <v>149</v>
      </c>
      <c r="D4501" s="3">
        <v>17</v>
      </c>
      <c r="E4501" s="3" t="s">
        <v>11</v>
      </c>
      <c r="F4501" s="4">
        <v>82.5</v>
      </c>
      <c r="G4501" s="4"/>
      <c r="H4501" s="4">
        <f t="shared" si="455"/>
        <v>82.5</v>
      </c>
    </row>
    <row r="4502" ht="14.25" spans="1:8">
      <c r="A4502" s="3" t="str">
        <f>"21301314918"</f>
        <v>21301314918</v>
      </c>
      <c r="B4502" s="3">
        <v>3</v>
      </c>
      <c r="C4502" s="3">
        <v>149</v>
      </c>
      <c r="D4502" s="3">
        <v>18</v>
      </c>
      <c r="E4502" s="3" t="s">
        <v>11</v>
      </c>
      <c r="F4502" s="4">
        <v>87.5</v>
      </c>
      <c r="G4502" s="4"/>
      <c r="H4502" s="4">
        <f t="shared" si="455"/>
        <v>87.5</v>
      </c>
    </row>
    <row r="4503" ht="14.25" spans="1:8">
      <c r="A4503" s="3" t="str">
        <f>"21301314919"</f>
        <v>21301314919</v>
      </c>
      <c r="B4503" s="3">
        <v>3</v>
      </c>
      <c r="C4503" s="3">
        <v>149</v>
      </c>
      <c r="D4503" s="3">
        <v>19</v>
      </c>
      <c r="E4503" s="3" t="s">
        <v>11</v>
      </c>
      <c r="F4503" s="3">
        <v>0</v>
      </c>
      <c r="G4503" s="4"/>
      <c r="H4503" s="3">
        <v>0</v>
      </c>
    </row>
    <row r="4504" ht="14.25" spans="1:8">
      <c r="A4504" s="3" t="str">
        <f>"21301314920"</f>
        <v>21301314920</v>
      </c>
      <c r="B4504" s="3">
        <v>3</v>
      </c>
      <c r="C4504" s="3">
        <v>149</v>
      </c>
      <c r="D4504" s="3">
        <v>20</v>
      </c>
      <c r="E4504" s="3" t="s">
        <v>11</v>
      </c>
      <c r="F4504" s="4">
        <v>79.5</v>
      </c>
      <c r="G4504" s="4"/>
      <c r="H4504" s="4">
        <f t="shared" ref="H4504:H4510" si="456">F4504+G4504</f>
        <v>79.5</v>
      </c>
    </row>
    <row r="4505" ht="14.25" spans="1:8">
      <c r="A4505" s="3" t="str">
        <f>"21301314921"</f>
        <v>21301314921</v>
      </c>
      <c r="B4505" s="3">
        <v>3</v>
      </c>
      <c r="C4505" s="3">
        <v>149</v>
      </c>
      <c r="D4505" s="3">
        <v>21</v>
      </c>
      <c r="E4505" s="3" t="s">
        <v>11</v>
      </c>
      <c r="F4505" s="4">
        <v>79</v>
      </c>
      <c r="G4505" s="4"/>
      <c r="H4505" s="4">
        <f t="shared" si="456"/>
        <v>79</v>
      </c>
    </row>
    <row r="4506" ht="14.25" spans="1:8">
      <c r="A4506" s="3" t="str">
        <f>"21301314922"</f>
        <v>21301314922</v>
      </c>
      <c r="B4506" s="3">
        <v>3</v>
      </c>
      <c r="C4506" s="3">
        <v>149</v>
      </c>
      <c r="D4506" s="3">
        <v>22</v>
      </c>
      <c r="E4506" s="3" t="s">
        <v>11</v>
      </c>
      <c r="F4506" s="4">
        <v>84.5</v>
      </c>
      <c r="G4506" s="4"/>
      <c r="H4506" s="4">
        <f t="shared" si="456"/>
        <v>84.5</v>
      </c>
    </row>
    <row r="4507" ht="14.25" spans="1:8">
      <c r="A4507" s="3" t="str">
        <f>"21301314923"</f>
        <v>21301314923</v>
      </c>
      <c r="B4507" s="3">
        <v>3</v>
      </c>
      <c r="C4507" s="3">
        <v>149</v>
      </c>
      <c r="D4507" s="3">
        <v>23</v>
      </c>
      <c r="E4507" s="3" t="s">
        <v>11</v>
      </c>
      <c r="F4507" s="4">
        <v>80</v>
      </c>
      <c r="G4507" s="4"/>
      <c r="H4507" s="4">
        <f t="shared" si="456"/>
        <v>80</v>
      </c>
    </row>
    <row r="4508" ht="14.25" spans="1:8">
      <c r="A4508" s="3" t="str">
        <f>"21301314924"</f>
        <v>21301314924</v>
      </c>
      <c r="B4508" s="3">
        <v>3</v>
      </c>
      <c r="C4508" s="3">
        <v>149</v>
      </c>
      <c r="D4508" s="3">
        <v>24</v>
      </c>
      <c r="E4508" s="3" t="s">
        <v>11</v>
      </c>
      <c r="F4508" s="4">
        <v>57.5</v>
      </c>
      <c r="G4508" s="4"/>
      <c r="H4508" s="4">
        <f t="shared" si="456"/>
        <v>57.5</v>
      </c>
    </row>
    <row r="4509" ht="14.25" spans="1:8">
      <c r="A4509" s="3" t="str">
        <f>"21301314925"</f>
        <v>21301314925</v>
      </c>
      <c r="B4509" s="3">
        <v>3</v>
      </c>
      <c r="C4509" s="3">
        <v>149</v>
      </c>
      <c r="D4509" s="3">
        <v>25</v>
      </c>
      <c r="E4509" s="3" t="s">
        <v>11</v>
      </c>
      <c r="F4509" s="4">
        <v>65</v>
      </c>
      <c r="G4509" s="4"/>
      <c r="H4509" s="4">
        <f t="shared" si="456"/>
        <v>65</v>
      </c>
    </row>
    <row r="4510" ht="14.25" spans="1:8">
      <c r="A4510" s="3" t="str">
        <f>"21301314926"</f>
        <v>21301314926</v>
      </c>
      <c r="B4510" s="3">
        <v>3</v>
      </c>
      <c r="C4510" s="3">
        <v>149</v>
      </c>
      <c r="D4510" s="3">
        <v>26</v>
      </c>
      <c r="E4510" s="3" t="s">
        <v>11</v>
      </c>
      <c r="F4510" s="4">
        <v>74.5</v>
      </c>
      <c r="G4510" s="4"/>
      <c r="H4510" s="4">
        <f t="shared" si="456"/>
        <v>74.5</v>
      </c>
    </row>
    <row r="4511" ht="14.25" spans="1:8">
      <c r="A4511" s="3" t="str">
        <f>"21301314927"</f>
        <v>21301314927</v>
      </c>
      <c r="B4511" s="3">
        <v>3</v>
      </c>
      <c r="C4511" s="3">
        <v>149</v>
      </c>
      <c r="D4511" s="3">
        <v>27</v>
      </c>
      <c r="E4511" s="3" t="s">
        <v>11</v>
      </c>
      <c r="F4511" s="3">
        <v>0</v>
      </c>
      <c r="G4511" s="4"/>
      <c r="H4511" s="3">
        <v>0</v>
      </c>
    </row>
    <row r="4512" ht="14.25" spans="1:8">
      <c r="A4512" s="3" t="str">
        <f>"21301314928"</f>
        <v>21301314928</v>
      </c>
      <c r="B4512" s="3">
        <v>3</v>
      </c>
      <c r="C4512" s="3">
        <v>149</v>
      </c>
      <c r="D4512" s="3">
        <v>28</v>
      </c>
      <c r="E4512" s="3" t="s">
        <v>11</v>
      </c>
      <c r="F4512" s="3">
        <v>0</v>
      </c>
      <c r="G4512" s="4"/>
      <c r="H4512" s="3">
        <v>0</v>
      </c>
    </row>
    <row r="4513" ht="14.25" spans="1:8">
      <c r="A4513" s="3" t="str">
        <f>"21301314929"</f>
        <v>21301314929</v>
      </c>
      <c r="B4513" s="3">
        <v>3</v>
      </c>
      <c r="C4513" s="3">
        <v>149</v>
      </c>
      <c r="D4513" s="3">
        <v>29</v>
      </c>
      <c r="E4513" s="3" t="s">
        <v>11</v>
      </c>
      <c r="F4513" s="4">
        <v>68</v>
      </c>
      <c r="G4513" s="4"/>
      <c r="H4513" s="4">
        <f t="shared" ref="H4513:H4515" si="457">F4513+G4513</f>
        <v>68</v>
      </c>
    </row>
    <row r="4514" ht="14.25" spans="1:8">
      <c r="A4514" s="3" t="str">
        <f>"21301314930"</f>
        <v>21301314930</v>
      </c>
      <c r="B4514" s="3">
        <v>3</v>
      </c>
      <c r="C4514" s="3">
        <v>149</v>
      </c>
      <c r="D4514" s="3">
        <v>30</v>
      </c>
      <c r="E4514" s="3" t="s">
        <v>11</v>
      </c>
      <c r="F4514" s="4">
        <v>84</v>
      </c>
      <c r="G4514" s="4"/>
      <c r="H4514" s="4">
        <f t="shared" si="457"/>
        <v>84</v>
      </c>
    </row>
    <row r="4515" ht="14.25" spans="1:8">
      <c r="A4515" s="3" t="str">
        <f>"21301315001"</f>
        <v>21301315001</v>
      </c>
      <c r="B4515" s="3">
        <v>3</v>
      </c>
      <c r="C4515" s="3">
        <v>150</v>
      </c>
      <c r="D4515" s="3">
        <v>1</v>
      </c>
      <c r="E4515" s="3" t="s">
        <v>11</v>
      </c>
      <c r="F4515" s="4">
        <v>75</v>
      </c>
      <c r="G4515" s="4"/>
      <c r="H4515" s="4">
        <f t="shared" si="457"/>
        <v>75</v>
      </c>
    </row>
    <row r="4516" ht="14.25" spans="1:8">
      <c r="A4516" s="3" t="str">
        <f>"21301315002"</f>
        <v>21301315002</v>
      </c>
      <c r="B4516" s="3">
        <v>3</v>
      </c>
      <c r="C4516" s="3">
        <v>150</v>
      </c>
      <c r="D4516" s="3">
        <v>2</v>
      </c>
      <c r="E4516" s="3" t="s">
        <v>11</v>
      </c>
      <c r="F4516" s="3">
        <v>0</v>
      </c>
      <c r="G4516" s="4"/>
      <c r="H4516" s="3">
        <v>0</v>
      </c>
    </row>
    <row r="4517" ht="14.25" spans="1:8">
      <c r="A4517" s="3" t="str">
        <f>"21301315003"</f>
        <v>21301315003</v>
      </c>
      <c r="B4517" s="3">
        <v>3</v>
      </c>
      <c r="C4517" s="3">
        <v>150</v>
      </c>
      <c r="D4517" s="3">
        <v>3</v>
      </c>
      <c r="E4517" s="3" t="s">
        <v>11</v>
      </c>
      <c r="F4517" s="4">
        <v>79.5</v>
      </c>
      <c r="G4517" s="4"/>
      <c r="H4517" s="4">
        <f t="shared" ref="H4517:H4522" si="458">F4517+G4517</f>
        <v>79.5</v>
      </c>
    </row>
    <row r="4518" ht="14.25" spans="1:8">
      <c r="A4518" s="3" t="str">
        <f>"21301315004"</f>
        <v>21301315004</v>
      </c>
      <c r="B4518" s="3">
        <v>3</v>
      </c>
      <c r="C4518" s="3">
        <v>150</v>
      </c>
      <c r="D4518" s="3">
        <v>4</v>
      </c>
      <c r="E4518" s="3" t="s">
        <v>11</v>
      </c>
      <c r="F4518" s="3">
        <v>0</v>
      </c>
      <c r="G4518" s="4"/>
      <c r="H4518" s="3">
        <v>0</v>
      </c>
    </row>
    <row r="4519" ht="14.25" spans="1:8">
      <c r="A4519" s="3" t="str">
        <f>"21301315005"</f>
        <v>21301315005</v>
      </c>
      <c r="B4519" s="3">
        <v>3</v>
      </c>
      <c r="C4519" s="3">
        <v>150</v>
      </c>
      <c r="D4519" s="3">
        <v>5</v>
      </c>
      <c r="E4519" s="3" t="s">
        <v>11</v>
      </c>
      <c r="F4519" s="4">
        <v>77</v>
      </c>
      <c r="G4519" s="4"/>
      <c r="H4519" s="4">
        <f t="shared" si="458"/>
        <v>77</v>
      </c>
    </row>
    <row r="4520" ht="14.25" spans="1:8">
      <c r="A4520" s="3" t="str">
        <f>"21301315006"</f>
        <v>21301315006</v>
      </c>
      <c r="B4520" s="3">
        <v>3</v>
      </c>
      <c r="C4520" s="3">
        <v>150</v>
      </c>
      <c r="D4520" s="3">
        <v>6</v>
      </c>
      <c r="E4520" s="3" t="s">
        <v>11</v>
      </c>
      <c r="F4520" s="4">
        <v>72.5</v>
      </c>
      <c r="G4520" s="4"/>
      <c r="H4520" s="4">
        <f t="shared" si="458"/>
        <v>72.5</v>
      </c>
    </row>
    <row r="4521" ht="14.25" spans="1:8">
      <c r="A4521" s="3" t="str">
        <f>"21301315007"</f>
        <v>21301315007</v>
      </c>
      <c r="B4521" s="3">
        <v>3</v>
      </c>
      <c r="C4521" s="3">
        <v>150</v>
      </c>
      <c r="D4521" s="3">
        <v>7</v>
      </c>
      <c r="E4521" s="3" t="s">
        <v>11</v>
      </c>
      <c r="F4521" s="4">
        <v>58.5</v>
      </c>
      <c r="G4521" s="4"/>
      <c r="H4521" s="4">
        <f t="shared" si="458"/>
        <v>58.5</v>
      </c>
    </row>
    <row r="4522" ht="14.25" spans="1:8">
      <c r="A4522" s="3" t="str">
        <f>"21301315008"</f>
        <v>21301315008</v>
      </c>
      <c r="B4522" s="3">
        <v>3</v>
      </c>
      <c r="C4522" s="3">
        <v>150</v>
      </c>
      <c r="D4522" s="3">
        <v>8</v>
      </c>
      <c r="E4522" s="3" t="s">
        <v>11</v>
      </c>
      <c r="F4522" s="4">
        <v>79.5</v>
      </c>
      <c r="G4522" s="4"/>
      <c r="H4522" s="4">
        <f t="shared" si="458"/>
        <v>79.5</v>
      </c>
    </row>
    <row r="4523" ht="14.25" spans="1:8">
      <c r="A4523" s="3" t="str">
        <f>"21301315009"</f>
        <v>21301315009</v>
      </c>
      <c r="B4523" s="3">
        <v>3</v>
      </c>
      <c r="C4523" s="3">
        <v>150</v>
      </c>
      <c r="D4523" s="3">
        <v>9</v>
      </c>
      <c r="E4523" s="3" t="s">
        <v>11</v>
      </c>
      <c r="F4523" s="3">
        <v>0</v>
      </c>
      <c r="G4523" s="4"/>
      <c r="H4523" s="3">
        <v>0</v>
      </c>
    </row>
    <row r="4524" ht="14.25" spans="1:8">
      <c r="A4524" s="3" t="str">
        <f>"21302315010"</f>
        <v>21302315010</v>
      </c>
      <c r="B4524" s="3">
        <v>3</v>
      </c>
      <c r="C4524" s="3">
        <v>150</v>
      </c>
      <c r="D4524" s="3">
        <v>10</v>
      </c>
      <c r="E4524" s="3" t="s">
        <v>11</v>
      </c>
      <c r="F4524" s="4">
        <v>58</v>
      </c>
      <c r="G4524" s="4"/>
      <c r="H4524" s="4">
        <f t="shared" ref="H4524:H4529" si="459">F4524+G4524</f>
        <v>58</v>
      </c>
    </row>
    <row r="4525" ht="14.25" spans="1:8">
      <c r="A4525" s="3" t="str">
        <f>"21302315011"</f>
        <v>21302315011</v>
      </c>
      <c r="B4525" s="3">
        <v>3</v>
      </c>
      <c r="C4525" s="3">
        <v>150</v>
      </c>
      <c r="D4525" s="3">
        <v>11</v>
      </c>
      <c r="E4525" s="3" t="s">
        <v>11</v>
      </c>
      <c r="F4525" s="3">
        <v>0</v>
      </c>
      <c r="G4525" s="4"/>
      <c r="H4525" s="3">
        <v>0</v>
      </c>
    </row>
    <row r="4526" ht="14.25" spans="1:8">
      <c r="A4526" s="3" t="str">
        <f>"21302315012"</f>
        <v>21302315012</v>
      </c>
      <c r="B4526" s="3">
        <v>3</v>
      </c>
      <c r="C4526" s="3">
        <v>150</v>
      </c>
      <c r="D4526" s="3">
        <v>12</v>
      </c>
      <c r="E4526" s="3" t="s">
        <v>11</v>
      </c>
      <c r="F4526" s="3">
        <v>0</v>
      </c>
      <c r="G4526" s="4"/>
      <c r="H4526" s="3">
        <v>0</v>
      </c>
    </row>
    <row r="4527" ht="14.25" spans="1:8">
      <c r="A4527" s="3" t="str">
        <f>"21302315013"</f>
        <v>21302315013</v>
      </c>
      <c r="B4527" s="3">
        <v>3</v>
      </c>
      <c r="C4527" s="3">
        <v>150</v>
      </c>
      <c r="D4527" s="3">
        <v>13</v>
      </c>
      <c r="E4527" s="3" t="s">
        <v>11</v>
      </c>
      <c r="F4527" s="4">
        <v>82</v>
      </c>
      <c r="G4527" s="4"/>
      <c r="H4527" s="4">
        <f t="shared" si="459"/>
        <v>82</v>
      </c>
    </row>
    <row r="4528" ht="14.25" spans="1:8">
      <c r="A4528" s="3" t="str">
        <f>"21303315014"</f>
        <v>21303315014</v>
      </c>
      <c r="B4528" s="3">
        <v>3</v>
      </c>
      <c r="C4528" s="3">
        <v>150</v>
      </c>
      <c r="D4528" s="3">
        <v>14</v>
      </c>
      <c r="E4528" s="3" t="s">
        <v>11</v>
      </c>
      <c r="F4528" s="4">
        <v>80.5</v>
      </c>
      <c r="G4528" s="4"/>
      <c r="H4528" s="4">
        <f t="shared" si="459"/>
        <v>80.5</v>
      </c>
    </row>
    <row r="4529" ht="14.25" spans="1:8">
      <c r="A4529" s="3" t="str">
        <f>"21303315015"</f>
        <v>21303315015</v>
      </c>
      <c r="B4529" s="3">
        <v>3</v>
      </c>
      <c r="C4529" s="3">
        <v>150</v>
      </c>
      <c r="D4529" s="3">
        <v>15</v>
      </c>
      <c r="E4529" s="3" t="s">
        <v>11</v>
      </c>
      <c r="F4529" s="4">
        <v>49.5</v>
      </c>
      <c r="G4529" s="4"/>
      <c r="H4529" s="4">
        <f t="shared" si="459"/>
        <v>49.5</v>
      </c>
    </row>
    <row r="4530" ht="14.25" spans="1:8">
      <c r="A4530" s="3" t="str">
        <f>"21303315016"</f>
        <v>21303315016</v>
      </c>
      <c r="B4530" s="3">
        <v>3</v>
      </c>
      <c r="C4530" s="3">
        <v>150</v>
      </c>
      <c r="D4530" s="3">
        <v>16</v>
      </c>
      <c r="E4530" s="3" t="s">
        <v>11</v>
      </c>
      <c r="F4530" s="3">
        <v>0</v>
      </c>
      <c r="G4530" s="4"/>
      <c r="H4530" s="3">
        <v>0</v>
      </c>
    </row>
    <row r="4531" ht="14.25" spans="1:8">
      <c r="A4531" s="3" t="str">
        <f>"21303315017"</f>
        <v>21303315017</v>
      </c>
      <c r="B4531" s="3">
        <v>3</v>
      </c>
      <c r="C4531" s="3">
        <v>150</v>
      </c>
      <c r="D4531" s="3">
        <v>17</v>
      </c>
      <c r="E4531" s="3" t="s">
        <v>11</v>
      </c>
      <c r="F4531" s="4">
        <v>55.5</v>
      </c>
      <c r="G4531" s="4"/>
      <c r="H4531" s="4">
        <f t="shared" ref="H4531:H4536" si="460">F4531+G4531</f>
        <v>55.5</v>
      </c>
    </row>
    <row r="4532" ht="14.25" spans="1:8">
      <c r="A4532" s="3" t="str">
        <f>"21303315018"</f>
        <v>21303315018</v>
      </c>
      <c r="B4532" s="3">
        <v>3</v>
      </c>
      <c r="C4532" s="3">
        <v>150</v>
      </c>
      <c r="D4532" s="3">
        <v>18</v>
      </c>
      <c r="E4532" s="3" t="s">
        <v>11</v>
      </c>
      <c r="F4532" s="4">
        <v>74.5</v>
      </c>
      <c r="G4532" s="4"/>
      <c r="H4532" s="4">
        <f t="shared" si="460"/>
        <v>74.5</v>
      </c>
    </row>
    <row r="4533" ht="14.25" spans="1:8">
      <c r="A4533" s="3" t="str">
        <f>"21303315019"</f>
        <v>21303315019</v>
      </c>
      <c r="B4533" s="3">
        <v>3</v>
      </c>
      <c r="C4533" s="3">
        <v>150</v>
      </c>
      <c r="D4533" s="3">
        <v>19</v>
      </c>
      <c r="E4533" s="3" t="s">
        <v>11</v>
      </c>
      <c r="F4533" s="3">
        <v>0</v>
      </c>
      <c r="G4533" s="4"/>
      <c r="H4533" s="3">
        <v>0</v>
      </c>
    </row>
    <row r="4534" ht="14.25" spans="1:8">
      <c r="A4534" s="3" t="str">
        <f>"21303315020"</f>
        <v>21303315020</v>
      </c>
      <c r="B4534" s="3">
        <v>3</v>
      </c>
      <c r="C4534" s="3">
        <v>150</v>
      </c>
      <c r="D4534" s="3">
        <v>20</v>
      </c>
      <c r="E4534" s="3" t="s">
        <v>11</v>
      </c>
      <c r="F4534" s="4">
        <v>76</v>
      </c>
      <c r="G4534" s="4"/>
      <c r="H4534" s="4">
        <f t="shared" si="460"/>
        <v>76</v>
      </c>
    </row>
    <row r="4535" ht="14.25" spans="1:8">
      <c r="A4535" s="3" t="str">
        <f>"21303315021"</f>
        <v>21303315021</v>
      </c>
      <c r="B4535" s="3">
        <v>3</v>
      </c>
      <c r="C4535" s="3">
        <v>150</v>
      </c>
      <c r="D4535" s="3">
        <v>21</v>
      </c>
      <c r="E4535" s="3" t="s">
        <v>11</v>
      </c>
      <c r="F4535" s="4">
        <v>74.5</v>
      </c>
      <c r="G4535" s="4"/>
      <c r="H4535" s="4">
        <f t="shared" si="460"/>
        <v>74.5</v>
      </c>
    </row>
    <row r="4536" ht="14.25" spans="1:8">
      <c r="A4536" s="3" t="str">
        <f>"21303315022"</f>
        <v>21303315022</v>
      </c>
      <c r="B4536" s="3">
        <v>3</v>
      </c>
      <c r="C4536" s="3">
        <v>150</v>
      </c>
      <c r="D4536" s="3">
        <v>22</v>
      </c>
      <c r="E4536" s="3" t="s">
        <v>11</v>
      </c>
      <c r="F4536" s="4">
        <v>71.5</v>
      </c>
      <c r="G4536" s="4"/>
      <c r="H4536" s="4">
        <f t="shared" si="460"/>
        <v>71.5</v>
      </c>
    </row>
    <row r="4537" ht="14.25" spans="1:8">
      <c r="A4537" s="3" t="str">
        <f>"21303315023"</f>
        <v>21303315023</v>
      </c>
      <c r="B4537" s="3">
        <v>3</v>
      </c>
      <c r="C4537" s="3">
        <v>150</v>
      </c>
      <c r="D4537" s="3">
        <v>23</v>
      </c>
      <c r="E4537" s="3" t="s">
        <v>11</v>
      </c>
      <c r="F4537" s="3">
        <v>0</v>
      </c>
      <c r="G4537" s="4"/>
      <c r="H4537" s="3">
        <v>0</v>
      </c>
    </row>
    <row r="4538" ht="14.25" spans="1:8">
      <c r="A4538" s="3" t="str">
        <f>"21303315024"</f>
        <v>21303315024</v>
      </c>
      <c r="B4538" s="3">
        <v>3</v>
      </c>
      <c r="C4538" s="3">
        <v>150</v>
      </c>
      <c r="D4538" s="3">
        <v>24</v>
      </c>
      <c r="E4538" s="3" t="s">
        <v>11</v>
      </c>
      <c r="F4538" s="3">
        <v>0</v>
      </c>
      <c r="G4538" s="4"/>
      <c r="H4538" s="3">
        <v>0</v>
      </c>
    </row>
    <row r="4539" ht="14.25" spans="1:8">
      <c r="A4539" s="3" t="str">
        <f>"21303315025"</f>
        <v>21303315025</v>
      </c>
      <c r="B4539" s="3">
        <v>3</v>
      </c>
      <c r="C4539" s="3">
        <v>150</v>
      </c>
      <c r="D4539" s="3">
        <v>25</v>
      </c>
      <c r="E4539" s="3" t="s">
        <v>11</v>
      </c>
      <c r="F4539" s="4">
        <v>73.5</v>
      </c>
      <c r="G4539" s="4"/>
      <c r="H4539" s="4">
        <f t="shared" ref="H4539:H4546" si="461">F4539+G4539</f>
        <v>73.5</v>
      </c>
    </row>
    <row r="4540" ht="14.25" spans="1:8">
      <c r="A4540" s="3" t="str">
        <f>"21304315026"</f>
        <v>21304315026</v>
      </c>
      <c r="B4540" s="3">
        <v>3</v>
      </c>
      <c r="C4540" s="3">
        <v>150</v>
      </c>
      <c r="D4540" s="3">
        <v>26</v>
      </c>
      <c r="E4540" s="3" t="s">
        <v>11</v>
      </c>
      <c r="F4540" s="4">
        <v>83.5</v>
      </c>
      <c r="G4540" s="4"/>
      <c r="H4540" s="4">
        <f t="shared" si="461"/>
        <v>83.5</v>
      </c>
    </row>
    <row r="4541" ht="14.25" spans="1:8">
      <c r="A4541" s="3" t="str">
        <f>"21304315027"</f>
        <v>21304315027</v>
      </c>
      <c r="B4541" s="3">
        <v>3</v>
      </c>
      <c r="C4541" s="3">
        <v>150</v>
      </c>
      <c r="D4541" s="3">
        <v>27</v>
      </c>
      <c r="E4541" s="3" t="s">
        <v>11</v>
      </c>
      <c r="F4541" s="4">
        <v>60</v>
      </c>
      <c r="G4541" s="4"/>
      <c r="H4541" s="4">
        <f t="shared" si="461"/>
        <v>60</v>
      </c>
    </row>
    <row r="4542" ht="14.25" spans="1:8">
      <c r="A4542" s="3" t="str">
        <f>"21304315028"</f>
        <v>21304315028</v>
      </c>
      <c r="B4542" s="3">
        <v>3</v>
      </c>
      <c r="C4542" s="3">
        <v>150</v>
      </c>
      <c r="D4542" s="3">
        <v>28</v>
      </c>
      <c r="E4542" s="3" t="s">
        <v>11</v>
      </c>
      <c r="F4542" s="4">
        <v>88.5</v>
      </c>
      <c r="G4542" s="4"/>
      <c r="H4542" s="4">
        <f t="shared" si="461"/>
        <v>88.5</v>
      </c>
    </row>
    <row r="4543" ht="14.25" spans="1:8">
      <c r="A4543" s="3" t="str">
        <f>"21304315029"</f>
        <v>21304315029</v>
      </c>
      <c r="B4543" s="3">
        <v>3</v>
      </c>
      <c r="C4543" s="3">
        <v>150</v>
      </c>
      <c r="D4543" s="3">
        <v>29</v>
      </c>
      <c r="E4543" s="3" t="s">
        <v>11</v>
      </c>
      <c r="F4543" s="4">
        <v>76.5</v>
      </c>
      <c r="G4543" s="4"/>
      <c r="H4543" s="4">
        <f t="shared" si="461"/>
        <v>76.5</v>
      </c>
    </row>
    <row r="4544" ht="14.25" spans="1:8">
      <c r="A4544" s="3" t="str">
        <f>"21304315030"</f>
        <v>21304315030</v>
      </c>
      <c r="B4544" s="3">
        <v>3</v>
      </c>
      <c r="C4544" s="3">
        <v>150</v>
      </c>
      <c r="D4544" s="3">
        <v>30</v>
      </c>
      <c r="E4544" s="3" t="s">
        <v>11</v>
      </c>
      <c r="F4544" s="4">
        <v>62.5</v>
      </c>
      <c r="G4544" s="4"/>
      <c r="H4544" s="4">
        <f t="shared" si="461"/>
        <v>62.5</v>
      </c>
    </row>
    <row r="4545" ht="14.25" spans="1:8">
      <c r="A4545" s="3" t="str">
        <f>"21304315101"</f>
        <v>21304315101</v>
      </c>
      <c r="B4545" s="3">
        <v>3</v>
      </c>
      <c r="C4545" s="3">
        <v>151</v>
      </c>
      <c r="D4545" s="3">
        <v>1</v>
      </c>
      <c r="E4545" s="3" t="s">
        <v>11</v>
      </c>
      <c r="F4545" s="4">
        <v>63.5</v>
      </c>
      <c r="G4545" s="4"/>
      <c r="H4545" s="4">
        <f t="shared" si="461"/>
        <v>63.5</v>
      </c>
    </row>
    <row r="4546" ht="14.25" spans="1:8">
      <c r="A4546" s="3" t="str">
        <f>"21305315102"</f>
        <v>21305315102</v>
      </c>
      <c r="B4546" s="3">
        <v>3</v>
      </c>
      <c r="C4546" s="3">
        <v>151</v>
      </c>
      <c r="D4546" s="3">
        <v>2</v>
      </c>
      <c r="E4546" s="3" t="s">
        <v>11</v>
      </c>
      <c r="F4546" s="4">
        <v>84.5</v>
      </c>
      <c r="G4546" s="4"/>
      <c r="H4546" s="4">
        <f t="shared" si="461"/>
        <v>84.5</v>
      </c>
    </row>
    <row r="4547" ht="14.25" spans="1:8">
      <c r="A4547" s="3" t="str">
        <f>"21305315103"</f>
        <v>21305315103</v>
      </c>
      <c r="B4547" s="3">
        <v>3</v>
      </c>
      <c r="C4547" s="3">
        <v>151</v>
      </c>
      <c r="D4547" s="3">
        <v>3</v>
      </c>
      <c r="E4547" s="3" t="s">
        <v>11</v>
      </c>
      <c r="F4547" s="3">
        <v>0</v>
      </c>
      <c r="G4547" s="4"/>
      <c r="H4547" s="3">
        <v>0</v>
      </c>
    </row>
    <row r="4548" ht="14.25" spans="1:8">
      <c r="A4548" s="3" t="str">
        <f>"21305315104"</f>
        <v>21305315104</v>
      </c>
      <c r="B4548" s="3">
        <v>3</v>
      </c>
      <c r="C4548" s="3">
        <v>151</v>
      </c>
      <c r="D4548" s="3">
        <v>4</v>
      </c>
      <c r="E4548" s="3" t="s">
        <v>11</v>
      </c>
      <c r="F4548" s="4">
        <v>52</v>
      </c>
      <c r="G4548" s="4"/>
      <c r="H4548" s="4">
        <f t="shared" ref="H4548:H4550" si="462">F4548+G4548</f>
        <v>52</v>
      </c>
    </row>
    <row r="4549" ht="14.25" spans="1:8">
      <c r="A4549" s="3" t="str">
        <f>"21305315105"</f>
        <v>21305315105</v>
      </c>
      <c r="B4549" s="3">
        <v>3</v>
      </c>
      <c r="C4549" s="3">
        <v>151</v>
      </c>
      <c r="D4549" s="3">
        <v>5</v>
      </c>
      <c r="E4549" s="3" t="s">
        <v>11</v>
      </c>
      <c r="F4549" s="4">
        <v>88.5</v>
      </c>
      <c r="G4549" s="4"/>
      <c r="H4549" s="4">
        <f t="shared" si="462"/>
        <v>88.5</v>
      </c>
    </row>
    <row r="4550" ht="14.25" spans="1:8">
      <c r="A4550" s="3" t="str">
        <f>"21305315106"</f>
        <v>21305315106</v>
      </c>
      <c r="B4550" s="3">
        <v>3</v>
      </c>
      <c r="C4550" s="3">
        <v>151</v>
      </c>
      <c r="D4550" s="3">
        <v>6</v>
      </c>
      <c r="E4550" s="3" t="s">
        <v>11</v>
      </c>
      <c r="F4550" s="4">
        <v>82.5</v>
      </c>
      <c r="G4550" s="4"/>
      <c r="H4550" s="4">
        <f t="shared" si="462"/>
        <v>82.5</v>
      </c>
    </row>
    <row r="4551" ht="14.25" spans="1:8">
      <c r="A4551" s="3" t="str">
        <f>"21305315107"</f>
        <v>21305315107</v>
      </c>
      <c r="B4551" s="3">
        <v>3</v>
      </c>
      <c r="C4551" s="3">
        <v>151</v>
      </c>
      <c r="D4551" s="3">
        <v>7</v>
      </c>
      <c r="E4551" s="3" t="s">
        <v>11</v>
      </c>
      <c r="F4551" s="3">
        <v>0</v>
      </c>
      <c r="G4551" s="4"/>
      <c r="H4551" s="3">
        <v>0</v>
      </c>
    </row>
    <row r="4552" ht="14.25" spans="1:8">
      <c r="A4552" s="3" t="str">
        <f>"21305315108"</f>
        <v>21305315108</v>
      </c>
      <c r="B4552" s="3">
        <v>3</v>
      </c>
      <c r="C4552" s="3">
        <v>151</v>
      </c>
      <c r="D4552" s="3">
        <v>8</v>
      </c>
      <c r="E4552" s="3" t="s">
        <v>11</v>
      </c>
      <c r="F4552" s="4">
        <v>69</v>
      </c>
      <c r="G4552" s="4"/>
      <c r="H4552" s="4">
        <f t="shared" ref="H4552:H4555" si="463">F4552+G4552</f>
        <v>69</v>
      </c>
    </row>
    <row r="4553" ht="14.25" spans="1:8">
      <c r="A4553" s="3" t="str">
        <f>"21305315109"</f>
        <v>21305315109</v>
      </c>
      <c r="B4553" s="3">
        <v>3</v>
      </c>
      <c r="C4553" s="3">
        <v>151</v>
      </c>
      <c r="D4553" s="3">
        <v>9</v>
      </c>
      <c r="E4553" s="3" t="s">
        <v>11</v>
      </c>
      <c r="F4553" s="3">
        <v>0</v>
      </c>
      <c r="G4553" s="4"/>
      <c r="H4553" s="3">
        <v>0</v>
      </c>
    </row>
    <row r="4554" ht="14.25" spans="1:8">
      <c r="A4554" s="3" t="str">
        <f>"21305315110"</f>
        <v>21305315110</v>
      </c>
      <c r="B4554" s="3">
        <v>3</v>
      </c>
      <c r="C4554" s="3">
        <v>151</v>
      </c>
      <c r="D4554" s="3">
        <v>10</v>
      </c>
      <c r="E4554" s="3" t="s">
        <v>11</v>
      </c>
      <c r="F4554" s="4">
        <v>82.5</v>
      </c>
      <c r="G4554" s="4"/>
      <c r="H4554" s="4">
        <f t="shared" si="463"/>
        <v>82.5</v>
      </c>
    </row>
    <row r="4555" ht="14.25" spans="1:8">
      <c r="A4555" s="3" t="str">
        <f>"21401315111"</f>
        <v>21401315111</v>
      </c>
      <c r="B4555" s="3">
        <v>3</v>
      </c>
      <c r="C4555" s="3">
        <v>151</v>
      </c>
      <c r="D4555" s="3">
        <v>11</v>
      </c>
      <c r="E4555" s="3" t="s">
        <v>11</v>
      </c>
      <c r="F4555" s="4">
        <v>55</v>
      </c>
      <c r="G4555" s="4"/>
      <c r="H4555" s="4">
        <f t="shared" si="463"/>
        <v>55</v>
      </c>
    </row>
    <row r="4556" ht="14.25" spans="1:8">
      <c r="A4556" s="3" t="str">
        <f>"21401315112"</f>
        <v>21401315112</v>
      </c>
      <c r="B4556" s="3">
        <v>3</v>
      </c>
      <c r="C4556" s="3">
        <v>151</v>
      </c>
      <c r="D4556" s="3">
        <v>12</v>
      </c>
      <c r="E4556" s="3" t="s">
        <v>11</v>
      </c>
      <c r="F4556" s="3">
        <v>0</v>
      </c>
      <c r="G4556" s="4"/>
      <c r="H4556" s="3">
        <v>0</v>
      </c>
    </row>
    <row r="4557" ht="14.25" spans="1:8">
      <c r="A4557" s="3" t="str">
        <f>"21401315113"</f>
        <v>21401315113</v>
      </c>
      <c r="B4557" s="3">
        <v>3</v>
      </c>
      <c r="C4557" s="3">
        <v>151</v>
      </c>
      <c r="D4557" s="3">
        <v>13</v>
      </c>
      <c r="E4557" s="3" t="s">
        <v>11</v>
      </c>
      <c r="F4557" s="4">
        <v>62</v>
      </c>
      <c r="G4557" s="4"/>
      <c r="H4557" s="4">
        <f t="shared" ref="H4557:H4562" si="464">F4557+G4557</f>
        <v>62</v>
      </c>
    </row>
    <row r="4558" ht="14.25" spans="1:8">
      <c r="A4558" s="3" t="str">
        <f>"21401315114"</f>
        <v>21401315114</v>
      </c>
      <c r="B4558" s="3">
        <v>3</v>
      </c>
      <c r="C4558" s="3">
        <v>151</v>
      </c>
      <c r="D4558" s="3">
        <v>14</v>
      </c>
      <c r="E4558" s="3" t="s">
        <v>11</v>
      </c>
      <c r="F4558" s="3">
        <v>0</v>
      </c>
      <c r="G4558" s="4"/>
      <c r="H4558" s="3">
        <v>0</v>
      </c>
    </row>
    <row r="4559" ht="14.25" spans="1:8">
      <c r="A4559" s="3" t="str">
        <f>"21401315115"</f>
        <v>21401315115</v>
      </c>
      <c r="B4559" s="3">
        <v>3</v>
      </c>
      <c r="C4559" s="3">
        <v>151</v>
      </c>
      <c r="D4559" s="3">
        <v>15</v>
      </c>
      <c r="E4559" s="3" t="s">
        <v>11</v>
      </c>
      <c r="F4559" s="4">
        <v>62.5</v>
      </c>
      <c r="G4559" s="4"/>
      <c r="H4559" s="4">
        <f t="shared" si="464"/>
        <v>62.5</v>
      </c>
    </row>
    <row r="4560" ht="14.25" spans="1:8">
      <c r="A4560" s="3" t="str">
        <f>"21401315116"</f>
        <v>21401315116</v>
      </c>
      <c r="B4560" s="3">
        <v>3</v>
      </c>
      <c r="C4560" s="3">
        <v>151</v>
      </c>
      <c r="D4560" s="3">
        <v>16</v>
      </c>
      <c r="E4560" s="3" t="s">
        <v>11</v>
      </c>
      <c r="F4560" s="4">
        <v>86</v>
      </c>
      <c r="G4560" s="4"/>
      <c r="H4560" s="4">
        <f t="shared" si="464"/>
        <v>86</v>
      </c>
    </row>
    <row r="4561" ht="14.25" spans="1:8">
      <c r="A4561" s="3" t="str">
        <f>"21401315117"</f>
        <v>21401315117</v>
      </c>
      <c r="B4561" s="3">
        <v>3</v>
      </c>
      <c r="C4561" s="3">
        <v>151</v>
      </c>
      <c r="D4561" s="3">
        <v>17</v>
      </c>
      <c r="E4561" s="3" t="s">
        <v>11</v>
      </c>
      <c r="F4561" s="4">
        <v>73</v>
      </c>
      <c r="G4561" s="4"/>
      <c r="H4561" s="4">
        <f t="shared" si="464"/>
        <v>73</v>
      </c>
    </row>
    <row r="4562" ht="14.25" spans="1:8">
      <c r="A4562" s="3" t="str">
        <f>"21401315118"</f>
        <v>21401315118</v>
      </c>
      <c r="B4562" s="3">
        <v>3</v>
      </c>
      <c r="C4562" s="3">
        <v>151</v>
      </c>
      <c r="D4562" s="3">
        <v>18</v>
      </c>
      <c r="E4562" s="3" t="s">
        <v>11</v>
      </c>
      <c r="F4562" s="4">
        <v>81.5</v>
      </c>
      <c r="G4562" s="4"/>
      <c r="H4562" s="4">
        <f t="shared" si="464"/>
        <v>81.5</v>
      </c>
    </row>
    <row r="4563" ht="14.25" spans="1:8">
      <c r="A4563" s="3" t="str">
        <f>"21401315119"</f>
        <v>21401315119</v>
      </c>
      <c r="B4563" s="3">
        <v>3</v>
      </c>
      <c r="C4563" s="3">
        <v>151</v>
      </c>
      <c r="D4563" s="3">
        <v>19</v>
      </c>
      <c r="E4563" s="3" t="s">
        <v>11</v>
      </c>
      <c r="F4563" s="3">
        <v>0</v>
      </c>
      <c r="G4563" s="4"/>
      <c r="H4563" s="3">
        <v>0</v>
      </c>
    </row>
    <row r="4564" ht="14.25" spans="1:8">
      <c r="A4564" s="3" t="str">
        <f>"21401315120"</f>
        <v>21401315120</v>
      </c>
      <c r="B4564" s="3">
        <v>3</v>
      </c>
      <c r="C4564" s="3">
        <v>151</v>
      </c>
      <c r="D4564" s="3">
        <v>20</v>
      </c>
      <c r="E4564" s="3" t="s">
        <v>11</v>
      </c>
      <c r="F4564" s="4">
        <v>70.5</v>
      </c>
      <c r="G4564" s="4"/>
      <c r="H4564" s="4">
        <f t="shared" ref="H4564:H4569" si="465">F4564+G4564</f>
        <v>70.5</v>
      </c>
    </row>
    <row r="4565" ht="14.25" spans="1:8">
      <c r="A4565" s="3" t="str">
        <f>"21401315121"</f>
        <v>21401315121</v>
      </c>
      <c r="B4565" s="3">
        <v>3</v>
      </c>
      <c r="C4565" s="3">
        <v>151</v>
      </c>
      <c r="D4565" s="3">
        <v>21</v>
      </c>
      <c r="E4565" s="3" t="s">
        <v>11</v>
      </c>
      <c r="F4565" s="3">
        <v>0</v>
      </c>
      <c r="G4565" s="4"/>
      <c r="H4565" s="3">
        <v>0</v>
      </c>
    </row>
    <row r="4566" ht="14.25" spans="1:8">
      <c r="A4566" s="3" t="str">
        <f>"21401315122"</f>
        <v>21401315122</v>
      </c>
      <c r="B4566" s="3">
        <v>3</v>
      </c>
      <c r="C4566" s="3">
        <v>151</v>
      </c>
      <c r="D4566" s="3">
        <v>22</v>
      </c>
      <c r="E4566" s="3" t="s">
        <v>11</v>
      </c>
      <c r="F4566" s="4">
        <v>76.5</v>
      </c>
      <c r="G4566" s="4"/>
      <c r="H4566" s="4">
        <f t="shared" si="465"/>
        <v>76.5</v>
      </c>
    </row>
    <row r="4567" ht="14.25" spans="1:8">
      <c r="A4567" s="3" t="str">
        <f>"21401315123"</f>
        <v>21401315123</v>
      </c>
      <c r="B4567" s="3">
        <v>3</v>
      </c>
      <c r="C4567" s="3">
        <v>151</v>
      </c>
      <c r="D4567" s="3">
        <v>23</v>
      </c>
      <c r="E4567" s="3" t="s">
        <v>11</v>
      </c>
      <c r="F4567" s="3">
        <v>0</v>
      </c>
      <c r="G4567" s="4"/>
      <c r="H4567" s="3">
        <v>0</v>
      </c>
    </row>
    <row r="4568" ht="14.25" spans="1:8">
      <c r="A4568" s="3" t="str">
        <f>"21401315124"</f>
        <v>21401315124</v>
      </c>
      <c r="B4568" s="3">
        <v>3</v>
      </c>
      <c r="C4568" s="3">
        <v>151</v>
      </c>
      <c r="D4568" s="3">
        <v>24</v>
      </c>
      <c r="E4568" s="3" t="s">
        <v>11</v>
      </c>
      <c r="F4568" s="4">
        <v>73.5</v>
      </c>
      <c r="G4568" s="4"/>
      <c r="H4568" s="4">
        <f t="shared" si="465"/>
        <v>73.5</v>
      </c>
    </row>
    <row r="4569" ht="14.25" spans="1:8">
      <c r="A4569" s="3" t="str">
        <f>"21401315125"</f>
        <v>21401315125</v>
      </c>
      <c r="B4569" s="3">
        <v>3</v>
      </c>
      <c r="C4569" s="3">
        <v>151</v>
      </c>
      <c r="D4569" s="3">
        <v>25</v>
      </c>
      <c r="E4569" s="3" t="s">
        <v>11</v>
      </c>
      <c r="F4569" s="4">
        <v>71</v>
      </c>
      <c r="G4569" s="4"/>
      <c r="H4569" s="4">
        <f t="shared" si="465"/>
        <v>71</v>
      </c>
    </row>
    <row r="4570" ht="14.25" spans="1:8">
      <c r="A4570" s="3" t="str">
        <f>"21401315126"</f>
        <v>21401315126</v>
      </c>
      <c r="B4570" s="3">
        <v>3</v>
      </c>
      <c r="C4570" s="3">
        <v>151</v>
      </c>
      <c r="D4570" s="3">
        <v>26</v>
      </c>
      <c r="E4570" s="3" t="s">
        <v>11</v>
      </c>
      <c r="F4570" s="3">
        <v>0</v>
      </c>
      <c r="G4570" s="4"/>
      <c r="H4570" s="3">
        <v>0</v>
      </c>
    </row>
    <row r="4571" ht="14.25" spans="1:8">
      <c r="A4571" s="3" t="str">
        <f>"21401315127"</f>
        <v>21401315127</v>
      </c>
      <c r="B4571" s="3">
        <v>3</v>
      </c>
      <c r="C4571" s="3">
        <v>151</v>
      </c>
      <c r="D4571" s="3">
        <v>27</v>
      </c>
      <c r="E4571" s="3" t="s">
        <v>11</v>
      </c>
      <c r="F4571" s="4">
        <v>78.5</v>
      </c>
      <c r="G4571" s="4"/>
      <c r="H4571" s="4">
        <f t="shared" ref="H4571:H4574" si="466">F4571+G4571</f>
        <v>78.5</v>
      </c>
    </row>
    <row r="4572" ht="14.25" spans="1:8">
      <c r="A4572" s="3" t="str">
        <f>"21401315128"</f>
        <v>21401315128</v>
      </c>
      <c r="B4572" s="3">
        <v>3</v>
      </c>
      <c r="C4572" s="3">
        <v>151</v>
      </c>
      <c r="D4572" s="3">
        <v>28</v>
      </c>
      <c r="E4572" s="3" t="s">
        <v>11</v>
      </c>
      <c r="F4572" s="3">
        <v>0</v>
      </c>
      <c r="G4572" s="4"/>
      <c r="H4572" s="3">
        <v>0</v>
      </c>
    </row>
    <row r="4573" ht="14.25" spans="1:8">
      <c r="A4573" s="3" t="str">
        <f>"21401315129"</f>
        <v>21401315129</v>
      </c>
      <c r="B4573" s="3">
        <v>3</v>
      </c>
      <c r="C4573" s="3">
        <v>151</v>
      </c>
      <c r="D4573" s="3">
        <v>29</v>
      </c>
      <c r="E4573" s="3" t="s">
        <v>11</v>
      </c>
      <c r="F4573" s="4">
        <v>63.5</v>
      </c>
      <c r="G4573" s="4"/>
      <c r="H4573" s="4">
        <f t="shared" si="466"/>
        <v>63.5</v>
      </c>
    </row>
    <row r="4574" ht="14.25" spans="1:8">
      <c r="A4574" s="3" t="str">
        <f>"21401315130"</f>
        <v>21401315130</v>
      </c>
      <c r="B4574" s="3">
        <v>3</v>
      </c>
      <c r="C4574" s="3">
        <v>151</v>
      </c>
      <c r="D4574" s="3">
        <v>30</v>
      </c>
      <c r="E4574" s="3" t="s">
        <v>11</v>
      </c>
      <c r="F4574" s="4">
        <v>77.5</v>
      </c>
      <c r="G4574" s="4"/>
      <c r="H4574" s="4">
        <f t="shared" si="466"/>
        <v>77.5</v>
      </c>
    </row>
    <row r="4575" ht="14.25" spans="1:8">
      <c r="A4575" s="3" t="str">
        <f>"21401315201"</f>
        <v>21401315201</v>
      </c>
      <c r="B4575" s="3">
        <v>3</v>
      </c>
      <c r="C4575" s="3">
        <v>152</v>
      </c>
      <c r="D4575" s="3">
        <v>1</v>
      </c>
      <c r="E4575" s="3" t="s">
        <v>11</v>
      </c>
      <c r="F4575" s="3">
        <v>0</v>
      </c>
      <c r="G4575" s="4"/>
      <c r="H4575" s="3">
        <v>0</v>
      </c>
    </row>
    <row r="4576" ht="14.25" spans="1:8">
      <c r="A4576" s="3" t="str">
        <f>"21401315202"</f>
        <v>21401315202</v>
      </c>
      <c r="B4576" s="3">
        <v>3</v>
      </c>
      <c r="C4576" s="3">
        <v>152</v>
      </c>
      <c r="D4576" s="3">
        <v>2</v>
      </c>
      <c r="E4576" s="3" t="s">
        <v>11</v>
      </c>
      <c r="F4576" s="4">
        <v>83</v>
      </c>
      <c r="G4576" s="4"/>
      <c r="H4576" s="4">
        <f t="shared" ref="H4576:H4582" si="467">F4576+G4576</f>
        <v>83</v>
      </c>
    </row>
    <row r="4577" ht="14.25" spans="1:8">
      <c r="A4577" s="3" t="str">
        <f>"21401315203"</f>
        <v>21401315203</v>
      </c>
      <c r="B4577" s="3">
        <v>3</v>
      </c>
      <c r="C4577" s="3">
        <v>152</v>
      </c>
      <c r="D4577" s="3">
        <v>3</v>
      </c>
      <c r="E4577" s="3" t="s">
        <v>11</v>
      </c>
      <c r="F4577" s="4">
        <v>80</v>
      </c>
      <c r="G4577" s="4"/>
      <c r="H4577" s="4">
        <f t="shared" si="467"/>
        <v>80</v>
      </c>
    </row>
    <row r="4578" ht="14.25" spans="1:8">
      <c r="A4578" s="3" t="str">
        <f>"21401315204"</f>
        <v>21401315204</v>
      </c>
      <c r="B4578" s="3">
        <v>3</v>
      </c>
      <c r="C4578" s="3">
        <v>152</v>
      </c>
      <c r="D4578" s="3">
        <v>4</v>
      </c>
      <c r="E4578" s="3" t="s">
        <v>11</v>
      </c>
      <c r="F4578" s="3">
        <v>0</v>
      </c>
      <c r="G4578" s="4"/>
      <c r="H4578" s="3">
        <v>0</v>
      </c>
    </row>
    <row r="4579" ht="14.25" spans="1:8">
      <c r="A4579" s="3" t="str">
        <f>"21401315205"</f>
        <v>21401315205</v>
      </c>
      <c r="B4579" s="3">
        <v>3</v>
      </c>
      <c r="C4579" s="3">
        <v>152</v>
      </c>
      <c r="D4579" s="3">
        <v>5</v>
      </c>
      <c r="E4579" s="3" t="s">
        <v>11</v>
      </c>
      <c r="F4579" s="4">
        <v>83.5</v>
      </c>
      <c r="G4579" s="4"/>
      <c r="H4579" s="4">
        <f t="shared" si="467"/>
        <v>83.5</v>
      </c>
    </row>
    <row r="4580" ht="14.25" spans="1:8">
      <c r="A4580" s="3" t="str">
        <f>"21401315206"</f>
        <v>21401315206</v>
      </c>
      <c r="B4580" s="3">
        <v>3</v>
      </c>
      <c r="C4580" s="3">
        <v>152</v>
      </c>
      <c r="D4580" s="3">
        <v>6</v>
      </c>
      <c r="E4580" s="3" t="s">
        <v>11</v>
      </c>
      <c r="F4580" s="4">
        <v>71.5</v>
      </c>
      <c r="G4580" s="4"/>
      <c r="H4580" s="4">
        <f t="shared" si="467"/>
        <v>71.5</v>
      </c>
    </row>
    <row r="4581" ht="14.25" spans="1:8">
      <c r="A4581" s="3" t="str">
        <f>"21401315207"</f>
        <v>21401315207</v>
      </c>
      <c r="B4581" s="3">
        <v>3</v>
      </c>
      <c r="C4581" s="3">
        <v>152</v>
      </c>
      <c r="D4581" s="3">
        <v>7</v>
      </c>
      <c r="E4581" s="3" t="s">
        <v>11</v>
      </c>
      <c r="F4581" s="4">
        <v>77.5</v>
      </c>
      <c r="G4581" s="4"/>
      <c r="H4581" s="4">
        <f t="shared" si="467"/>
        <v>77.5</v>
      </c>
    </row>
    <row r="4582" ht="14.25" spans="1:8">
      <c r="A4582" s="3" t="str">
        <f>"21401315208"</f>
        <v>21401315208</v>
      </c>
      <c r="B4582" s="3">
        <v>3</v>
      </c>
      <c r="C4582" s="3">
        <v>152</v>
      </c>
      <c r="D4582" s="3">
        <v>8</v>
      </c>
      <c r="E4582" s="3" t="s">
        <v>11</v>
      </c>
      <c r="F4582" s="4">
        <v>78.5</v>
      </c>
      <c r="G4582" s="4"/>
      <c r="H4582" s="4">
        <f t="shared" si="467"/>
        <v>78.5</v>
      </c>
    </row>
    <row r="4583" ht="14.25" spans="1:8">
      <c r="A4583" s="3" t="str">
        <f>"21401315209"</f>
        <v>21401315209</v>
      </c>
      <c r="B4583" s="3">
        <v>3</v>
      </c>
      <c r="C4583" s="3">
        <v>152</v>
      </c>
      <c r="D4583" s="3">
        <v>9</v>
      </c>
      <c r="E4583" s="3" t="s">
        <v>11</v>
      </c>
      <c r="F4583" s="3">
        <v>0</v>
      </c>
      <c r="G4583" s="4"/>
      <c r="H4583" s="3">
        <v>0</v>
      </c>
    </row>
    <row r="4584" ht="14.25" spans="1:8">
      <c r="A4584" s="3" t="str">
        <f>"21401315210"</f>
        <v>21401315210</v>
      </c>
      <c r="B4584" s="3">
        <v>3</v>
      </c>
      <c r="C4584" s="3">
        <v>152</v>
      </c>
      <c r="D4584" s="3">
        <v>10</v>
      </c>
      <c r="E4584" s="3" t="s">
        <v>11</v>
      </c>
      <c r="F4584" s="4">
        <v>67.5</v>
      </c>
      <c r="G4584" s="4"/>
      <c r="H4584" s="4">
        <f t="shared" ref="H4584:H4586" si="468">F4584+G4584</f>
        <v>67.5</v>
      </c>
    </row>
    <row r="4585" ht="14.25" spans="1:8">
      <c r="A4585" s="3" t="str">
        <f>"21401315211"</f>
        <v>21401315211</v>
      </c>
      <c r="B4585" s="3">
        <v>3</v>
      </c>
      <c r="C4585" s="3">
        <v>152</v>
      </c>
      <c r="D4585" s="3">
        <v>11</v>
      </c>
      <c r="E4585" s="3" t="s">
        <v>11</v>
      </c>
      <c r="F4585" s="4">
        <v>55</v>
      </c>
      <c r="G4585" s="4"/>
      <c r="H4585" s="4">
        <f t="shared" si="468"/>
        <v>55</v>
      </c>
    </row>
    <row r="4586" ht="14.25" spans="1:8">
      <c r="A4586" s="3" t="str">
        <f>"21401315212"</f>
        <v>21401315212</v>
      </c>
      <c r="B4586" s="3">
        <v>3</v>
      </c>
      <c r="C4586" s="3">
        <v>152</v>
      </c>
      <c r="D4586" s="3">
        <v>12</v>
      </c>
      <c r="E4586" s="3" t="s">
        <v>11</v>
      </c>
      <c r="F4586" s="4">
        <v>86.5</v>
      </c>
      <c r="G4586" s="4"/>
      <c r="H4586" s="4">
        <f t="shared" si="468"/>
        <v>86.5</v>
      </c>
    </row>
    <row r="4587" ht="14.25" spans="1:8">
      <c r="A4587" s="3" t="str">
        <f>"21401315213"</f>
        <v>21401315213</v>
      </c>
      <c r="B4587" s="3">
        <v>3</v>
      </c>
      <c r="C4587" s="3">
        <v>152</v>
      </c>
      <c r="D4587" s="3">
        <v>13</v>
      </c>
      <c r="E4587" s="3" t="s">
        <v>11</v>
      </c>
      <c r="F4587" s="3">
        <v>0</v>
      </c>
      <c r="G4587" s="4"/>
      <c r="H4587" s="3">
        <v>0</v>
      </c>
    </row>
    <row r="4588" ht="14.25" spans="1:8">
      <c r="A4588" s="3" t="str">
        <f>"21401315214"</f>
        <v>21401315214</v>
      </c>
      <c r="B4588" s="3">
        <v>3</v>
      </c>
      <c r="C4588" s="3">
        <v>152</v>
      </c>
      <c r="D4588" s="3">
        <v>14</v>
      </c>
      <c r="E4588" s="3" t="s">
        <v>11</v>
      </c>
      <c r="F4588" s="3">
        <v>0</v>
      </c>
      <c r="G4588" s="4"/>
      <c r="H4588" s="3">
        <v>0</v>
      </c>
    </row>
    <row r="4589" ht="14.25" spans="1:8">
      <c r="A4589" s="3" t="str">
        <f>"21401315215"</f>
        <v>21401315215</v>
      </c>
      <c r="B4589" s="3">
        <v>3</v>
      </c>
      <c r="C4589" s="3">
        <v>152</v>
      </c>
      <c r="D4589" s="3">
        <v>15</v>
      </c>
      <c r="E4589" s="3" t="s">
        <v>11</v>
      </c>
      <c r="F4589" s="4">
        <v>64.5</v>
      </c>
      <c r="G4589" s="4"/>
      <c r="H4589" s="4">
        <f t="shared" ref="H4589:H4594" si="469">F4589+G4589</f>
        <v>64.5</v>
      </c>
    </row>
    <row r="4590" ht="14.25" spans="1:8">
      <c r="A4590" s="3" t="str">
        <f>"21401315216"</f>
        <v>21401315216</v>
      </c>
      <c r="B4590" s="3">
        <v>3</v>
      </c>
      <c r="C4590" s="3">
        <v>152</v>
      </c>
      <c r="D4590" s="3">
        <v>16</v>
      </c>
      <c r="E4590" s="3" t="s">
        <v>11</v>
      </c>
      <c r="F4590" s="4">
        <v>86.5</v>
      </c>
      <c r="G4590" s="4"/>
      <c r="H4590" s="4">
        <f t="shared" si="469"/>
        <v>86.5</v>
      </c>
    </row>
    <row r="4591" ht="14.25" spans="1:8">
      <c r="A4591" s="3" t="str">
        <f>"21401315217"</f>
        <v>21401315217</v>
      </c>
      <c r="B4591" s="3">
        <v>3</v>
      </c>
      <c r="C4591" s="3">
        <v>152</v>
      </c>
      <c r="D4591" s="3">
        <v>17</v>
      </c>
      <c r="E4591" s="3" t="s">
        <v>11</v>
      </c>
      <c r="F4591" s="4">
        <v>55.5</v>
      </c>
      <c r="G4591" s="4"/>
      <c r="H4591" s="4">
        <f t="shared" si="469"/>
        <v>55.5</v>
      </c>
    </row>
    <row r="4592" ht="14.25" spans="1:8">
      <c r="A4592" s="3" t="str">
        <f>"21401315218"</f>
        <v>21401315218</v>
      </c>
      <c r="B4592" s="3">
        <v>3</v>
      </c>
      <c r="C4592" s="3">
        <v>152</v>
      </c>
      <c r="D4592" s="3">
        <v>18</v>
      </c>
      <c r="E4592" s="3" t="s">
        <v>11</v>
      </c>
      <c r="F4592" s="4">
        <v>67.5</v>
      </c>
      <c r="G4592" s="4"/>
      <c r="H4592" s="4">
        <f t="shared" si="469"/>
        <v>67.5</v>
      </c>
    </row>
    <row r="4593" ht="14.25" spans="1:8">
      <c r="A4593" s="3" t="str">
        <f>"21401315219"</f>
        <v>21401315219</v>
      </c>
      <c r="B4593" s="3">
        <v>3</v>
      </c>
      <c r="C4593" s="3">
        <v>152</v>
      </c>
      <c r="D4593" s="3">
        <v>19</v>
      </c>
      <c r="E4593" s="3" t="s">
        <v>11</v>
      </c>
      <c r="F4593" s="4">
        <v>56</v>
      </c>
      <c r="G4593" s="4"/>
      <c r="H4593" s="4">
        <f t="shared" si="469"/>
        <v>56</v>
      </c>
    </row>
    <row r="4594" ht="14.25" spans="1:8">
      <c r="A4594" s="3" t="str">
        <f>"21401315220"</f>
        <v>21401315220</v>
      </c>
      <c r="B4594" s="3">
        <v>3</v>
      </c>
      <c r="C4594" s="3">
        <v>152</v>
      </c>
      <c r="D4594" s="3">
        <v>20</v>
      </c>
      <c r="E4594" s="3" t="s">
        <v>11</v>
      </c>
      <c r="F4594" s="4">
        <v>54.5</v>
      </c>
      <c r="G4594" s="4"/>
      <c r="H4594" s="4">
        <f t="shared" si="469"/>
        <v>54.5</v>
      </c>
    </row>
    <row r="4595" ht="14.25" spans="1:8">
      <c r="A4595" s="3" t="str">
        <f>"21401315221"</f>
        <v>21401315221</v>
      </c>
      <c r="B4595" s="3">
        <v>3</v>
      </c>
      <c r="C4595" s="3">
        <v>152</v>
      </c>
      <c r="D4595" s="3">
        <v>21</v>
      </c>
      <c r="E4595" s="3" t="s">
        <v>11</v>
      </c>
      <c r="F4595" s="3">
        <v>0</v>
      </c>
      <c r="G4595" s="4"/>
      <c r="H4595" s="3">
        <v>0</v>
      </c>
    </row>
    <row r="4596" ht="14.25" spans="1:8">
      <c r="A4596" s="3" t="str">
        <f>"21401315222"</f>
        <v>21401315222</v>
      </c>
      <c r="B4596" s="3">
        <v>3</v>
      </c>
      <c r="C4596" s="3">
        <v>152</v>
      </c>
      <c r="D4596" s="3">
        <v>22</v>
      </c>
      <c r="E4596" s="3" t="s">
        <v>11</v>
      </c>
      <c r="F4596" s="4">
        <v>69</v>
      </c>
      <c r="G4596" s="4"/>
      <c r="H4596" s="4">
        <f t="shared" ref="H4596:H4601" si="470">F4596+G4596</f>
        <v>69</v>
      </c>
    </row>
    <row r="4597" ht="14.25" spans="1:8">
      <c r="A4597" s="3" t="str">
        <f>"21401315223"</f>
        <v>21401315223</v>
      </c>
      <c r="B4597" s="3">
        <v>3</v>
      </c>
      <c r="C4597" s="3">
        <v>152</v>
      </c>
      <c r="D4597" s="3">
        <v>23</v>
      </c>
      <c r="E4597" s="3" t="s">
        <v>11</v>
      </c>
      <c r="F4597" s="3">
        <v>0</v>
      </c>
      <c r="G4597" s="4"/>
      <c r="H4597" s="3">
        <v>0</v>
      </c>
    </row>
    <row r="4598" ht="14.25" spans="1:8">
      <c r="A4598" s="3" t="str">
        <f>"21401315224"</f>
        <v>21401315224</v>
      </c>
      <c r="B4598" s="3">
        <v>3</v>
      </c>
      <c r="C4598" s="3">
        <v>152</v>
      </c>
      <c r="D4598" s="3">
        <v>24</v>
      </c>
      <c r="E4598" s="3" t="s">
        <v>11</v>
      </c>
      <c r="F4598" s="4">
        <v>81</v>
      </c>
      <c r="G4598" s="4"/>
      <c r="H4598" s="4">
        <f t="shared" si="470"/>
        <v>81</v>
      </c>
    </row>
    <row r="4599" ht="14.25" spans="1:8">
      <c r="A4599" s="3" t="str">
        <f>"21401315225"</f>
        <v>21401315225</v>
      </c>
      <c r="B4599" s="3">
        <v>3</v>
      </c>
      <c r="C4599" s="3">
        <v>152</v>
      </c>
      <c r="D4599" s="3">
        <v>25</v>
      </c>
      <c r="E4599" s="3" t="s">
        <v>11</v>
      </c>
      <c r="F4599" s="3">
        <v>0</v>
      </c>
      <c r="G4599" s="4"/>
      <c r="H4599" s="3">
        <v>0</v>
      </c>
    </row>
    <row r="4600" ht="14.25" spans="1:8">
      <c r="A4600" s="3" t="str">
        <f>"21401315226"</f>
        <v>21401315226</v>
      </c>
      <c r="B4600" s="3">
        <v>3</v>
      </c>
      <c r="C4600" s="3">
        <v>152</v>
      </c>
      <c r="D4600" s="3">
        <v>26</v>
      </c>
      <c r="E4600" s="3" t="s">
        <v>11</v>
      </c>
      <c r="F4600" s="4">
        <v>82.5</v>
      </c>
      <c r="G4600" s="4"/>
      <c r="H4600" s="4">
        <f t="shared" si="470"/>
        <v>82.5</v>
      </c>
    </row>
    <row r="4601" ht="14.25" spans="1:8">
      <c r="A4601" s="3" t="str">
        <f>"21402315227"</f>
        <v>21402315227</v>
      </c>
      <c r="B4601" s="3">
        <v>3</v>
      </c>
      <c r="C4601" s="3">
        <v>152</v>
      </c>
      <c r="D4601" s="3">
        <v>27</v>
      </c>
      <c r="E4601" s="3" t="s">
        <v>11</v>
      </c>
      <c r="F4601" s="4">
        <v>64</v>
      </c>
      <c r="G4601" s="4"/>
      <c r="H4601" s="4">
        <f t="shared" si="470"/>
        <v>64</v>
      </c>
    </row>
    <row r="4602" ht="14.25" spans="1:8">
      <c r="A4602" s="3" t="str">
        <f>"21402315228"</f>
        <v>21402315228</v>
      </c>
      <c r="B4602" s="3">
        <v>3</v>
      </c>
      <c r="C4602" s="3">
        <v>152</v>
      </c>
      <c r="D4602" s="3">
        <v>28</v>
      </c>
      <c r="E4602" s="3" t="s">
        <v>11</v>
      </c>
      <c r="F4602" s="3">
        <v>0</v>
      </c>
      <c r="G4602" s="4"/>
      <c r="H4602" s="3">
        <v>0</v>
      </c>
    </row>
    <row r="4603" ht="14.25" spans="1:8">
      <c r="A4603" s="3" t="str">
        <f>"21402315229"</f>
        <v>21402315229</v>
      </c>
      <c r="B4603" s="3">
        <v>3</v>
      </c>
      <c r="C4603" s="3">
        <v>152</v>
      </c>
      <c r="D4603" s="3">
        <v>29</v>
      </c>
      <c r="E4603" s="3" t="s">
        <v>11</v>
      </c>
      <c r="F4603" s="3">
        <v>0</v>
      </c>
      <c r="G4603" s="4"/>
      <c r="H4603" s="3">
        <v>0</v>
      </c>
    </row>
    <row r="4604" ht="14.25" spans="1:8">
      <c r="A4604" s="3" t="str">
        <f>"21402315230"</f>
        <v>21402315230</v>
      </c>
      <c r="B4604" s="3">
        <v>3</v>
      </c>
      <c r="C4604" s="3">
        <v>152</v>
      </c>
      <c r="D4604" s="3">
        <v>30</v>
      </c>
      <c r="E4604" s="3" t="s">
        <v>11</v>
      </c>
      <c r="F4604" s="4">
        <v>82</v>
      </c>
      <c r="G4604" s="4"/>
      <c r="H4604" s="4">
        <f t="shared" ref="H4604:H4612" si="471">F4604+G4604</f>
        <v>82</v>
      </c>
    </row>
    <row r="4605" ht="14.25" spans="1:8">
      <c r="A4605" s="3" t="str">
        <f>"21402315301"</f>
        <v>21402315301</v>
      </c>
      <c r="B4605" s="3">
        <v>3</v>
      </c>
      <c r="C4605" s="3">
        <v>153</v>
      </c>
      <c r="D4605" s="3">
        <v>1</v>
      </c>
      <c r="E4605" s="3" t="s">
        <v>11</v>
      </c>
      <c r="F4605" s="3">
        <v>0</v>
      </c>
      <c r="G4605" s="4"/>
      <c r="H4605" s="3">
        <v>0</v>
      </c>
    </row>
    <row r="4606" ht="14.25" spans="1:8">
      <c r="A4606" s="3" t="str">
        <f>"21402315302"</f>
        <v>21402315302</v>
      </c>
      <c r="B4606" s="3">
        <v>3</v>
      </c>
      <c r="C4606" s="3">
        <v>153</v>
      </c>
      <c r="D4606" s="3">
        <v>2</v>
      </c>
      <c r="E4606" s="3" t="s">
        <v>11</v>
      </c>
      <c r="F4606" s="4">
        <v>61.5</v>
      </c>
      <c r="G4606" s="4"/>
      <c r="H4606" s="4">
        <f t="shared" si="471"/>
        <v>61.5</v>
      </c>
    </row>
    <row r="4607" ht="14.25" spans="1:8">
      <c r="A4607" s="3" t="str">
        <f>"21402315303"</f>
        <v>21402315303</v>
      </c>
      <c r="B4607" s="3">
        <v>3</v>
      </c>
      <c r="C4607" s="3">
        <v>153</v>
      </c>
      <c r="D4607" s="3">
        <v>3</v>
      </c>
      <c r="E4607" s="3" t="s">
        <v>11</v>
      </c>
      <c r="F4607" s="3">
        <v>0</v>
      </c>
      <c r="G4607" s="4"/>
      <c r="H4607" s="3">
        <v>0</v>
      </c>
    </row>
    <row r="4608" ht="14.25" spans="1:8">
      <c r="A4608" s="3" t="str">
        <f>"21402315304"</f>
        <v>21402315304</v>
      </c>
      <c r="B4608" s="3">
        <v>3</v>
      </c>
      <c r="C4608" s="3">
        <v>153</v>
      </c>
      <c r="D4608" s="3">
        <v>4</v>
      </c>
      <c r="E4608" s="3" t="s">
        <v>11</v>
      </c>
      <c r="F4608" s="3">
        <v>0</v>
      </c>
      <c r="G4608" s="4"/>
      <c r="H4608" s="3">
        <v>0</v>
      </c>
    </row>
    <row r="4609" ht="14.25" spans="1:8">
      <c r="A4609" s="3" t="str">
        <f>"21402315305"</f>
        <v>21402315305</v>
      </c>
      <c r="B4609" s="3">
        <v>3</v>
      </c>
      <c r="C4609" s="3">
        <v>153</v>
      </c>
      <c r="D4609" s="3">
        <v>5</v>
      </c>
      <c r="E4609" s="3" t="s">
        <v>11</v>
      </c>
      <c r="F4609" s="4">
        <v>65</v>
      </c>
      <c r="G4609" s="4"/>
      <c r="H4609" s="4">
        <f t="shared" si="471"/>
        <v>65</v>
      </c>
    </row>
    <row r="4610" ht="14.25" spans="1:8">
      <c r="A4610" s="3" t="str">
        <f>"21402315306"</f>
        <v>21402315306</v>
      </c>
      <c r="B4610" s="3">
        <v>3</v>
      </c>
      <c r="C4610" s="3">
        <v>153</v>
      </c>
      <c r="D4610" s="3">
        <v>6</v>
      </c>
      <c r="E4610" s="3" t="s">
        <v>11</v>
      </c>
      <c r="F4610" s="4">
        <v>51</v>
      </c>
      <c r="G4610" s="4"/>
      <c r="H4610" s="4">
        <f t="shared" si="471"/>
        <v>51</v>
      </c>
    </row>
    <row r="4611" ht="14.25" spans="1:8">
      <c r="A4611" s="3" t="str">
        <f>"21402315307"</f>
        <v>21402315307</v>
      </c>
      <c r="B4611" s="3">
        <v>3</v>
      </c>
      <c r="C4611" s="3">
        <v>153</v>
      </c>
      <c r="D4611" s="3">
        <v>7</v>
      </c>
      <c r="E4611" s="3" t="s">
        <v>11</v>
      </c>
      <c r="F4611" s="4">
        <v>61.5</v>
      </c>
      <c r="G4611" s="4"/>
      <c r="H4611" s="4">
        <f t="shared" si="471"/>
        <v>61.5</v>
      </c>
    </row>
    <row r="4612" ht="14.25" spans="1:8">
      <c r="A4612" s="3" t="str">
        <f>"21402315308"</f>
        <v>21402315308</v>
      </c>
      <c r="B4612" s="3">
        <v>3</v>
      </c>
      <c r="C4612" s="3">
        <v>153</v>
      </c>
      <c r="D4612" s="3">
        <v>8</v>
      </c>
      <c r="E4612" s="3" t="s">
        <v>11</v>
      </c>
      <c r="F4612" s="4">
        <v>80.5</v>
      </c>
      <c r="G4612" s="4"/>
      <c r="H4612" s="4">
        <f t="shared" si="471"/>
        <v>80.5</v>
      </c>
    </row>
    <row r="4613" ht="14.25" spans="1:8">
      <c r="A4613" s="3" t="str">
        <f>"21402315309"</f>
        <v>21402315309</v>
      </c>
      <c r="B4613" s="3">
        <v>3</v>
      </c>
      <c r="C4613" s="3">
        <v>153</v>
      </c>
      <c r="D4613" s="3">
        <v>9</v>
      </c>
      <c r="E4613" s="3" t="s">
        <v>11</v>
      </c>
      <c r="F4613" s="3">
        <v>0</v>
      </c>
      <c r="G4613" s="4"/>
      <c r="H4613" s="3">
        <v>0</v>
      </c>
    </row>
    <row r="4614" ht="14.25" spans="1:8">
      <c r="A4614" s="3" t="str">
        <f>"21402315310"</f>
        <v>21402315310</v>
      </c>
      <c r="B4614" s="3">
        <v>3</v>
      </c>
      <c r="C4614" s="3">
        <v>153</v>
      </c>
      <c r="D4614" s="3">
        <v>10</v>
      </c>
      <c r="E4614" s="3" t="s">
        <v>11</v>
      </c>
      <c r="F4614" s="3">
        <v>0</v>
      </c>
      <c r="G4614" s="4"/>
      <c r="H4614" s="3">
        <v>0</v>
      </c>
    </row>
    <row r="4615" ht="14.25" spans="1:8">
      <c r="A4615" s="3" t="str">
        <f>"21402315311"</f>
        <v>21402315311</v>
      </c>
      <c r="B4615" s="3">
        <v>3</v>
      </c>
      <c r="C4615" s="3">
        <v>153</v>
      </c>
      <c r="D4615" s="3">
        <v>11</v>
      </c>
      <c r="E4615" s="3" t="s">
        <v>11</v>
      </c>
      <c r="F4615" s="4">
        <v>83.5</v>
      </c>
      <c r="G4615" s="4"/>
      <c r="H4615" s="4">
        <f>F4615+G4615</f>
        <v>83.5</v>
      </c>
    </row>
    <row r="4616" ht="14.25" spans="1:8">
      <c r="A4616" s="3" t="str">
        <f>"21402315312"</f>
        <v>21402315312</v>
      </c>
      <c r="B4616" s="3">
        <v>3</v>
      </c>
      <c r="C4616" s="3">
        <v>153</v>
      </c>
      <c r="D4616" s="3">
        <v>12</v>
      </c>
      <c r="E4616" s="3" t="s">
        <v>11</v>
      </c>
      <c r="F4616" s="3">
        <v>0</v>
      </c>
      <c r="G4616" s="4"/>
      <c r="H4616" s="3">
        <v>0</v>
      </c>
    </row>
    <row r="4617" ht="14.25" spans="1:8">
      <c r="A4617" s="3" t="str">
        <f>"21402315313"</f>
        <v>21402315313</v>
      </c>
      <c r="B4617" s="3">
        <v>3</v>
      </c>
      <c r="C4617" s="3">
        <v>153</v>
      </c>
      <c r="D4617" s="3">
        <v>13</v>
      </c>
      <c r="E4617" s="3" t="s">
        <v>11</v>
      </c>
      <c r="F4617" s="4">
        <v>62.5</v>
      </c>
      <c r="G4617" s="4"/>
      <c r="H4617" s="4">
        <f>F4617+G4617</f>
        <v>62.5</v>
      </c>
    </row>
    <row r="4618" ht="14.25" spans="1:8">
      <c r="A4618" s="3" t="str">
        <f>"21402315314"</f>
        <v>21402315314</v>
      </c>
      <c r="B4618" s="3">
        <v>3</v>
      </c>
      <c r="C4618" s="3">
        <v>153</v>
      </c>
      <c r="D4618" s="3">
        <v>14</v>
      </c>
      <c r="E4618" s="3" t="s">
        <v>11</v>
      </c>
      <c r="F4618" s="3">
        <v>0</v>
      </c>
      <c r="G4618" s="4"/>
      <c r="H4618" s="3">
        <v>0</v>
      </c>
    </row>
    <row r="4619" ht="14.25" spans="1:8">
      <c r="A4619" s="3" t="str">
        <f>"21403315315"</f>
        <v>21403315315</v>
      </c>
      <c r="B4619" s="3">
        <v>3</v>
      </c>
      <c r="C4619" s="3">
        <v>153</v>
      </c>
      <c r="D4619" s="3">
        <v>15</v>
      </c>
      <c r="E4619" s="3" t="s">
        <v>11</v>
      </c>
      <c r="F4619" s="3">
        <v>0</v>
      </c>
      <c r="G4619" s="4"/>
      <c r="H4619" s="3">
        <v>0</v>
      </c>
    </row>
    <row r="4620" ht="14.25" spans="1:8">
      <c r="A4620" s="3" t="str">
        <f>"21403315316"</f>
        <v>21403315316</v>
      </c>
      <c r="B4620" s="3">
        <v>3</v>
      </c>
      <c r="C4620" s="3">
        <v>153</v>
      </c>
      <c r="D4620" s="3">
        <v>16</v>
      </c>
      <c r="E4620" s="3" t="s">
        <v>11</v>
      </c>
      <c r="F4620" s="3">
        <v>0</v>
      </c>
      <c r="G4620" s="4"/>
      <c r="H4620" s="3">
        <v>0</v>
      </c>
    </row>
    <row r="4621" ht="14.25" spans="1:8">
      <c r="A4621" s="3" t="str">
        <f>"21403315317"</f>
        <v>21403315317</v>
      </c>
      <c r="B4621" s="3">
        <v>3</v>
      </c>
      <c r="C4621" s="3">
        <v>153</v>
      </c>
      <c r="D4621" s="3">
        <v>17</v>
      </c>
      <c r="E4621" s="3" t="s">
        <v>11</v>
      </c>
      <c r="F4621" s="3">
        <v>0</v>
      </c>
      <c r="G4621" s="4"/>
      <c r="H4621" s="3">
        <v>0</v>
      </c>
    </row>
    <row r="4622" ht="14.25" spans="1:8">
      <c r="A4622" s="3" t="str">
        <f>"21403315318"</f>
        <v>21403315318</v>
      </c>
      <c r="B4622" s="3">
        <v>3</v>
      </c>
      <c r="C4622" s="3">
        <v>153</v>
      </c>
      <c r="D4622" s="3">
        <v>18</v>
      </c>
      <c r="E4622" s="3" t="s">
        <v>11</v>
      </c>
      <c r="F4622" s="4">
        <v>62.5</v>
      </c>
      <c r="G4622" s="4"/>
      <c r="H4622" s="4">
        <f t="shared" ref="H4622:H4625" si="472">F4622+G4622</f>
        <v>62.5</v>
      </c>
    </row>
    <row r="4623" ht="14.25" spans="1:8">
      <c r="A4623" s="3" t="str">
        <f>"21403315319"</f>
        <v>21403315319</v>
      </c>
      <c r="B4623" s="3">
        <v>3</v>
      </c>
      <c r="C4623" s="3">
        <v>153</v>
      </c>
      <c r="D4623" s="3">
        <v>19</v>
      </c>
      <c r="E4623" s="3" t="s">
        <v>11</v>
      </c>
      <c r="F4623" s="4">
        <v>74.5</v>
      </c>
      <c r="G4623" s="4"/>
      <c r="H4623" s="4">
        <f t="shared" si="472"/>
        <v>74.5</v>
      </c>
    </row>
    <row r="4624" ht="14.25" spans="1:8">
      <c r="A4624" s="3" t="str">
        <f>"21403315320"</f>
        <v>21403315320</v>
      </c>
      <c r="B4624" s="3">
        <v>3</v>
      </c>
      <c r="C4624" s="3">
        <v>153</v>
      </c>
      <c r="D4624" s="3">
        <v>20</v>
      </c>
      <c r="E4624" s="3" t="s">
        <v>11</v>
      </c>
      <c r="F4624" s="4">
        <v>55.5</v>
      </c>
      <c r="G4624" s="4"/>
      <c r="H4624" s="4">
        <f t="shared" si="472"/>
        <v>55.5</v>
      </c>
    </row>
    <row r="4625" ht="14.25" spans="1:8">
      <c r="A4625" s="3" t="str">
        <f>"21403315321"</f>
        <v>21403315321</v>
      </c>
      <c r="B4625" s="3">
        <v>3</v>
      </c>
      <c r="C4625" s="3">
        <v>153</v>
      </c>
      <c r="D4625" s="3">
        <v>21</v>
      </c>
      <c r="E4625" s="3" t="s">
        <v>11</v>
      </c>
      <c r="F4625" s="4">
        <v>53.5</v>
      </c>
      <c r="G4625" s="4"/>
      <c r="H4625" s="4">
        <f t="shared" si="472"/>
        <v>53.5</v>
      </c>
    </row>
    <row r="4626" ht="14.25" spans="1:8">
      <c r="A4626" s="3" t="str">
        <f>"21403315322"</f>
        <v>21403315322</v>
      </c>
      <c r="B4626" s="3">
        <v>3</v>
      </c>
      <c r="C4626" s="3">
        <v>153</v>
      </c>
      <c r="D4626" s="3">
        <v>22</v>
      </c>
      <c r="E4626" s="3" t="s">
        <v>11</v>
      </c>
      <c r="F4626" s="3">
        <v>0</v>
      </c>
      <c r="G4626" s="4"/>
      <c r="H4626" s="3">
        <v>0</v>
      </c>
    </row>
    <row r="4627" ht="14.25" spans="1:8">
      <c r="A4627" s="3" t="str">
        <f>"21403315323"</f>
        <v>21403315323</v>
      </c>
      <c r="B4627" s="3">
        <v>3</v>
      </c>
      <c r="C4627" s="3">
        <v>153</v>
      </c>
      <c r="D4627" s="3">
        <v>23</v>
      </c>
      <c r="E4627" s="3" t="s">
        <v>11</v>
      </c>
      <c r="F4627" s="4">
        <v>76</v>
      </c>
      <c r="G4627" s="4"/>
      <c r="H4627" s="4">
        <f t="shared" ref="H4627:H4630" si="473">F4627+G4627</f>
        <v>76</v>
      </c>
    </row>
    <row r="4628" ht="14.25" spans="1:8">
      <c r="A4628" s="3" t="str">
        <f>"21403315324"</f>
        <v>21403315324</v>
      </c>
      <c r="B4628" s="3">
        <v>3</v>
      </c>
      <c r="C4628" s="3">
        <v>153</v>
      </c>
      <c r="D4628" s="3">
        <v>24</v>
      </c>
      <c r="E4628" s="3" t="s">
        <v>11</v>
      </c>
      <c r="F4628" s="4">
        <v>53</v>
      </c>
      <c r="G4628" s="4"/>
      <c r="H4628" s="4">
        <f t="shared" si="473"/>
        <v>53</v>
      </c>
    </row>
    <row r="4629" ht="14.25" spans="1:8">
      <c r="A4629" s="3" t="str">
        <f>"21404315325"</f>
        <v>21404315325</v>
      </c>
      <c r="B4629" s="3">
        <v>3</v>
      </c>
      <c r="C4629" s="3">
        <v>153</v>
      </c>
      <c r="D4629" s="3">
        <v>25</v>
      </c>
      <c r="E4629" s="3" t="s">
        <v>11</v>
      </c>
      <c r="F4629" s="4">
        <v>82.5</v>
      </c>
      <c r="G4629" s="4"/>
      <c r="H4629" s="4">
        <f t="shared" si="473"/>
        <v>82.5</v>
      </c>
    </row>
    <row r="4630" ht="14.25" spans="1:8">
      <c r="A4630" s="3" t="str">
        <f>"21404315326"</f>
        <v>21404315326</v>
      </c>
      <c r="B4630" s="3">
        <v>3</v>
      </c>
      <c r="C4630" s="3">
        <v>153</v>
      </c>
      <c r="D4630" s="3">
        <v>26</v>
      </c>
      <c r="E4630" s="3" t="s">
        <v>11</v>
      </c>
      <c r="F4630" s="4">
        <v>51</v>
      </c>
      <c r="G4630" s="4"/>
      <c r="H4630" s="4">
        <f t="shared" si="473"/>
        <v>51</v>
      </c>
    </row>
    <row r="4631" ht="14.25" spans="1:8">
      <c r="A4631" s="3" t="str">
        <f>"21405315327"</f>
        <v>21405315327</v>
      </c>
      <c r="B4631" s="3">
        <v>3</v>
      </c>
      <c r="C4631" s="3">
        <v>153</v>
      </c>
      <c r="D4631" s="3">
        <v>27</v>
      </c>
      <c r="E4631" s="3" t="s">
        <v>11</v>
      </c>
      <c r="F4631" s="3">
        <v>0</v>
      </c>
      <c r="G4631" s="4"/>
      <c r="H4631" s="3">
        <v>0</v>
      </c>
    </row>
    <row r="4632" ht="14.25" spans="1:8">
      <c r="A4632" s="3" t="str">
        <f>"21405315328"</f>
        <v>21405315328</v>
      </c>
      <c r="B4632" s="3">
        <v>3</v>
      </c>
      <c r="C4632" s="3">
        <v>153</v>
      </c>
      <c r="D4632" s="3">
        <v>28</v>
      </c>
      <c r="E4632" s="3" t="s">
        <v>11</v>
      </c>
      <c r="F4632" s="4">
        <v>55.5</v>
      </c>
      <c r="G4632" s="4"/>
      <c r="H4632" s="4">
        <f t="shared" ref="H4632:H4636" si="474">F4632+G4632</f>
        <v>55.5</v>
      </c>
    </row>
    <row r="4633" ht="14.25" spans="1:8">
      <c r="A4633" s="3" t="str">
        <f>"21405315329"</f>
        <v>21405315329</v>
      </c>
      <c r="B4633" s="3">
        <v>3</v>
      </c>
      <c r="C4633" s="3">
        <v>153</v>
      </c>
      <c r="D4633" s="3">
        <v>29</v>
      </c>
      <c r="E4633" s="3" t="s">
        <v>11</v>
      </c>
      <c r="F4633" s="3">
        <v>0</v>
      </c>
      <c r="G4633" s="4"/>
      <c r="H4633" s="3">
        <v>0</v>
      </c>
    </row>
    <row r="4634" ht="14.25" spans="1:8">
      <c r="A4634" s="3" t="str">
        <f>"21405315330"</f>
        <v>21405315330</v>
      </c>
      <c r="B4634" s="3">
        <v>3</v>
      </c>
      <c r="C4634" s="3">
        <v>153</v>
      </c>
      <c r="D4634" s="3">
        <v>30</v>
      </c>
      <c r="E4634" s="3" t="s">
        <v>11</v>
      </c>
      <c r="F4634" s="4">
        <v>44.5</v>
      </c>
      <c r="G4634" s="4"/>
      <c r="H4634" s="4">
        <f t="shared" si="474"/>
        <v>44.5</v>
      </c>
    </row>
    <row r="4635" ht="14.25" spans="1:8">
      <c r="A4635" s="3" t="str">
        <f>"21405315401"</f>
        <v>21405315401</v>
      </c>
      <c r="B4635" s="3">
        <v>3</v>
      </c>
      <c r="C4635" s="3">
        <v>154</v>
      </c>
      <c r="D4635" s="3">
        <v>1</v>
      </c>
      <c r="E4635" s="3" t="s">
        <v>11</v>
      </c>
      <c r="F4635" s="4">
        <v>59</v>
      </c>
      <c r="G4635" s="4"/>
      <c r="H4635" s="4">
        <f t="shared" si="474"/>
        <v>59</v>
      </c>
    </row>
    <row r="4636" ht="14.25" spans="1:8">
      <c r="A4636" s="3" t="str">
        <f>"21405315402"</f>
        <v>21405315402</v>
      </c>
      <c r="B4636" s="3">
        <v>3</v>
      </c>
      <c r="C4636" s="3">
        <v>154</v>
      </c>
      <c r="D4636" s="3">
        <v>2</v>
      </c>
      <c r="E4636" s="3" t="s">
        <v>11</v>
      </c>
      <c r="F4636" s="4">
        <v>61</v>
      </c>
      <c r="G4636" s="4"/>
      <c r="H4636" s="4">
        <f t="shared" si="474"/>
        <v>61</v>
      </c>
    </row>
    <row r="4637" ht="14.25" spans="1:8">
      <c r="A4637" s="3" t="str">
        <f>"21501315403"</f>
        <v>21501315403</v>
      </c>
      <c r="B4637" s="3">
        <v>3</v>
      </c>
      <c r="C4637" s="3">
        <v>154</v>
      </c>
      <c r="D4637" s="3">
        <v>3</v>
      </c>
      <c r="E4637" s="3" t="s">
        <v>11</v>
      </c>
      <c r="F4637" s="3">
        <v>0</v>
      </c>
      <c r="G4637" s="4"/>
      <c r="H4637" s="3">
        <v>0</v>
      </c>
    </row>
    <row r="4638" ht="14.25" spans="1:8">
      <c r="A4638" s="3" t="str">
        <f>"21501315404"</f>
        <v>21501315404</v>
      </c>
      <c r="B4638" s="3">
        <v>3</v>
      </c>
      <c r="C4638" s="3">
        <v>154</v>
      </c>
      <c r="D4638" s="3">
        <v>4</v>
      </c>
      <c r="E4638" s="3" t="s">
        <v>11</v>
      </c>
      <c r="F4638" s="3">
        <v>0</v>
      </c>
      <c r="G4638" s="4"/>
      <c r="H4638" s="3">
        <v>0</v>
      </c>
    </row>
    <row r="4639" ht="14.25" spans="1:8">
      <c r="A4639" s="3" t="str">
        <f>"21501315405"</f>
        <v>21501315405</v>
      </c>
      <c r="B4639" s="3">
        <v>3</v>
      </c>
      <c r="C4639" s="3">
        <v>154</v>
      </c>
      <c r="D4639" s="3">
        <v>5</v>
      </c>
      <c r="E4639" s="3" t="s">
        <v>11</v>
      </c>
      <c r="F4639" s="4">
        <v>80</v>
      </c>
      <c r="G4639" s="4"/>
      <c r="H4639" s="4">
        <f>F4639+G4639</f>
        <v>80</v>
      </c>
    </row>
    <row r="4640" ht="14.25" spans="1:8">
      <c r="A4640" s="3" t="str">
        <f>"21501315406"</f>
        <v>21501315406</v>
      </c>
      <c r="B4640" s="3">
        <v>3</v>
      </c>
      <c r="C4640" s="3">
        <v>154</v>
      </c>
      <c r="D4640" s="3">
        <v>6</v>
      </c>
      <c r="E4640" s="3" t="s">
        <v>11</v>
      </c>
      <c r="F4640" s="4">
        <v>59.5</v>
      </c>
      <c r="G4640" s="4"/>
      <c r="H4640" s="4">
        <f>F4640+G4640</f>
        <v>59.5</v>
      </c>
    </row>
    <row r="4641" ht="14.25" spans="1:8">
      <c r="A4641" s="3" t="str">
        <f>"21501315407"</f>
        <v>21501315407</v>
      </c>
      <c r="B4641" s="3">
        <v>3</v>
      </c>
      <c r="C4641" s="3">
        <v>154</v>
      </c>
      <c r="D4641" s="3">
        <v>7</v>
      </c>
      <c r="E4641" s="3" t="s">
        <v>11</v>
      </c>
      <c r="F4641" s="3">
        <v>0</v>
      </c>
      <c r="G4641" s="4"/>
      <c r="H4641" s="3">
        <v>0</v>
      </c>
    </row>
    <row r="4642" ht="14.25" spans="1:8">
      <c r="A4642" s="3" t="str">
        <f>"21501315408"</f>
        <v>21501315408</v>
      </c>
      <c r="B4642" s="3">
        <v>3</v>
      </c>
      <c r="C4642" s="3">
        <v>154</v>
      </c>
      <c r="D4642" s="3">
        <v>8</v>
      </c>
      <c r="E4642" s="3" t="s">
        <v>11</v>
      </c>
      <c r="F4642" s="3">
        <v>0</v>
      </c>
      <c r="G4642" s="4"/>
      <c r="H4642" s="3">
        <v>0</v>
      </c>
    </row>
    <row r="4643" ht="14.25" spans="1:8">
      <c r="A4643" s="3" t="str">
        <f>"21501315409"</f>
        <v>21501315409</v>
      </c>
      <c r="B4643" s="3">
        <v>3</v>
      </c>
      <c r="C4643" s="3">
        <v>154</v>
      </c>
      <c r="D4643" s="3">
        <v>9</v>
      </c>
      <c r="E4643" s="3" t="s">
        <v>11</v>
      </c>
      <c r="F4643" s="3">
        <v>0</v>
      </c>
      <c r="G4643" s="4"/>
      <c r="H4643" s="3">
        <v>0</v>
      </c>
    </row>
    <row r="4644" ht="14.25" spans="1:8">
      <c r="A4644" s="3" t="str">
        <f>"21501315410"</f>
        <v>21501315410</v>
      </c>
      <c r="B4644" s="3">
        <v>3</v>
      </c>
      <c r="C4644" s="3">
        <v>154</v>
      </c>
      <c r="D4644" s="3">
        <v>10</v>
      </c>
      <c r="E4644" s="3" t="s">
        <v>11</v>
      </c>
      <c r="F4644" s="3">
        <v>0</v>
      </c>
      <c r="G4644" s="4"/>
      <c r="H4644" s="3">
        <v>0</v>
      </c>
    </row>
    <row r="4645" ht="14.25" spans="1:8">
      <c r="A4645" s="3" t="str">
        <f>"21501315411"</f>
        <v>21501315411</v>
      </c>
      <c r="B4645" s="3">
        <v>3</v>
      </c>
      <c r="C4645" s="3">
        <v>154</v>
      </c>
      <c r="D4645" s="3">
        <v>11</v>
      </c>
      <c r="E4645" s="3" t="s">
        <v>11</v>
      </c>
      <c r="F4645" s="4">
        <v>55.5</v>
      </c>
      <c r="G4645" s="4"/>
      <c r="H4645" s="4">
        <f t="shared" ref="H4645:H4648" si="475">F4645+G4645</f>
        <v>55.5</v>
      </c>
    </row>
    <row r="4646" ht="14.25" spans="1:8">
      <c r="A4646" s="3" t="str">
        <f>"21501315412"</f>
        <v>21501315412</v>
      </c>
      <c r="B4646" s="3">
        <v>3</v>
      </c>
      <c r="C4646" s="3">
        <v>154</v>
      </c>
      <c r="D4646" s="3">
        <v>12</v>
      </c>
      <c r="E4646" s="3" t="s">
        <v>11</v>
      </c>
      <c r="F4646" s="4">
        <v>74</v>
      </c>
      <c r="G4646" s="4"/>
      <c r="H4646" s="4">
        <f t="shared" si="475"/>
        <v>74</v>
      </c>
    </row>
    <row r="4647" ht="14.25" spans="1:8">
      <c r="A4647" s="3" t="str">
        <f>"21501315413"</f>
        <v>21501315413</v>
      </c>
      <c r="B4647" s="3">
        <v>3</v>
      </c>
      <c r="C4647" s="3">
        <v>154</v>
      </c>
      <c r="D4647" s="3">
        <v>13</v>
      </c>
      <c r="E4647" s="3" t="s">
        <v>11</v>
      </c>
      <c r="F4647" s="3">
        <v>0</v>
      </c>
      <c r="G4647" s="4"/>
      <c r="H4647" s="3">
        <v>0</v>
      </c>
    </row>
    <row r="4648" ht="14.25" spans="1:8">
      <c r="A4648" s="3" t="str">
        <f>"21501315414"</f>
        <v>21501315414</v>
      </c>
      <c r="B4648" s="3">
        <v>3</v>
      </c>
      <c r="C4648" s="3">
        <v>154</v>
      </c>
      <c r="D4648" s="3">
        <v>14</v>
      </c>
      <c r="E4648" s="3" t="s">
        <v>11</v>
      </c>
      <c r="F4648" s="4">
        <v>74</v>
      </c>
      <c r="G4648" s="4"/>
      <c r="H4648" s="4">
        <f t="shared" si="475"/>
        <v>74</v>
      </c>
    </row>
    <row r="4649" ht="14.25" spans="1:8">
      <c r="A4649" s="3" t="str">
        <f>"21501315415"</f>
        <v>21501315415</v>
      </c>
      <c r="B4649" s="3">
        <v>3</v>
      </c>
      <c r="C4649" s="3">
        <v>154</v>
      </c>
      <c r="D4649" s="3">
        <v>15</v>
      </c>
      <c r="E4649" s="3" t="s">
        <v>11</v>
      </c>
      <c r="F4649" s="3">
        <v>0</v>
      </c>
      <c r="G4649" s="4"/>
      <c r="H4649" s="3">
        <v>0</v>
      </c>
    </row>
    <row r="4650" ht="14.25" spans="1:8">
      <c r="A4650" s="3" t="str">
        <f>"21502315416"</f>
        <v>21502315416</v>
      </c>
      <c r="B4650" s="3">
        <v>3</v>
      </c>
      <c r="C4650" s="3">
        <v>154</v>
      </c>
      <c r="D4650" s="3">
        <v>16</v>
      </c>
      <c r="E4650" s="3" t="s">
        <v>11</v>
      </c>
      <c r="F4650" s="3">
        <v>0</v>
      </c>
      <c r="G4650" s="4"/>
      <c r="H4650" s="3">
        <v>0</v>
      </c>
    </row>
    <row r="4651" ht="14.25" spans="1:8">
      <c r="A4651" s="3" t="str">
        <f>"21502315417"</f>
        <v>21502315417</v>
      </c>
      <c r="B4651" s="3">
        <v>3</v>
      </c>
      <c r="C4651" s="3">
        <v>154</v>
      </c>
      <c r="D4651" s="3">
        <v>17</v>
      </c>
      <c r="E4651" s="3" t="s">
        <v>11</v>
      </c>
      <c r="F4651" s="4">
        <v>69.5</v>
      </c>
      <c r="G4651" s="4"/>
      <c r="H4651" s="4">
        <f t="shared" ref="H4651:H4655" si="476">F4651+G4651</f>
        <v>69.5</v>
      </c>
    </row>
    <row r="4652" ht="14.25" spans="1:8">
      <c r="A4652" s="3" t="str">
        <f>"21502315418"</f>
        <v>21502315418</v>
      </c>
      <c r="B4652" s="3">
        <v>3</v>
      </c>
      <c r="C4652" s="3">
        <v>154</v>
      </c>
      <c r="D4652" s="3">
        <v>18</v>
      </c>
      <c r="E4652" s="3" t="s">
        <v>11</v>
      </c>
      <c r="F4652" s="3">
        <v>0</v>
      </c>
      <c r="G4652" s="4"/>
      <c r="H4652" s="3">
        <v>0</v>
      </c>
    </row>
    <row r="4653" ht="14.25" spans="1:8">
      <c r="A4653" s="3" t="str">
        <f>"21502315419"</f>
        <v>21502315419</v>
      </c>
      <c r="B4653" s="3">
        <v>3</v>
      </c>
      <c r="C4653" s="3">
        <v>154</v>
      </c>
      <c r="D4653" s="3">
        <v>19</v>
      </c>
      <c r="E4653" s="3" t="s">
        <v>11</v>
      </c>
      <c r="F4653" s="4">
        <v>54</v>
      </c>
      <c r="G4653" s="4"/>
      <c r="H4653" s="4">
        <f t="shared" si="476"/>
        <v>54</v>
      </c>
    </row>
    <row r="4654" ht="14.25" spans="1:8">
      <c r="A4654" s="3" t="str">
        <f>"21502315420"</f>
        <v>21502315420</v>
      </c>
      <c r="B4654" s="3">
        <v>3</v>
      </c>
      <c r="C4654" s="3">
        <v>154</v>
      </c>
      <c r="D4654" s="3">
        <v>20</v>
      </c>
      <c r="E4654" s="3" t="s">
        <v>11</v>
      </c>
      <c r="F4654" s="4">
        <v>64.5</v>
      </c>
      <c r="G4654" s="4"/>
      <c r="H4654" s="4">
        <f t="shared" si="476"/>
        <v>64.5</v>
      </c>
    </row>
    <row r="4655" ht="14.25" spans="1:8">
      <c r="A4655" s="3" t="str">
        <f>"21502315421"</f>
        <v>21502315421</v>
      </c>
      <c r="B4655" s="3">
        <v>3</v>
      </c>
      <c r="C4655" s="3">
        <v>154</v>
      </c>
      <c r="D4655" s="3">
        <v>21</v>
      </c>
      <c r="E4655" s="3" t="s">
        <v>11</v>
      </c>
      <c r="F4655" s="4">
        <v>77</v>
      </c>
      <c r="G4655" s="4"/>
      <c r="H4655" s="4">
        <f t="shared" si="476"/>
        <v>77</v>
      </c>
    </row>
    <row r="4656" ht="14.25" spans="1:8">
      <c r="A4656" s="3" t="str">
        <f>"21601315422"</f>
        <v>21601315422</v>
      </c>
      <c r="B4656" s="3">
        <v>3</v>
      </c>
      <c r="C4656" s="3">
        <v>154</v>
      </c>
      <c r="D4656" s="3">
        <v>22</v>
      </c>
      <c r="E4656" s="3" t="s">
        <v>11</v>
      </c>
      <c r="F4656" s="3">
        <v>0</v>
      </c>
      <c r="G4656" s="4"/>
      <c r="H4656" s="3">
        <v>0</v>
      </c>
    </row>
    <row r="4657" ht="14.25" spans="1:8">
      <c r="A4657" s="3" t="str">
        <f>"21601315423"</f>
        <v>21601315423</v>
      </c>
      <c r="B4657" s="3">
        <v>3</v>
      </c>
      <c r="C4657" s="3">
        <v>154</v>
      </c>
      <c r="D4657" s="3">
        <v>23</v>
      </c>
      <c r="E4657" s="3" t="s">
        <v>11</v>
      </c>
      <c r="F4657" s="3">
        <v>0</v>
      </c>
      <c r="G4657" s="4"/>
      <c r="H4657" s="3">
        <v>0</v>
      </c>
    </row>
    <row r="4658" ht="14.25" spans="1:8">
      <c r="A4658" s="3" t="str">
        <f>"21601315424"</f>
        <v>21601315424</v>
      </c>
      <c r="B4658" s="3">
        <v>3</v>
      </c>
      <c r="C4658" s="3">
        <v>154</v>
      </c>
      <c r="D4658" s="3">
        <v>24</v>
      </c>
      <c r="E4658" s="3" t="s">
        <v>11</v>
      </c>
      <c r="F4658" s="3">
        <v>0</v>
      </c>
      <c r="G4658" s="4"/>
      <c r="H4658" s="3">
        <v>0</v>
      </c>
    </row>
    <row r="4659" ht="14.25" spans="1:8">
      <c r="A4659" s="3" t="str">
        <f>"21601315425"</f>
        <v>21601315425</v>
      </c>
      <c r="B4659" s="3">
        <v>3</v>
      </c>
      <c r="C4659" s="3">
        <v>154</v>
      </c>
      <c r="D4659" s="3">
        <v>25</v>
      </c>
      <c r="E4659" s="3" t="s">
        <v>11</v>
      </c>
      <c r="F4659" s="3">
        <v>0</v>
      </c>
      <c r="G4659" s="4"/>
      <c r="H4659" s="3">
        <v>0</v>
      </c>
    </row>
    <row r="4660" ht="14.25" spans="1:8">
      <c r="A4660" s="3" t="str">
        <f>"21601315426"</f>
        <v>21601315426</v>
      </c>
      <c r="B4660" s="3">
        <v>3</v>
      </c>
      <c r="C4660" s="3">
        <v>154</v>
      </c>
      <c r="D4660" s="3">
        <v>26</v>
      </c>
      <c r="E4660" s="3" t="s">
        <v>11</v>
      </c>
      <c r="F4660" s="3">
        <v>0</v>
      </c>
      <c r="G4660" s="4"/>
      <c r="H4660" s="3">
        <v>0</v>
      </c>
    </row>
    <row r="4661" ht="14.25" spans="1:8">
      <c r="A4661" s="3" t="str">
        <f>"21601315427"</f>
        <v>21601315427</v>
      </c>
      <c r="B4661" s="3">
        <v>3</v>
      </c>
      <c r="C4661" s="3">
        <v>154</v>
      </c>
      <c r="D4661" s="3">
        <v>27</v>
      </c>
      <c r="E4661" s="3" t="s">
        <v>11</v>
      </c>
      <c r="F4661" s="3">
        <v>0</v>
      </c>
      <c r="G4661" s="4"/>
      <c r="H4661" s="3">
        <v>0</v>
      </c>
    </row>
    <row r="4662" ht="14.25" spans="1:8">
      <c r="A4662" s="3" t="str">
        <f>"21601315428"</f>
        <v>21601315428</v>
      </c>
      <c r="B4662" s="3">
        <v>3</v>
      </c>
      <c r="C4662" s="3">
        <v>154</v>
      </c>
      <c r="D4662" s="3">
        <v>28</v>
      </c>
      <c r="E4662" s="3" t="s">
        <v>11</v>
      </c>
      <c r="F4662" s="3">
        <v>0</v>
      </c>
      <c r="G4662" s="4"/>
      <c r="H4662" s="3">
        <v>0</v>
      </c>
    </row>
    <row r="4663" ht="14.25" spans="1:8">
      <c r="A4663" s="3" t="str">
        <f>"21601315429"</f>
        <v>21601315429</v>
      </c>
      <c r="B4663" s="3">
        <v>3</v>
      </c>
      <c r="C4663" s="3">
        <v>154</v>
      </c>
      <c r="D4663" s="3">
        <v>29</v>
      </c>
      <c r="E4663" s="3" t="s">
        <v>11</v>
      </c>
      <c r="F4663" s="3">
        <v>0</v>
      </c>
      <c r="G4663" s="4"/>
      <c r="H4663" s="3">
        <v>0</v>
      </c>
    </row>
    <row r="4664" ht="14.25" spans="1:8">
      <c r="A4664" s="3" t="str">
        <f>"21601315430"</f>
        <v>21601315430</v>
      </c>
      <c r="B4664" s="3">
        <v>3</v>
      </c>
      <c r="C4664" s="3">
        <v>154</v>
      </c>
      <c r="D4664" s="3">
        <v>30</v>
      </c>
      <c r="E4664" s="3" t="s">
        <v>11</v>
      </c>
      <c r="F4664" s="3">
        <v>0</v>
      </c>
      <c r="G4664" s="4"/>
      <c r="H4664" s="3">
        <v>0</v>
      </c>
    </row>
    <row r="4665" ht="14.25" spans="1:8">
      <c r="A4665" s="3" t="str">
        <f>"21601315501"</f>
        <v>21601315501</v>
      </c>
      <c r="B4665" s="3">
        <v>3</v>
      </c>
      <c r="C4665" s="3">
        <v>155</v>
      </c>
      <c r="D4665" s="3">
        <v>1</v>
      </c>
      <c r="E4665" s="3" t="s">
        <v>11</v>
      </c>
      <c r="F4665" s="3">
        <v>0</v>
      </c>
      <c r="G4665" s="4"/>
      <c r="H4665" s="3">
        <v>0</v>
      </c>
    </row>
    <row r="4666" ht="14.25" spans="1:8">
      <c r="A4666" s="3" t="str">
        <f>"21601315502"</f>
        <v>21601315502</v>
      </c>
      <c r="B4666" s="3">
        <v>3</v>
      </c>
      <c r="C4666" s="3">
        <v>155</v>
      </c>
      <c r="D4666" s="3">
        <v>2</v>
      </c>
      <c r="E4666" s="3" t="s">
        <v>11</v>
      </c>
      <c r="F4666" s="3">
        <v>0</v>
      </c>
      <c r="G4666" s="4"/>
      <c r="H4666" s="3">
        <v>0</v>
      </c>
    </row>
    <row r="4667" ht="14.25" spans="1:8">
      <c r="A4667" s="3" t="str">
        <f>"21601315503"</f>
        <v>21601315503</v>
      </c>
      <c r="B4667" s="3">
        <v>3</v>
      </c>
      <c r="C4667" s="3">
        <v>155</v>
      </c>
      <c r="D4667" s="3">
        <v>3</v>
      </c>
      <c r="E4667" s="3" t="s">
        <v>11</v>
      </c>
      <c r="F4667" s="3">
        <v>0</v>
      </c>
      <c r="G4667" s="4"/>
      <c r="H4667" s="3">
        <v>0</v>
      </c>
    </row>
    <row r="4668" ht="14.25" spans="1:8">
      <c r="A4668" s="3" t="str">
        <f>"21601315504"</f>
        <v>21601315504</v>
      </c>
      <c r="B4668" s="3">
        <v>3</v>
      </c>
      <c r="C4668" s="3">
        <v>155</v>
      </c>
      <c r="D4668" s="3">
        <v>4</v>
      </c>
      <c r="E4668" s="3" t="s">
        <v>11</v>
      </c>
      <c r="F4668" s="3">
        <v>0</v>
      </c>
      <c r="G4668" s="4"/>
      <c r="H4668" s="3">
        <v>0</v>
      </c>
    </row>
    <row r="4669" ht="14.25" spans="1:8">
      <c r="A4669" s="3" t="str">
        <f>"21601315505"</f>
        <v>21601315505</v>
      </c>
      <c r="B4669" s="3">
        <v>3</v>
      </c>
      <c r="C4669" s="3">
        <v>155</v>
      </c>
      <c r="D4669" s="3">
        <v>5</v>
      </c>
      <c r="E4669" s="3" t="s">
        <v>11</v>
      </c>
      <c r="F4669" s="4">
        <v>78.5</v>
      </c>
      <c r="G4669" s="4"/>
      <c r="H4669" s="4">
        <f>F4669+G4669</f>
        <v>78.5</v>
      </c>
    </row>
    <row r="4670" ht="14.25" spans="1:8">
      <c r="A4670" s="3" t="str">
        <f>"21601315506"</f>
        <v>21601315506</v>
      </c>
      <c r="B4670" s="3">
        <v>3</v>
      </c>
      <c r="C4670" s="3">
        <v>155</v>
      </c>
      <c r="D4670" s="3">
        <v>6</v>
      </c>
      <c r="E4670" s="3" t="s">
        <v>11</v>
      </c>
      <c r="F4670" s="3">
        <v>0</v>
      </c>
      <c r="G4670" s="4"/>
      <c r="H4670" s="3">
        <v>0</v>
      </c>
    </row>
    <row r="4671" ht="14.25" spans="1:8">
      <c r="A4671" s="3" t="str">
        <f>"21601315507"</f>
        <v>21601315507</v>
      </c>
      <c r="B4671" s="3">
        <v>3</v>
      </c>
      <c r="C4671" s="3">
        <v>155</v>
      </c>
      <c r="D4671" s="3">
        <v>7</v>
      </c>
      <c r="E4671" s="3" t="s">
        <v>11</v>
      </c>
      <c r="F4671" s="3">
        <v>0</v>
      </c>
      <c r="G4671" s="4"/>
      <c r="H4671" s="3">
        <v>0</v>
      </c>
    </row>
    <row r="4672" ht="14.25" spans="1:8">
      <c r="A4672" s="3" t="str">
        <f>"21601315508"</f>
        <v>21601315508</v>
      </c>
      <c r="B4672" s="3">
        <v>3</v>
      </c>
      <c r="C4672" s="3">
        <v>155</v>
      </c>
      <c r="D4672" s="3">
        <v>8</v>
      </c>
      <c r="E4672" s="3" t="s">
        <v>11</v>
      </c>
      <c r="F4672" s="3">
        <v>0</v>
      </c>
      <c r="G4672" s="4"/>
      <c r="H4672" s="3">
        <v>0</v>
      </c>
    </row>
    <row r="4673" ht="14.25" spans="1:8">
      <c r="A4673" s="3" t="str">
        <f>"21601315509"</f>
        <v>21601315509</v>
      </c>
      <c r="B4673" s="3">
        <v>3</v>
      </c>
      <c r="C4673" s="3">
        <v>155</v>
      </c>
      <c r="D4673" s="3">
        <v>9</v>
      </c>
      <c r="E4673" s="3" t="s">
        <v>11</v>
      </c>
      <c r="F4673" s="3">
        <v>0</v>
      </c>
      <c r="G4673" s="4"/>
      <c r="H4673" s="3">
        <v>0</v>
      </c>
    </row>
    <row r="4674" ht="14.25" spans="1:8">
      <c r="A4674" s="3" t="str">
        <f>"21601315510"</f>
        <v>21601315510</v>
      </c>
      <c r="B4674" s="3">
        <v>3</v>
      </c>
      <c r="C4674" s="3">
        <v>155</v>
      </c>
      <c r="D4674" s="3">
        <v>10</v>
      </c>
      <c r="E4674" s="3" t="s">
        <v>11</v>
      </c>
      <c r="F4674" s="4">
        <v>75.5</v>
      </c>
      <c r="G4674" s="4"/>
      <c r="H4674" s="4">
        <f>F4674+G4674</f>
        <v>75.5</v>
      </c>
    </row>
    <row r="4675" ht="14.25" spans="1:8">
      <c r="A4675" s="3" t="str">
        <f>"21601315511"</f>
        <v>21601315511</v>
      </c>
      <c r="B4675" s="3">
        <v>3</v>
      </c>
      <c r="C4675" s="3">
        <v>155</v>
      </c>
      <c r="D4675" s="3">
        <v>11</v>
      </c>
      <c r="E4675" s="3" t="s">
        <v>11</v>
      </c>
      <c r="F4675" s="3">
        <v>0</v>
      </c>
      <c r="G4675" s="4"/>
      <c r="H4675" s="3">
        <v>0</v>
      </c>
    </row>
    <row r="4676" ht="14.25" spans="1:8">
      <c r="A4676" s="3" t="str">
        <f>"21601315512"</f>
        <v>21601315512</v>
      </c>
      <c r="B4676" s="3">
        <v>3</v>
      </c>
      <c r="C4676" s="3">
        <v>155</v>
      </c>
      <c r="D4676" s="3">
        <v>12</v>
      </c>
      <c r="E4676" s="3" t="s">
        <v>11</v>
      </c>
      <c r="F4676" s="3">
        <v>0</v>
      </c>
      <c r="G4676" s="4"/>
      <c r="H4676" s="3">
        <v>0</v>
      </c>
    </row>
    <row r="4677" ht="14.25" spans="1:8">
      <c r="A4677" s="3" t="str">
        <f>"21601315513"</f>
        <v>21601315513</v>
      </c>
      <c r="B4677" s="3">
        <v>3</v>
      </c>
      <c r="C4677" s="3">
        <v>155</v>
      </c>
      <c r="D4677" s="3">
        <v>13</v>
      </c>
      <c r="E4677" s="3" t="s">
        <v>11</v>
      </c>
      <c r="F4677" s="3">
        <v>0</v>
      </c>
      <c r="G4677" s="4"/>
      <c r="H4677" s="3">
        <v>0</v>
      </c>
    </row>
    <row r="4678" ht="14.25" spans="1:8">
      <c r="A4678" s="3" t="str">
        <f>"21602315514"</f>
        <v>21602315514</v>
      </c>
      <c r="B4678" s="3">
        <v>3</v>
      </c>
      <c r="C4678" s="3">
        <v>155</v>
      </c>
      <c r="D4678" s="3">
        <v>14</v>
      </c>
      <c r="E4678" s="3" t="s">
        <v>11</v>
      </c>
      <c r="F4678" s="4">
        <v>79</v>
      </c>
      <c r="G4678" s="4"/>
      <c r="H4678" s="4">
        <f t="shared" ref="H4678:H4682" si="477">F4678+G4678</f>
        <v>79</v>
      </c>
    </row>
    <row r="4679" ht="14.25" spans="1:8">
      <c r="A4679" s="3" t="str">
        <f>"21602315515"</f>
        <v>21602315515</v>
      </c>
      <c r="B4679" s="3">
        <v>3</v>
      </c>
      <c r="C4679" s="3">
        <v>155</v>
      </c>
      <c r="D4679" s="3">
        <v>15</v>
      </c>
      <c r="E4679" s="3" t="s">
        <v>11</v>
      </c>
      <c r="F4679" s="3">
        <v>0</v>
      </c>
      <c r="G4679" s="4"/>
      <c r="H4679" s="3">
        <v>0</v>
      </c>
    </row>
    <row r="4680" ht="14.25" spans="1:8">
      <c r="A4680" s="3" t="str">
        <f>"21602315516"</f>
        <v>21602315516</v>
      </c>
      <c r="B4680" s="3">
        <v>3</v>
      </c>
      <c r="C4680" s="3">
        <v>155</v>
      </c>
      <c r="D4680" s="3">
        <v>16</v>
      </c>
      <c r="E4680" s="3" t="s">
        <v>11</v>
      </c>
      <c r="F4680" s="4">
        <v>67</v>
      </c>
      <c r="G4680" s="4"/>
      <c r="H4680" s="4">
        <f t="shared" si="477"/>
        <v>67</v>
      </c>
    </row>
    <row r="4681" ht="14.25" spans="1:8">
      <c r="A4681" s="3" t="str">
        <f>"21602315517"</f>
        <v>21602315517</v>
      </c>
      <c r="B4681" s="3">
        <v>3</v>
      </c>
      <c r="C4681" s="3">
        <v>155</v>
      </c>
      <c r="D4681" s="3">
        <v>17</v>
      </c>
      <c r="E4681" s="3" t="s">
        <v>11</v>
      </c>
      <c r="F4681" s="4">
        <v>80.5</v>
      </c>
      <c r="G4681" s="4"/>
      <c r="H4681" s="4">
        <f t="shared" si="477"/>
        <v>80.5</v>
      </c>
    </row>
    <row r="4682" ht="14.25" spans="1:8">
      <c r="A4682" s="3" t="str">
        <f>"21602315518"</f>
        <v>21602315518</v>
      </c>
      <c r="B4682" s="3">
        <v>3</v>
      </c>
      <c r="C4682" s="3">
        <v>155</v>
      </c>
      <c r="D4682" s="3">
        <v>18</v>
      </c>
      <c r="E4682" s="3" t="s">
        <v>11</v>
      </c>
      <c r="F4682" s="4">
        <v>54</v>
      </c>
      <c r="G4682" s="4"/>
      <c r="H4682" s="4">
        <f t="shared" si="477"/>
        <v>54</v>
      </c>
    </row>
    <row r="4683" ht="14.25" spans="1:8">
      <c r="A4683" s="3" t="str">
        <f>"21602315519"</f>
        <v>21602315519</v>
      </c>
      <c r="B4683" s="3">
        <v>3</v>
      </c>
      <c r="C4683" s="3">
        <v>155</v>
      </c>
      <c r="D4683" s="3">
        <v>19</v>
      </c>
      <c r="E4683" s="3" t="s">
        <v>11</v>
      </c>
      <c r="F4683" s="3">
        <v>0</v>
      </c>
      <c r="G4683" s="4"/>
      <c r="H4683" s="3">
        <v>0</v>
      </c>
    </row>
    <row r="4684" ht="14.25" spans="1:8">
      <c r="A4684" s="3" t="str">
        <f>"21602315520"</f>
        <v>21602315520</v>
      </c>
      <c r="B4684" s="3">
        <v>3</v>
      </c>
      <c r="C4684" s="3">
        <v>155</v>
      </c>
      <c r="D4684" s="3">
        <v>20</v>
      </c>
      <c r="E4684" s="3" t="s">
        <v>11</v>
      </c>
      <c r="F4684" s="4">
        <v>56.5</v>
      </c>
      <c r="G4684" s="4"/>
      <c r="H4684" s="4">
        <f t="shared" ref="H4684:H4689" si="478">F4684+G4684</f>
        <v>56.5</v>
      </c>
    </row>
    <row r="4685" ht="14.25" spans="1:8">
      <c r="A4685" s="3" t="str">
        <f>"21602315521"</f>
        <v>21602315521</v>
      </c>
      <c r="B4685" s="3">
        <v>3</v>
      </c>
      <c r="C4685" s="3">
        <v>155</v>
      </c>
      <c r="D4685" s="3">
        <v>21</v>
      </c>
      <c r="E4685" s="3" t="s">
        <v>11</v>
      </c>
      <c r="F4685" s="4">
        <v>66</v>
      </c>
      <c r="G4685" s="4"/>
      <c r="H4685" s="4">
        <f t="shared" si="478"/>
        <v>66</v>
      </c>
    </row>
    <row r="4686" ht="14.25" spans="1:8">
      <c r="A4686" s="3" t="str">
        <f>"21602315522"</f>
        <v>21602315522</v>
      </c>
      <c r="B4686" s="3">
        <v>3</v>
      </c>
      <c r="C4686" s="3">
        <v>155</v>
      </c>
      <c r="D4686" s="3">
        <v>22</v>
      </c>
      <c r="E4686" s="3" t="s">
        <v>11</v>
      </c>
      <c r="F4686" s="3">
        <v>0</v>
      </c>
      <c r="G4686" s="4"/>
      <c r="H4686" s="3">
        <v>0</v>
      </c>
    </row>
    <row r="4687" ht="14.25" spans="1:8">
      <c r="A4687" s="3" t="str">
        <f>"21602315523"</f>
        <v>21602315523</v>
      </c>
      <c r="B4687" s="3">
        <v>3</v>
      </c>
      <c r="C4687" s="3">
        <v>155</v>
      </c>
      <c r="D4687" s="3">
        <v>23</v>
      </c>
      <c r="E4687" s="3" t="s">
        <v>11</v>
      </c>
      <c r="F4687" s="4">
        <v>78.5</v>
      </c>
      <c r="G4687" s="4"/>
      <c r="H4687" s="4">
        <f t="shared" si="478"/>
        <v>78.5</v>
      </c>
    </row>
    <row r="4688" ht="14.25" spans="1:8">
      <c r="A4688" s="3" t="str">
        <f>"21602315524"</f>
        <v>21602315524</v>
      </c>
      <c r="B4688" s="3">
        <v>3</v>
      </c>
      <c r="C4688" s="3">
        <v>155</v>
      </c>
      <c r="D4688" s="3">
        <v>24</v>
      </c>
      <c r="E4688" s="3" t="s">
        <v>11</v>
      </c>
      <c r="F4688" s="4">
        <v>78</v>
      </c>
      <c r="G4688" s="4"/>
      <c r="H4688" s="4">
        <f t="shared" si="478"/>
        <v>78</v>
      </c>
    </row>
    <row r="4689" ht="14.25" spans="1:8">
      <c r="A4689" s="3" t="str">
        <f>"21602315525"</f>
        <v>21602315525</v>
      </c>
      <c r="B4689" s="3">
        <v>3</v>
      </c>
      <c r="C4689" s="3">
        <v>155</v>
      </c>
      <c r="D4689" s="3">
        <v>25</v>
      </c>
      <c r="E4689" s="3" t="s">
        <v>11</v>
      </c>
      <c r="F4689" s="4">
        <v>81.5</v>
      </c>
      <c r="G4689" s="4"/>
      <c r="H4689" s="4">
        <f t="shared" si="478"/>
        <v>81.5</v>
      </c>
    </row>
    <row r="4690" ht="14.25" spans="1:8">
      <c r="A4690" s="3" t="str">
        <f>"21602315526"</f>
        <v>21602315526</v>
      </c>
      <c r="B4690" s="3">
        <v>3</v>
      </c>
      <c r="C4690" s="3">
        <v>155</v>
      </c>
      <c r="D4690" s="3">
        <v>26</v>
      </c>
      <c r="E4690" s="3" t="s">
        <v>11</v>
      </c>
      <c r="F4690" s="3">
        <v>0</v>
      </c>
      <c r="G4690" s="4"/>
      <c r="H4690" s="3">
        <v>0</v>
      </c>
    </row>
    <row r="4691" ht="14.25" spans="1:8">
      <c r="A4691" s="3" t="str">
        <f>"21602315527"</f>
        <v>21602315527</v>
      </c>
      <c r="B4691" s="3">
        <v>3</v>
      </c>
      <c r="C4691" s="3">
        <v>155</v>
      </c>
      <c r="D4691" s="3">
        <v>27</v>
      </c>
      <c r="E4691" s="3" t="s">
        <v>11</v>
      </c>
      <c r="F4691" s="3">
        <v>0</v>
      </c>
      <c r="G4691" s="4"/>
      <c r="H4691" s="3">
        <v>0</v>
      </c>
    </row>
    <row r="4692" ht="14.25" spans="1:8">
      <c r="A4692" s="3" t="str">
        <f>"21602315528"</f>
        <v>21602315528</v>
      </c>
      <c r="B4692" s="3">
        <v>3</v>
      </c>
      <c r="C4692" s="3">
        <v>155</v>
      </c>
      <c r="D4692" s="3">
        <v>28</v>
      </c>
      <c r="E4692" s="3" t="s">
        <v>11</v>
      </c>
      <c r="F4692" s="3">
        <v>0</v>
      </c>
      <c r="G4692" s="4"/>
      <c r="H4692" s="3">
        <v>0</v>
      </c>
    </row>
    <row r="4693" ht="14.25" spans="1:8">
      <c r="A4693" s="3" t="str">
        <f>"21602315529"</f>
        <v>21602315529</v>
      </c>
      <c r="B4693" s="3">
        <v>3</v>
      </c>
      <c r="C4693" s="3">
        <v>155</v>
      </c>
      <c r="D4693" s="3">
        <v>29</v>
      </c>
      <c r="E4693" s="3" t="s">
        <v>11</v>
      </c>
      <c r="F4693" s="4">
        <v>77.5</v>
      </c>
      <c r="G4693" s="4"/>
      <c r="H4693" s="4">
        <f t="shared" ref="H4693:H4697" si="479">F4693+G4693</f>
        <v>77.5</v>
      </c>
    </row>
    <row r="4694" ht="14.25" spans="1:8">
      <c r="A4694" s="3" t="str">
        <f>"21602315530"</f>
        <v>21602315530</v>
      </c>
      <c r="B4694" s="3">
        <v>3</v>
      </c>
      <c r="C4694" s="3">
        <v>155</v>
      </c>
      <c r="D4694" s="3">
        <v>30</v>
      </c>
      <c r="E4694" s="3" t="s">
        <v>11</v>
      </c>
      <c r="F4694" s="4">
        <v>51</v>
      </c>
      <c r="G4694" s="4"/>
      <c r="H4694" s="4">
        <f t="shared" si="479"/>
        <v>51</v>
      </c>
    </row>
    <row r="4695" ht="14.25" spans="1:8">
      <c r="A4695" s="3" t="str">
        <f>"21602315601"</f>
        <v>21602315601</v>
      </c>
      <c r="B4695" s="3">
        <v>3</v>
      </c>
      <c r="C4695" s="3">
        <v>156</v>
      </c>
      <c r="D4695" s="3">
        <v>1</v>
      </c>
      <c r="E4695" s="3" t="s">
        <v>11</v>
      </c>
      <c r="F4695" s="4">
        <v>61.5</v>
      </c>
      <c r="G4695" s="4"/>
      <c r="H4695" s="4">
        <f t="shared" si="479"/>
        <v>61.5</v>
      </c>
    </row>
    <row r="4696" ht="14.25" spans="1:8">
      <c r="A4696" s="3" t="str">
        <f>"21602315602"</f>
        <v>21602315602</v>
      </c>
      <c r="B4696" s="3">
        <v>3</v>
      </c>
      <c r="C4696" s="3">
        <v>156</v>
      </c>
      <c r="D4696" s="3">
        <v>2</v>
      </c>
      <c r="E4696" s="3" t="s">
        <v>11</v>
      </c>
      <c r="F4696" s="4">
        <v>80</v>
      </c>
      <c r="G4696" s="4"/>
      <c r="H4696" s="4">
        <f t="shared" si="479"/>
        <v>80</v>
      </c>
    </row>
    <row r="4697" ht="14.25" spans="1:8">
      <c r="A4697" s="3" t="str">
        <f>"21602315603"</f>
        <v>21602315603</v>
      </c>
      <c r="B4697" s="3">
        <v>3</v>
      </c>
      <c r="C4697" s="3">
        <v>156</v>
      </c>
      <c r="D4697" s="3">
        <v>3</v>
      </c>
      <c r="E4697" s="3" t="s">
        <v>11</v>
      </c>
      <c r="F4697" s="4">
        <v>81</v>
      </c>
      <c r="G4697" s="4"/>
      <c r="H4697" s="4">
        <f t="shared" si="479"/>
        <v>81</v>
      </c>
    </row>
    <row r="4698" ht="14.25" spans="1:8">
      <c r="A4698" s="3" t="str">
        <f>"21603315604"</f>
        <v>21603315604</v>
      </c>
      <c r="B4698" s="3">
        <v>3</v>
      </c>
      <c r="C4698" s="3">
        <v>156</v>
      </c>
      <c r="D4698" s="3">
        <v>4</v>
      </c>
      <c r="E4698" s="3" t="s">
        <v>11</v>
      </c>
      <c r="F4698" s="3">
        <v>0</v>
      </c>
      <c r="G4698" s="4"/>
      <c r="H4698" s="3">
        <v>0</v>
      </c>
    </row>
    <row r="4699" ht="14.25" spans="1:8">
      <c r="A4699" s="3" t="str">
        <f>"21603315605"</f>
        <v>21603315605</v>
      </c>
      <c r="B4699" s="3">
        <v>3</v>
      </c>
      <c r="C4699" s="3">
        <v>156</v>
      </c>
      <c r="D4699" s="3">
        <v>5</v>
      </c>
      <c r="E4699" s="3" t="s">
        <v>11</v>
      </c>
      <c r="F4699" s="4">
        <v>74.5</v>
      </c>
      <c r="G4699" s="4"/>
      <c r="H4699" s="4">
        <f t="shared" ref="H4699:H4703" si="480">F4699+G4699</f>
        <v>74.5</v>
      </c>
    </row>
    <row r="4700" ht="14.25" spans="1:8">
      <c r="A4700" s="3" t="str">
        <f>"21603315606"</f>
        <v>21603315606</v>
      </c>
      <c r="B4700" s="3">
        <v>3</v>
      </c>
      <c r="C4700" s="3">
        <v>156</v>
      </c>
      <c r="D4700" s="3">
        <v>6</v>
      </c>
      <c r="E4700" s="3" t="s">
        <v>11</v>
      </c>
      <c r="F4700" s="3">
        <v>0</v>
      </c>
      <c r="G4700" s="4"/>
      <c r="H4700" s="3">
        <v>0</v>
      </c>
    </row>
    <row r="4701" ht="14.25" spans="1:8">
      <c r="A4701" s="3" t="str">
        <f>"21603315607"</f>
        <v>21603315607</v>
      </c>
      <c r="B4701" s="3">
        <v>3</v>
      </c>
      <c r="C4701" s="3">
        <v>156</v>
      </c>
      <c r="D4701" s="3">
        <v>7</v>
      </c>
      <c r="E4701" s="3" t="s">
        <v>11</v>
      </c>
      <c r="F4701" s="4">
        <v>85</v>
      </c>
      <c r="G4701" s="4"/>
      <c r="H4701" s="4">
        <f t="shared" si="480"/>
        <v>85</v>
      </c>
    </row>
    <row r="4702" ht="14.25" spans="1:8">
      <c r="A4702" s="3" t="str">
        <f>"21603315608"</f>
        <v>21603315608</v>
      </c>
      <c r="B4702" s="3">
        <v>3</v>
      </c>
      <c r="C4702" s="3">
        <v>156</v>
      </c>
      <c r="D4702" s="3">
        <v>8</v>
      </c>
      <c r="E4702" s="3" t="s">
        <v>11</v>
      </c>
      <c r="F4702" s="3">
        <v>0</v>
      </c>
      <c r="G4702" s="4"/>
      <c r="H4702" s="3">
        <v>0</v>
      </c>
    </row>
    <row r="4703" ht="14.25" spans="1:8">
      <c r="A4703" s="3" t="str">
        <f>"21603315609"</f>
        <v>21603315609</v>
      </c>
      <c r="B4703" s="3">
        <v>3</v>
      </c>
      <c r="C4703" s="3">
        <v>156</v>
      </c>
      <c r="D4703" s="3">
        <v>9</v>
      </c>
      <c r="E4703" s="3" t="s">
        <v>11</v>
      </c>
      <c r="F4703" s="4">
        <v>78.5</v>
      </c>
      <c r="G4703" s="4"/>
      <c r="H4703" s="4">
        <f t="shared" si="480"/>
        <v>78.5</v>
      </c>
    </row>
    <row r="4704" ht="14.25" spans="1:8">
      <c r="A4704" s="3" t="str">
        <f>"21603315610"</f>
        <v>21603315610</v>
      </c>
      <c r="B4704" s="3">
        <v>3</v>
      </c>
      <c r="C4704" s="3">
        <v>156</v>
      </c>
      <c r="D4704" s="3">
        <v>10</v>
      </c>
      <c r="E4704" s="3" t="s">
        <v>11</v>
      </c>
      <c r="F4704" s="3">
        <v>0</v>
      </c>
      <c r="G4704" s="4"/>
      <c r="H4704" s="3">
        <v>0</v>
      </c>
    </row>
    <row r="4705" ht="14.25" spans="1:8">
      <c r="A4705" s="3" t="str">
        <f>"21603315611"</f>
        <v>21603315611</v>
      </c>
      <c r="B4705" s="3">
        <v>3</v>
      </c>
      <c r="C4705" s="3">
        <v>156</v>
      </c>
      <c r="D4705" s="3">
        <v>11</v>
      </c>
      <c r="E4705" s="3" t="s">
        <v>11</v>
      </c>
      <c r="F4705" s="4">
        <v>66.5</v>
      </c>
      <c r="G4705" s="4"/>
      <c r="H4705" s="4">
        <f t="shared" ref="H4705:H4710" si="481">F4705+G4705</f>
        <v>66.5</v>
      </c>
    </row>
    <row r="4706" ht="14.25" spans="1:8">
      <c r="A4706" s="3" t="str">
        <f>"21603315612"</f>
        <v>21603315612</v>
      </c>
      <c r="B4706" s="3">
        <v>3</v>
      </c>
      <c r="C4706" s="3">
        <v>156</v>
      </c>
      <c r="D4706" s="3">
        <v>12</v>
      </c>
      <c r="E4706" s="3" t="s">
        <v>11</v>
      </c>
      <c r="F4706" s="4">
        <v>77.5</v>
      </c>
      <c r="G4706" s="4"/>
      <c r="H4706" s="4">
        <f t="shared" si="481"/>
        <v>77.5</v>
      </c>
    </row>
    <row r="4707" ht="14.25" spans="1:8">
      <c r="A4707" s="3" t="str">
        <f>"21603315613"</f>
        <v>21603315613</v>
      </c>
      <c r="B4707" s="3">
        <v>3</v>
      </c>
      <c r="C4707" s="3">
        <v>156</v>
      </c>
      <c r="D4707" s="3">
        <v>13</v>
      </c>
      <c r="E4707" s="3" t="s">
        <v>11</v>
      </c>
      <c r="F4707" s="4">
        <v>81.5</v>
      </c>
      <c r="G4707" s="4"/>
      <c r="H4707" s="4">
        <f t="shared" si="481"/>
        <v>81.5</v>
      </c>
    </row>
    <row r="4708" ht="14.25" spans="1:8">
      <c r="A4708" s="3" t="str">
        <f>"21603315614"</f>
        <v>21603315614</v>
      </c>
      <c r="B4708" s="3">
        <v>3</v>
      </c>
      <c r="C4708" s="3">
        <v>156</v>
      </c>
      <c r="D4708" s="3">
        <v>14</v>
      </c>
      <c r="E4708" s="3" t="s">
        <v>11</v>
      </c>
      <c r="F4708" s="4">
        <v>70.5</v>
      </c>
      <c r="G4708" s="4"/>
      <c r="H4708" s="4">
        <f t="shared" si="481"/>
        <v>70.5</v>
      </c>
    </row>
    <row r="4709" ht="14.25" spans="1:8">
      <c r="A4709" s="3" t="str">
        <f>"21603315615"</f>
        <v>21603315615</v>
      </c>
      <c r="B4709" s="3">
        <v>3</v>
      </c>
      <c r="C4709" s="3">
        <v>156</v>
      </c>
      <c r="D4709" s="3">
        <v>15</v>
      </c>
      <c r="E4709" s="3" t="s">
        <v>11</v>
      </c>
      <c r="F4709" s="4">
        <v>77</v>
      </c>
      <c r="G4709" s="4"/>
      <c r="H4709" s="4">
        <f t="shared" si="481"/>
        <v>77</v>
      </c>
    </row>
    <row r="4710" ht="14.25" spans="1:8">
      <c r="A4710" s="3" t="str">
        <f>"21603315616"</f>
        <v>21603315616</v>
      </c>
      <c r="B4710" s="3">
        <v>3</v>
      </c>
      <c r="C4710" s="3">
        <v>156</v>
      </c>
      <c r="D4710" s="3">
        <v>16</v>
      </c>
      <c r="E4710" s="3" t="s">
        <v>11</v>
      </c>
      <c r="F4710" s="4">
        <v>62</v>
      </c>
      <c r="G4710" s="4"/>
      <c r="H4710" s="4">
        <f t="shared" si="481"/>
        <v>62</v>
      </c>
    </row>
    <row r="4711" ht="14.25" spans="1:8">
      <c r="A4711" s="3" t="str">
        <f>"21603315617"</f>
        <v>21603315617</v>
      </c>
      <c r="B4711" s="3">
        <v>3</v>
      </c>
      <c r="C4711" s="3">
        <v>156</v>
      </c>
      <c r="D4711" s="3">
        <v>17</v>
      </c>
      <c r="E4711" s="3" t="s">
        <v>11</v>
      </c>
      <c r="F4711" s="3">
        <v>0</v>
      </c>
      <c r="G4711" s="4"/>
      <c r="H4711" s="3">
        <v>0</v>
      </c>
    </row>
    <row r="4712" ht="14.25" spans="1:8">
      <c r="A4712" s="3" t="str">
        <f>"21604315618"</f>
        <v>21604315618</v>
      </c>
      <c r="B4712" s="3">
        <v>3</v>
      </c>
      <c r="C4712" s="3">
        <v>156</v>
      </c>
      <c r="D4712" s="3">
        <v>18</v>
      </c>
      <c r="E4712" s="3" t="s">
        <v>11</v>
      </c>
      <c r="F4712" s="3">
        <v>0</v>
      </c>
      <c r="G4712" s="4"/>
      <c r="H4712" s="3">
        <v>0</v>
      </c>
    </row>
    <row r="4713" ht="14.25" spans="1:8">
      <c r="A4713" s="3" t="str">
        <f>"21604315619"</f>
        <v>21604315619</v>
      </c>
      <c r="B4713" s="3">
        <v>3</v>
      </c>
      <c r="C4713" s="3">
        <v>156</v>
      </c>
      <c r="D4713" s="3">
        <v>19</v>
      </c>
      <c r="E4713" s="3" t="s">
        <v>11</v>
      </c>
      <c r="F4713" s="3">
        <v>0</v>
      </c>
      <c r="G4713" s="4"/>
      <c r="H4713" s="3">
        <v>0</v>
      </c>
    </row>
    <row r="4714" ht="14.25" spans="1:8">
      <c r="A4714" s="3" t="str">
        <f>"21604315620"</f>
        <v>21604315620</v>
      </c>
      <c r="B4714" s="3">
        <v>3</v>
      </c>
      <c r="C4714" s="3">
        <v>156</v>
      </c>
      <c r="D4714" s="3">
        <v>20</v>
      </c>
      <c r="E4714" s="3" t="s">
        <v>11</v>
      </c>
      <c r="F4714" s="4">
        <v>82</v>
      </c>
      <c r="G4714" s="4"/>
      <c r="H4714" s="4">
        <f t="shared" ref="H4714:H4719" si="482">F4714+G4714</f>
        <v>82</v>
      </c>
    </row>
    <row r="4715" ht="14.25" spans="1:8">
      <c r="A4715" s="3" t="str">
        <f>"21605315621"</f>
        <v>21605315621</v>
      </c>
      <c r="B4715" s="3">
        <v>3</v>
      </c>
      <c r="C4715" s="3">
        <v>156</v>
      </c>
      <c r="D4715" s="3">
        <v>21</v>
      </c>
      <c r="E4715" s="3" t="s">
        <v>11</v>
      </c>
      <c r="F4715" s="3">
        <v>0</v>
      </c>
      <c r="G4715" s="4"/>
      <c r="H4715" s="3">
        <v>0</v>
      </c>
    </row>
    <row r="4716" ht="14.25" spans="1:8">
      <c r="A4716" s="3" t="str">
        <f>"21605315622"</f>
        <v>21605315622</v>
      </c>
      <c r="B4716" s="3">
        <v>3</v>
      </c>
      <c r="C4716" s="3">
        <v>156</v>
      </c>
      <c r="D4716" s="3">
        <v>22</v>
      </c>
      <c r="E4716" s="3" t="s">
        <v>11</v>
      </c>
      <c r="F4716" s="4">
        <v>82</v>
      </c>
      <c r="G4716" s="4"/>
      <c r="H4716" s="4">
        <f t="shared" si="482"/>
        <v>82</v>
      </c>
    </row>
    <row r="4717" ht="14.25" spans="1:8">
      <c r="A4717" s="3" t="str">
        <f>"21605315623"</f>
        <v>21605315623</v>
      </c>
      <c r="B4717" s="3">
        <v>3</v>
      </c>
      <c r="C4717" s="3">
        <v>156</v>
      </c>
      <c r="D4717" s="3">
        <v>23</v>
      </c>
      <c r="E4717" s="3" t="s">
        <v>11</v>
      </c>
      <c r="F4717" s="3">
        <v>0</v>
      </c>
      <c r="G4717" s="4"/>
      <c r="H4717" s="3">
        <v>0</v>
      </c>
    </row>
    <row r="4718" ht="14.25" spans="1:8">
      <c r="A4718" s="3" t="str">
        <f>"21605315624"</f>
        <v>21605315624</v>
      </c>
      <c r="B4718" s="3">
        <v>3</v>
      </c>
      <c r="C4718" s="3">
        <v>156</v>
      </c>
      <c r="D4718" s="3">
        <v>24</v>
      </c>
      <c r="E4718" s="3" t="s">
        <v>11</v>
      </c>
      <c r="F4718" s="4">
        <v>83.5</v>
      </c>
      <c r="G4718" s="4"/>
      <c r="H4718" s="4">
        <f t="shared" si="482"/>
        <v>83.5</v>
      </c>
    </row>
    <row r="4719" ht="14.25" spans="1:8">
      <c r="A4719" s="3" t="str">
        <f>"21605315625"</f>
        <v>21605315625</v>
      </c>
      <c r="B4719" s="3">
        <v>3</v>
      </c>
      <c r="C4719" s="3">
        <v>156</v>
      </c>
      <c r="D4719" s="3">
        <v>25</v>
      </c>
      <c r="E4719" s="3" t="s">
        <v>11</v>
      </c>
      <c r="F4719" s="4">
        <v>49.5</v>
      </c>
      <c r="G4719" s="4"/>
      <c r="H4719" s="4">
        <f t="shared" si="482"/>
        <v>49.5</v>
      </c>
    </row>
    <row r="4720" ht="14.25" spans="1:8">
      <c r="A4720" s="3" t="str">
        <f>"21605315626"</f>
        <v>21605315626</v>
      </c>
      <c r="B4720" s="3">
        <v>3</v>
      </c>
      <c r="C4720" s="3">
        <v>156</v>
      </c>
      <c r="D4720" s="3">
        <v>26</v>
      </c>
      <c r="E4720" s="3" t="s">
        <v>11</v>
      </c>
      <c r="F4720" s="3">
        <v>0</v>
      </c>
      <c r="G4720" s="4"/>
      <c r="H4720" s="3">
        <v>0</v>
      </c>
    </row>
    <row r="4721" ht="14.25" spans="1:8">
      <c r="A4721" s="3" t="str">
        <f>"21701315627"</f>
        <v>21701315627</v>
      </c>
      <c r="B4721" s="3">
        <v>3</v>
      </c>
      <c r="C4721" s="3">
        <v>156</v>
      </c>
      <c r="D4721" s="3">
        <v>27</v>
      </c>
      <c r="E4721" s="3" t="s">
        <v>11</v>
      </c>
      <c r="F4721" s="4">
        <v>83</v>
      </c>
      <c r="G4721" s="4"/>
      <c r="H4721" s="4">
        <f t="shared" ref="H4721:H4726" si="483">F4721+G4721</f>
        <v>83</v>
      </c>
    </row>
    <row r="4722" ht="14.25" spans="1:8">
      <c r="A4722" s="3" t="str">
        <f>"21701315628"</f>
        <v>21701315628</v>
      </c>
      <c r="B4722" s="3">
        <v>3</v>
      </c>
      <c r="C4722" s="3">
        <v>156</v>
      </c>
      <c r="D4722" s="3">
        <v>28</v>
      </c>
      <c r="E4722" s="3" t="s">
        <v>11</v>
      </c>
      <c r="F4722" s="3">
        <v>0</v>
      </c>
      <c r="G4722" s="4"/>
      <c r="H4722" s="3">
        <v>0</v>
      </c>
    </row>
    <row r="4723" ht="14.25" spans="1:8">
      <c r="A4723" s="3" t="str">
        <f>"21701315629"</f>
        <v>21701315629</v>
      </c>
      <c r="B4723" s="3">
        <v>3</v>
      </c>
      <c r="C4723" s="3">
        <v>156</v>
      </c>
      <c r="D4723" s="3">
        <v>29</v>
      </c>
      <c r="E4723" s="3" t="s">
        <v>11</v>
      </c>
      <c r="F4723" s="3">
        <v>0</v>
      </c>
      <c r="G4723" s="4"/>
      <c r="H4723" s="3">
        <v>0</v>
      </c>
    </row>
    <row r="4724" ht="14.25" spans="1:8">
      <c r="A4724" s="3" t="str">
        <f>"21701315630"</f>
        <v>21701315630</v>
      </c>
      <c r="B4724" s="3">
        <v>3</v>
      </c>
      <c r="C4724" s="3">
        <v>156</v>
      </c>
      <c r="D4724" s="3">
        <v>30</v>
      </c>
      <c r="E4724" s="3" t="s">
        <v>11</v>
      </c>
      <c r="F4724" s="3">
        <v>0</v>
      </c>
      <c r="G4724" s="4"/>
      <c r="H4724" s="3">
        <v>0</v>
      </c>
    </row>
    <row r="4725" ht="14.25" spans="1:8">
      <c r="A4725" s="3" t="str">
        <f>"21701315701"</f>
        <v>21701315701</v>
      </c>
      <c r="B4725" s="3">
        <v>3</v>
      </c>
      <c r="C4725" s="3">
        <v>157</v>
      </c>
      <c r="D4725" s="3">
        <v>1</v>
      </c>
      <c r="E4725" s="3" t="s">
        <v>11</v>
      </c>
      <c r="F4725" s="4">
        <v>60.5</v>
      </c>
      <c r="G4725" s="4"/>
      <c r="H4725" s="4">
        <f t="shared" si="483"/>
        <v>60.5</v>
      </c>
    </row>
    <row r="4726" ht="14.25" spans="1:8">
      <c r="A4726" s="3" t="str">
        <f>"21702315702"</f>
        <v>21702315702</v>
      </c>
      <c r="B4726" s="3">
        <v>3</v>
      </c>
      <c r="C4726" s="3">
        <v>157</v>
      </c>
      <c r="D4726" s="3">
        <v>2</v>
      </c>
      <c r="E4726" s="3" t="s">
        <v>11</v>
      </c>
      <c r="F4726" s="4">
        <v>75</v>
      </c>
      <c r="G4726" s="4"/>
      <c r="H4726" s="4">
        <f t="shared" si="483"/>
        <v>75</v>
      </c>
    </row>
    <row r="4727" ht="14.25" spans="1:8">
      <c r="A4727" s="3" t="str">
        <f>"21702315703"</f>
        <v>21702315703</v>
      </c>
      <c r="B4727" s="3">
        <v>3</v>
      </c>
      <c r="C4727" s="3">
        <v>157</v>
      </c>
      <c r="D4727" s="3">
        <v>3</v>
      </c>
      <c r="E4727" s="3" t="s">
        <v>11</v>
      </c>
      <c r="F4727" s="3">
        <v>0</v>
      </c>
      <c r="G4727" s="4"/>
      <c r="H4727" s="3">
        <v>0</v>
      </c>
    </row>
    <row r="4728" ht="14.25" spans="1:8">
      <c r="A4728" s="3" t="str">
        <f>"21702315704"</f>
        <v>21702315704</v>
      </c>
      <c r="B4728" s="3">
        <v>3</v>
      </c>
      <c r="C4728" s="3">
        <v>157</v>
      </c>
      <c r="D4728" s="3">
        <v>4</v>
      </c>
      <c r="E4728" s="3" t="s">
        <v>11</v>
      </c>
      <c r="F4728" s="4">
        <v>76.5</v>
      </c>
      <c r="G4728" s="4"/>
      <c r="H4728" s="4">
        <f t="shared" ref="H4728:H4732" si="484">F4728+G4728</f>
        <v>76.5</v>
      </c>
    </row>
    <row r="4729" ht="14.25" spans="1:8">
      <c r="A4729" s="3" t="str">
        <f>"21702315705"</f>
        <v>21702315705</v>
      </c>
      <c r="B4729" s="3">
        <v>3</v>
      </c>
      <c r="C4729" s="3">
        <v>157</v>
      </c>
      <c r="D4729" s="3">
        <v>5</v>
      </c>
      <c r="E4729" s="3" t="s">
        <v>11</v>
      </c>
      <c r="F4729" s="3">
        <v>0</v>
      </c>
      <c r="G4729" s="4"/>
      <c r="H4729" s="3">
        <v>0</v>
      </c>
    </row>
    <row r="4730" ht="14.25" spans="1:8">
      <c r="A4730" s="3" t="str">
        <f>"21703315706"</f>
        <v>21703315706</v>
      </c>
      <c r="B4730" s="3">
        <v>3</v>
      </c>
      <c r="C4730" s="3">
        <v>157</v>
      </c>
      <c r="D4730" s="3">
        <v>6</v>
      </c>
      <c r="E4730" s="3" t="s">
        <v>11</v>
      </c>
      <c r="F4730" s="4">
        <v>78</v>
      </c>
      <c r="G4730" s="4"/>
      <c r="H4730" s="4">
        <f t="shared" si="484"/>
        <v>78</v>
      </c>
    </row>
    <row r="4731" ht="14.25" spans="1:8">
      <c r="A4731" s="3" t="str">
        <f>"21703315707"</f>
        <v>21703315707</v>
      </c>
      <c r="B4731" s="3">
        <v>3</v>
      </c>
      <c r="C4731" s="3">
        <v>157</v>
      </c>
      <c r="D4731" s="3">
        <v>7</v>
      </c>
      <c r="E4731" s="3" t="s">
        <v>11</v>
      </c>
      <c r="F4731" s="4">
        <v>77.5</v>
      </c>
      <c r="G4731" s="4"/>
      <c r="H4731" s="4">
        <f t="shared" si="484"/>
        <v>77.5</v>
      </c>
    </row>
    <row r="4732" ht="14.25" spans="1:8">
      <c r="A4732" s="3" t="str">
        <f>"21703315708"</f>
        <v>21703315708</v>
      </c>
      <c r="B4732" s="3">
        <v>3</v>
      </c>
      <c r="C4732" s="3">
        <v>157</v>
      </c>
      <c r="D4732" s="3">
        <v>8</v>
      </c>
      <c r="E4732" s="3" t="s">
        <v>11</v>
      </c>
      <c r="F4732" s="4">
        <v>66.5</v>
      </c>
      <c r="G4732" s="4"/>
      <c r="H4732" s="4">
        <f t="shared" si="484"/>
        <v>66.5</v>
      </c>
    </row>
    <row r="4733" ht="14.25" spans="1:8">
      <c r="A4733" s="3" t="str">
        <f>"21703315709"</f>
        <v>21703315709</v>
      </c>
      <c r="B4733" s="3">
        <v>3</v>
      </c>
      <c r="C4733" s="3">
        <v>157</v>
      </c>
      <c r="D4733" s="3">
        <v>9</v>
      </c>
      <c r="E4733" s="3" t="s">
        <v>11</v>
      </c>
      <c r="F4733" s="3">
        <v>0</v>
      </c>
      <c r="G4733" s="4"/>
      <c r="H4733" s="3">
        <v>0</v>
      </c>
    </row>
    <row r="4734" ht="14.25" spans="1:8">
      <c r="A4734" s="3" t="str">
        <f>"21703315710"</f>
        <v>21703315710</v>
      </c>
      <c r="B4734" s="3">
        <v>3</v>
      </c>
      <c r="C4734" s="3">
        <v>157</v>
      </c>
      <c r="D4734" s="3">
        <v>10</v>
      </c>
      <c r="E4734" s="3" t="s">
        <v>11</v>
      </c>
      <c r="F4734" s="4">
        <v>73.5</v>
      </c>
      <c r="G4734" s="4"/>
      <c r="H4734" s="4">
        <f t="shared" ref="H4734:H4739" si="485">F4734+G4734</f>
        <v>73.5</v>
      </c>
    </row>
    <row r="4735" ht="14.25" spans="1:8">
      <c r="A4735" s="3" t="str">
        <f>"21703315711"</f>
        <v>21703315711</v>
      </c>
      <c r="B4735" s="3">
        <v>3</v>
      </c>
      <c r="C4735" s="3">
        <v>157</v>
      </c>
      <c r="D4735" s="3">
        <v>11</v>
      </c>
      <c r="E4735" s="3" t="s">
        <v>11</v>
      </c>
      <c r="F4735" s="4">
        <v>80.5</v>
      </c>
      <c r="G4735" s="4"/>
      <c r="H4735" s="4">
        <f t="shared" si="485"/>
        <v>80.5</v>
      </c>
    </row>
    <row r="4736" ht="14.25" spans="1:8">
      <c r="A4736" s="3" t="str">
        <f>"21703315712"</f>
        <v>21703315712</v>
      </c>
      <c r="B4736" s="3">
        <v>3</v>
      </c>
      <c r="C4736" s="3">
        <v>157</v>
      </c>
      <c r="D4736" s="3">
        <v>12</v>
      </c>
      <c r="E4736" s="3" t="s">
        <v>11</v>
      </c>
      <c r="F4736" s="3">
        <v>0</v>
      </c>
      <c r="G4736" s="4"/>
      <c r="H4736" s="3">
        <v>0</v>
      </c>
    </row>
    <row r="4737" ht="14.25" spans="1:8">
      <c r="A4737" s="3" t="str">
        <f>"21703315713"</f>
        <v>21703315713</v>
      </c>
      <c r="B4737" s="3">
        <v>3</v>
      </c>
      <c r="C4737" s="3">
        <v>157</v>
      </c>
      <c r="D4737" s="3">
        <v>13</v>
      </c>
      <c r="E4737" s="3" t="s">
        <v>11</v>
      </c>
      <c r="F4737" s="4">
        <v>77</v>
      </c>
      <c r="G4737" s="4"/>
      <c r="H4737" s="4">
        <f t="shared" si="485"/>
        <v>77</v>
      </c>
    </row>
    <row r="4738" ht="14.25" spans="1:8">
      <c r="A4738" s="3" t="str">
        <f>"21703315714"</f>
        <v>21703315714</v>
      </c>
      <c r="B4738" s="3">
        <v>3</v>
      </c>
      <c r="C4738" s="3">
        <v>157</v>
      </c>
      <c r="D4738" s="3">
        <v>14</v>
      </c>
      <c r="E4738" s="3" t="s">
        <v>11</v>
      </c>
      <c r="F4738" s="4">
        <v>82</v>
      </c>
      <c r="G4738" s="4"/>
      <c r="H4738" s="4">
        <f t="shared" si="485"/>
        <v>82</v>
      </c>
    </row>
    <row r="4739" ht="14.25" spans="1:8">
      <c r="A4739" s="3" t="str">
        <f>"21704315715"</f>
        <v>21704315715</v>
      </c>
      <c r="B4739" s="3">
        <v>3</v>
      </c>
      <c r="C4739" s="3">
        <v>157</v>
      </c>
      <c r="D4739" s="3">
        <v>15</v>
      </c>
      <c r="E4739" s="3" t="s">
        <v>11</v>
      </c>
      <c r="F4739" s="4">
        <v>84</v>
      </c>
      <c r="G4739" s="4"/>
      <c r="H4739" s="4">
        <f t="shared" si="485"/>
        <v>84</v>
      </c>
    </row>
    <row r="4740" ht="14.25" spans="1:8">
      <c r="A4740" s="3" t="str">
        <f>"21704315716"</f>
        <v>21704315716</v>
      </c>
      <c r="B4740" s="3">
        <v>3</v>
      </c>
      <c r="C4740" s="3">
        <v>157</v>
      </c>
      <c r="D4740" s="3">
        <v>16</v>
      </c>
      <c r="E4740" s="3" t="s">
        <v>11</v>
      </c>
      <c r="F4740" s="3">
        <v>0</v>
      </c>
      <c r="G4740" s="4"/>
      <c r="H4740" s="3">
        <v>0</v>
      </c>
    </row>
    <row r="4741" ht="14.25" spans="1:8">
      <c r="A4741" s="3" t="str">
        <f>"21704315717"</f>
        <v>21704315717</v>
      </c>
      <c r="B4741" s="3">
        <v>3</v>
      </c>
      <c r="C4741" s="3">
        <v>157</v>
      </c>
      <c r="D4741" s="3">
        <v>17</v>
      </c>
      <c r="E4741" s="3" t="s">
        <v>11</v>
      </c>
      <c r="F4741" s="4">
        <v>85.5</v>
      </c>
      <c r="G4741" s="4"/>
      <c r="H4741" s="4">
        <f t="shared" ref="H4741:H4758" si="486">F4741+G4741</f>
        <v>85.5</v>
      </c>
    </row>
    <row r="4742" ht="14.25" spans="1:8">
      <c r="A4742" s="3" t="str">
        <f>"21801315718"</f>
        <v>21801315718</v>
      </c>
      <c r="B4742" s="3">
        <v>3</v>
      </c>
      <c r="C4742" s="3">
        <v>157</v>
      </c>
      <c r="D4742" s="3">
        <v>18</v>
      </c>
      <c r="E4742" s="3" t="s">
        <v>11</v>
      </c>
      <c r="F4742" s="3">
        <v>0</v>
      </c>
      <c r="G4742" s="4"/>
      <c r="H4742" s="3">
        <v>0</v>
      </c>
    </row>
    <row r="4743" ht="14.25" spans="1:8">
      <c r="A4743" s="3" t="str">
        <f>"21801315719"</f>
        <v>21801315719</v>
      </c>
      <c r="B4743" s="3">
        <v>3</v>
      </c>
      <c r="C4743" s="3">
        <v>157</v>
      </c>
      <c r="D4743" s="3">
        <v>19</v>
      </c>
      <c r="E4743" s="3" t="s">
        <v>11</v>
      </c>
      <c r="F4743" s="4">
        <v>64</v>
      </c>
      <c r="G4743" s="4"/>
      <c r="H4743" s="4">
        <f t="shared" si="486"/>
        <v>64</v>
      </c>
    </row>
    <row r="4744" ht="14.25" spans="1:8">
      <c r="A4744" s="3" t="str">
        <f>"21801315720"</f>
        <v>21801315720</v>
      </c>
      <c r="B4744" s="3">
        <v>3</v>
      </c>
      <c r="C4744" s="3">
        <v>157</v>
      </c>
      <c r="D4744" s="3">
        <v>20</v>
      </c>
      <c r="E4744" s="3" t="s">
        <v>11</v>
      </c>
      <c r="F4744" s="4">
        <v>66</v>
      </c>
      <c r="G4744" s="4"/>
      <c r="H4744" s="4">
        <f t="shared" si="486"/>
        <v>66</v>
      </c>
    </row>
    <row r="4745" ht="14.25" spans="1:8">
      <c r="A4745" s="3" t="str">
        <f>"21801315721"</f>
        <v>21801315721</v>
      </c>
      <c r="B4745" s="3">
        <v>3</v>
      </c>
      <c r="C4745" s="3">
        <v>157</v>
      </c>
      <c r="D4745" s="3">
        <v>21</v>
      </c>
      <c r="E4745" s="3" t="s">
        <v>11</v>
      </c>
      <c r="F4745" s="4">
        <v>66.5</v>
      </c>
      <c r="G4745" s="4"/>
      <c r="H4745" s="4">
        <f t="shared" si="486"/>
        <v>66.5</v>
      </c>
    </row>
    <row r="4746" ht="14.25" spans="1:8">
      <c r="A4746" s="3" t="str">
        <f>"21801315722"</f>
        <v>21801315722</v>
      </c>
      <c r="B4746" s="3">
        <v>3</v>
      </c>
      <c r="C4746" s="3">
        <v>157</v>
      </c>
      <c r="D4746" s="3">
        <v>22</v>
      </c>
      <c r="E4746" s="3" t="s">
        <v>11</v>
      </c>
      <c r="F4746" s="4">
        <v>70</v>
      </c>
      <c r="G4746" s="4"/>
      <c r="H4746" s="4">
        <f t="shared" si="486"/>
        <v>70</v>
      </c>
    </row>
    <row r="4747" ht="14.25" spans="1:8">
      <c r="A4747" s="3" t="str">
        <f>"21801315723"</f>
        <v>21801315723</v>
      </c>
      <c r="B4747" s="3">
        <v>3</v>
      </c>
      <c r="C4747" s="3">
        <v>157</v>
      </c>
      <c r="D4747" s="3">
        <v>23</v>
      </c>
      <c r="E4747" s="3" t="s">
        <v>11</v>
      </c>
      <c r="F4747" s="4">
        <v>76</v>
      </c>
      <c r="G4747" s="4"/>
      <c r="H4747" s="4">
        <f t="shared" si="486"/>
        <v>76</v>
      </c>
    </row>
    <row r="4748" ht="14.25" spans="1:8">
      <c r="A4748" s="3" t="str">
        <f>"21801315724"</f>
        <v>21801315724</v>
      </c>
      <c r="B4748" s="3">
        <v>3</v>
      </c>
      <c r="C4748" s="3">
        <v>157</v>
      </c>
      <c r="D4748" s="3">
        <v>24</v>
      </c>
      <c r="E4748" s="3" t="s">
        <v>11</v>
      </c>
      <c r="F4748" s="4">
        <v>73</v>
      </c>
      <c r="G4748" s="4"/>
      <c r="H4748" s="4">
        <f t="shared" si="486"/>
        <v>73</v>
      </c>
    </row>
    <row r="4749" ht="14.25" spans="1:8">
      <c r="A4749" s="3" t="str">
        <f>"21801315725"</f>
        <v>21801315725</v>
      </c>
      <c r="B4749" s="3">
        <v>3</v>
      </c>
      <c r="C4749" s="3">
        <v>157</v>
      </c>
      <c r="D4749" s="3">
        <v>25</v>
      </c>
      <c r="E4749" s="3" t="s">
        <v>11</v>
      </c>
      <c r="F4749" s="4">
        <v>70</v>
      </c>
      <c r="G4749" s="4"/>
      <c r="H4749" s="4">
        <f t="shared" si="486"/>
        <v>70</v>
      </c>
    </row>
    <row r="4750" ht="14.25" spans="1:8">
      <c r="A4750" s="3" t="str">
        <f>"21801315726"</f>
        <v>21801315726</v>
      </c>
      <c r="B4750" s="3">
        <v>3</v>
      </c>
      <c r="C4750" s="3">
        <v>157</v>
      </c>
      <c r="D4750" s="3">
        <v>26</v>
      </c>
      <c r="E4750" s="3" t="s">
        <v>11</v>
      </c>
      <c r="F4750" s="4">
        <v>75</v>
      </c>
      <c r="G4750" s="4"/>
      <c r="H4750" s="4">
        <f t="shared" si="486"/>
        <v>75</v>
      </c>
    </row>
    <row r="4751" ht="14.25" spans="1:8">
      <c r="A4751" s="3" t="str">
        <f>"21801315727"</f>
        <v>21801315727</v>
      </c>
      <c r="B4751" s="3">
        <v>3</v>
      </c>
      <c r="C4751" s="3">
        <v>157</v>
      </c>
      <c r="D4751" s="3">
        <v>27</v>
      </c>
      <c r="E4751" s="3" t="s">
        <v>11</v>
      </c>
      <c r="F4751" s="4">
        <v>41.5</v>
      </c>
      <c r="G4751" s="4"/>
      <c r="H4751" s="4">
        <f t="shared" si="486"/>
        <v>41.5</v>
      </c>
    </row>
    <row r="4752" ht="14.25" spans="1:8">
      <c r="A4752" s="3" t="str">
        <f>"21801315728"</f>
        <v>21801315728</v>
      </c>
      <c r="B4752" s="3">
        <v>3</v>
      </c>
      <c r="C4752" s="3">
        <v>157</v>
      </c>
      <c r="D4752" s="3">
        <v>28</v>
      </c>
      <c r="E4752" s="3" t="s">
        <v>11</v>
      </c>
      <c r="F4752" s="4">
        <v>59</v>
      </c>
      <c r="G4752" s="4"/>
      <c r="H4752" s="4">
        <f t="shared" si="486"/>
        <v>59</v>
      </c>
    </row>
    <row r="4753" ht="14.25" spans="1:8">
      <c r="A4753" s="3" t="str">
        <f>"21801315729"</f>
        <v>21801315729</v>
      </c>
      <c r="B4753" s="3">
        <v>3</v>
      </c>
      <c r="C4753" s="3">
        <v>157</v>
      </c>
      <c r="D4753" s="3">
        <v>29</v>
      </c>
      <c r="E4753" s="3" t="s">
        <v>11</v>
      </c>
      <c r="F4753" s="4">
        <v>79.5</v>
      </c>
      <c r="G4753" s="4"/>
      <c r="H4753" s="4">
        <f t="shared" si="486"/>
        <v>79.5</v>
      </c>
    </row>
    <row r="4754" ht="14.25" spans="1:8">
      <c r="A4754" s="3" t="str">
        <f>"21801315730"</f>
        <v>21801315730</v>
      </c>
      <c r="B4754" s="3">
        <v>3</v>
      </c>
      <c r="C4754" s="3">
        <v>157</v>
      </c>
      <c r="D4754" s="3">
        <v>30</v>
      </c>
      <c r="E4754" s="3" t="s">
        <v>11</v>
      </c>
      <c r="F4754" s="4">
        <v>69</v>
      </c>
      <c r="G4754" s="4"/>
      <c r="H4754" s="4">
        <f t="shared" si="486"/>
        <v>69</v>
      </c>
    </row>
    <row r="4755" ht="14.25" spans="1:8">
      <c r="A4755" s="3" t="str">
        <f>"21801315801"</f>
        <v>21801315801</v>
      </c>
      <c r="B4755" s="3">
        <v>3</v>
      </c>
      <c r="C4755" s="3">
        <v>158</v>
      </c>
      <c r="D4755" s="3">
        <v>1</v>
      </c>
      <c r="E4755" s="3" t="s">
        <v>11</v>
      </c>
      <c r="F4755" s="4">
        <v>86.5</v>
      </c>
      <c r="G4755" s="4"/>
      <c r="H4755" s="4">
        <f t="shared" si="486"/>
        <v>86.5</v>
      </c>
    </row>
    <row r="4756" ht="14.25" spans="1:8">
      <c r="A4756" s="3" t="str">
        <f>"21801315802"</f>
        <v>21801315802</v>
      </c>
      <c r="B4756" s="3">
        <v>3</v>
      </c>
      <c r="C4756" s="3">
        <v>158</v>
      </c>
      <c r="D4756" s="3">
        <v>2</v>
      </c>
      <c r="E4756" s="3" t="s">
        <v>11</v>
      </c>
      <c r="F4756" s="4">
        <v>59.5</v>
      </c>
      <c r="G4756" s="4"/>
      <c r="H4756" s="4">
        <f t="shared" si="486"/>
        <v>59.5</v>
      </c>
    </row>
    <row r="4757" ht="14.25" spans="1:8">
      <c r="A4757" s="3" t="str">
        <f>"21801315803"</f>
        <v>21801315803</v>
      </c>
      <c r="B4757" s="3">
        <v>3</v>
      </c>
      <c r="C4757" s="3">
        <v>158</v>
      </c>
      <c r="D4757" s="3">
        <v>3</v>
      </c>
      <c r="E4757" s="3" t="s">
        <v>11</v>
      </c>
      <c r="F4757" s="4">
        <v>82</v>
      </c>
      <c r="G4757" s="4"/>
      <c r="H4757" s="4">
        <f t="shared" si="486"/>
        <v>82</v>
      </c>
    </row>
    <row r="4758" ht="14.25" spans="1:8">
      <c r="A4758" s="3" t="str">
        <f>"21801315804"</f>
        <v>21801315804</v>
      </c>
      <c r="B4758" s="3">
        <v>3</v>
      </c>
      <c r="C4758" s="3">
        <v>158</v>
      </c>
      <c r="D4758" s="3">
        <v>4</v>
      </c>
      <c r="E4758" s="3" t="s">
        <v>11</v>
      </c>
      <c r="F4758" s="4">
        <v>50</v>
      </c>
      <c r="G4758" s="4"/>
      <c r="H4758" s="4">
        <f t="shared" si="486"/>
        <v>50</v>
      </c>
    </row>
    <row r="4759" ht="14.25" spans="1:8">
      <c r="A4759" s="3" t="str">
        <f>"21801315805"</f>
        <v>21801315805</v>
      </c>
      <c r="B4759" s="3">
        <v>3</v>
      </c>
      <c r="C4759" s="3">
        <v>158</v>
      </c>
      <c r="D4759" s="3">
        <v>5</v>
      </c>
      <c r="E4759" s="3" t="s">
        <v>11</v>
      </c>
      <c r="F4759" s="3">
        <v>0</v>
      </c>
      <c r="G4759" s="4"/>
      <c r="H4759" s="3">
        <v>0</v>
      </c>
    </row>
    <row r="4760" ht="14.25" spans="1:8">
      <c r="A4760" s="3" t="str">
        <f>"21801315806"</f>
        <v>21801315806</v>
      </c>
      <c r="B4760" s="3">
        <v>3</v>
      </c>
      <c r="C4760" s="3">
        <v>158</v>
      </c>
      <c r="D4760" s="3">
        <v>6</v>
      </c>
      <c r="E4760" s="3" t="s">
        <v>11</v>
      </c>
      <c r="F4760" s="3">
        <v>0</v>
      </c>
      <c r="G4760" s="4"/>
      <c r="H4760" s="3">
        <v>0</v>
      </c>
    </row>
    <row r="4761" ht="14.25" spans="1:8">
      <c r="A4761" s="3" t="str">
        <f>"21801315807"</f>
        <v>21801315807</v>
      </c>
      <c r="B4761" s="3">
        <v>3</v>
      </c>
      <c r="C4761" s="3">
        <v>158</v>
      </c>
      <c r="D4761" s="3">
        <v>7</v>
      </c>
      <c r="E4761" s="3" t="s">
        <v>11</v>
      </c>
      <c r="F4761" s="3">
        <v>0</v>
      </c>
      <c r="G4761" s="4"/>
      <c r="H4761" s="3">
        <v>0</v>
      </c>
    </row>
    <row r="4762" ht="14.25" spans="1:8">
      <c r="A4762" s="3" t="str">
        <f>"21801315808"</f>
        <v>21801315808</v>
      </c>
      <c r="B4762" s="3">
        <v>3</v>
      </c>
      <c r="C4762" s="3">
        <v>158</v>
      </c>
      <c r="D4762" s="3">
        <v>8</v>
      </c>
      <c r="E4762" s="3" t="s">
        <v>11</v>
      </c>
      <c r="F4762" s="4">
        <v>65.5</v>
      </c>
      <c r="G4762" s="4"/>
      <c r="H4762" s="4">
        <f t="shared" ref="H4762:H4783" si="487">F4762+G4762</f>
        <v>65.5</v>
      </c>
    </row>
    <row r="4763" ht="14.25" spans="1:8">
      <c r="A4763" s="3" t="str">
        <f>"21801315809"</f>
        <v>21801315809</v>
      </c>
      <c r="B4763" s="3">
        <v>3</v>
      </c>
      <c r="C4763" s="3">
        <v>158</v>
      </c>
      <c r="D4763" s="3">
        <v>9</v>
      </c>
      <c r="E4763" s="3" t="s">
        <v>11</v>
      </c>
      <c r="F4763" s="4">
        <v>65</v>
      </c>
      <c r="G4763" s="4"/>
      <c r="H4763" s="4">
        <f t="shared" si="487"/>
        <v>65</v>
      </c>
    </row>
    <row r="4764" ht="14.25" spans="1:8">
      <c r="A4764" s="3" t="str">
        <f>"21801315810"</f>
        <v>21801315810</v>
      </c>
      <c r="B4764" s="3">
        <v>3</v>
      </c>
      <c r="C4764" s="3">
        <v>158</v>
      </c>
      <c r="D4764" s="3">
        <v>10</v>
      </c>
      <c r="E4764" s="3" t="s">
        <v>11</v>
      </c>
      <c r="F4764" s="4">
        <v>69</v>
      </c>
      <c r="G4764" s="4"/>
      <c r="H4764" s="4">
        <f t="shared" si="487"/>
        <v>69</v>
      </c>
    </row>
    <row r="4765" ht="14.25" spans="1:8">
      <c r="A4765" s="3" t="str">
        <f>"21801315811"</f>
        <v>21801315811</v>
      </c>
      <c r="B4765" s="3">
        <v>3</v>
      </c>
      <c r="C4765" s="3">
        <v>158</v>
      </c>
      <c r="D4765" s="3">
        <v>11</v>
      </c>
      <c r="E4765" s="3" t="s">
        <v>11</v>
      </c>
      <c r="F4765" s="4">
        <v>60</v>
      </c>
      <c r="G4765" s="4"/>
      <c r="H4765" s="4">
        <f t="shared" si="487"/>
        <v>60</v>
      </c>
    </row>
    <row r="4766" ht="14.25" spans="1:8">
      <c r="A4766" s="3" t="str">
        <f>"21801315812"</f>
        <v>21801315812</v>
      </c>
      <c r="B4766" s="3">
        <v>3</v>
      </c>
      <c r="C4766" s="3">
        <v>158</v>
      </c>
      <c r="D4766" s="3">
        <v>12</v>
      </c>
      <c r="E4766" s="3" t="s">
        <v>11</v>
      </c>
      <c r="F4766" s="4">
        <v>66.5</v>
      </c>
      <c r="G4766" s="4"/>
      <c r="H4766" s="4">
        <f t="shared" si="487"/>
        <v>66.5</v>
      </c>
    </row>
    <row r="4767" ht="14.25" spans="1:8">
      <c r="A4767" s="3" t="str">
        <f>"21802315813"</f>
        <v>21802315813</v>
      </c>
      <c r="B4767" s="3">
        <v>3</v>
      </c>
      <c r="C4767" s="3">
        <v>158</v>
      </c>
      <c r="D4767" s="3">
        <v>13</v>
      </c>
      <c r="E4767" s="3" t="s">
        <v>11</v>
      </c>
      <c r="F4767" s="4">
        <v>66.5</v>
      </c>
      <c r="G4767" s="4"/>
      <c r="H4767" s="4">
        <f t="shared" si="487"/>
        <v>66.5</v>
      </c>
    </row>
    <row r="4768" ht="14.25" spans="1:8">
      <c r="A4768" s="3" t="str">
        <f>"21802315814"</f>
        <v>21802315814</v>
      </c>
      <c r="B4768" s="3">
        <v>3</v>
      </c>
      <c r="C4768" s="3">
        <v>158</v>
      </c>
      <c r="D4768" s="3">
        <v>14</v>
      </c>
      <c r="E4768" s="3" t="s">
        <v>11</v>
      </c>
      <c r="F4768" s="4">
        <v>82.5</v>
      </c>
      <c r="G4768" s="4"/>
      <c r="H4768" s="4">
        <f t="shared" si="487"/>
        <v>82.5</v>
      </c>
    </row>
    <row r="4769" ht="14.25" spans="1:8">
      <c r="A4769" s="3" t="str">
        <f>"21802315815"</f>
        <v>21802315815</v>
      </c>
      <c r="B4769" s="3">
        <v>3</v>
      </c>
      <c r="C4769" s="3">
        <v>158</v>
      </c>
      <c r="D4769" s="3">
        <v>15</v>
      </c>
      <c r="E4769" s="3" t="s">
        <v>11</v>
      </c>
      <c r="F4769" s="4">
        <v>71</v>
      </c>
      <c r="G4769" s="4"/>
      <c r="H4769" s="4">
        <f t="shared" si="487"/>
        <v>71</v>
      </c>
    </row>
    <row r="4770" ht="14.25" spans="1:8">
      <c r="A4770" s="3" t="str">
        <f>"21802315816"</f>
        <v>21802315816</v>
      </c>
      <c r="B4770" s="3">
        <v>3</v>
      </c>
      <c r="C4770" s="3">
        <v>158</v>
      </c>
      <c r="D4770" s="3">
        <v>16</v>
      </c>
      <c r="E4770" s="3" t="s">
        <v>11</v>
      </c>
      <c r="F4770" s="4">
        <v>55.5</v>
      </c>
      <c r="G4770" s="4"/>
      <c r="H4770" s="4">
        <f t="shared" si="487"/>
        <v>55.5</v>
      </c>
    </row>
    <row r="4771" ht="14.25" spans="1:8">
      <c r="A4771" s="3" t="str">
        <f>"21802315817"</f>
        <v>21802315817</v>
      </c>
      <c r="B4771" s="3">
        <v>3</v>
      </c>
      <c r="C4771" s="3">
        <v>158</v>
      </c>
      <c r="D4771" s="3">
        <v>17</v>
      </c>
      <c r="E4771" s="3" t="s">
        <v>11</v>
      </c>
      <c r="F4771" s="4">
        <v>65</v>
      </c>
      <c r="G4771" s="4"/>
      <c r="H4771" s="4">
        <f t="shared" si="487"/>
        <v>65</v>
      </c>
    </row>
    <row r="4772" ht="14.25" spans="1:8">
      <c r="A4772" s="3" t="str">
        <f>"21802315818"</f>
        <v>21802315818</v>
      </c>
      <c r="B4772" s="3">
        <v>3</v>
      </c>
      <c r="C4772" s="3">
        <v>158</v>
      </c>
      <c r="D4772" s="3">
        <v>18</v>
      </c>
      <c r="E4772" s="3" t="s">
        <v>11</v>
      </c>
      <c r="F4772" s="4">
        <v>60</v>
      </c>
      <c r="G4772" s="4"/>
      <c r="H4772" s="4">
        <f t="shared" si="487"/>
        <v>60</v>
      </c>
    </row>
    <row r="4773" ht="14.25" spans="1:8">
      <c r="A4773" s="3" t="str">
        <f>"21802315819"</f>
        <v>21802315819</v>
      </c>
      <c r="B4773" s="3">
        <v>3</v>
      </c>
      <c r="C4773" s="3">
        <v>158</v>
      </c>
      <c r="D4773" s="3">
        <v>19</v>
      </c>
      <c r="E4773" s="3" t="s">
        <v>11</v>
      </c>
      <c r="F4773" s="4">
        <v>59.5</v>
      </c>
      <c r="G4773" s="4"/>
      <c r="H4773" s="4">
        <f t="shared" si="487"/>
        <v>59.5</v>
      </c>
    </row>
    <row r="4774" ht="14.25" spans="1:8">
      <c r="A4774" s="3" t="str">
        <f>"21802315820"</f>
        <v>21802315820</v>
      </c>
      <c r="B4774" s="3">
        <v>3</v>
      </c>
      <c r="C4774" s="3">
        <v>158</v>
      </c>
      <c r="D4774" s="3">
        <v>20</v>
      </c>
      <c r="E4774" s="3" t="s">
        <v>11</v>
      </c>
      <c r="F4774" s="4">
        <v>50</v>
      </c>
      <c r="G4774" s="4"/>
      <c r="H4774" s="4">
        <f t="shared" si="487"/>
        <v>50</v>
      </c>
    </row>
    <row r="4775" ht="14.25" spans="1:8">
      <c r="A4775" s="3" t="str">
        <f>"21802315821"</f>
        <v>21802315821</v>
      </c>
      <c r="B4775" s="3">
        <v>3</v>
      </c>
      <c r="C4775" s="3">
        <v>158</v>
      </c>
      <c r="D4775" s="3">
        <v>21</v>
      </c>
      <c r="E4775" s="3" t="s">
        <v>11</v>
      </c>
      <c r="F4775" s="4">
        <v>78.5</v>
      </c>
      <c r="G4775" s="4"/>
      <c r="H4775" s="4">
        <f t="shared" si="487"/>
        <v>78.5</v>
      </c>
    </row>
    <row r="4776" ht="14.25" spans="1:8">
      <c r="A4776" s="3" t="str">
        <f>"21802315822"</f>
        <v>21802315822</v>
      </c>
      <c r="B4776" s="3">
        <v>3</v>
      </c>
      <c r="C4776" s="3">
        <v>158</v>
      </c>
      <c r="D4776" s="3">
        <v>22</v>
      </c>
      <c r="E4776" s="3" t="s">
        <v>11</v>
      </c>
      <c r="F4776" s="4">
        <v>64</v>
      </c>
      <c r="G4776" s="4"/>
      <c r="H4776" s="4">
        <f t="shared" si="487"/>
        <v>64</v>
      </c>
    </row>
    <row r="4777" ht="14.25" spans="1:8">
      <c r="A4777" s="3" t="str">
        <f>"21802315823"</f>
        <v>21802315823</v>
      </c>
      <c r="B4777" s="3">
        <v>3</v>
      </c>
      <c r="C4777" s="3">
        <v>158</v>
      </c>
      <c r="D4777" s="3">
        <v>23</v>
      </c>
      <c r="E4777" s="3" t="s">
        <v>11</v>
      </c>
      <c r="F4777" s="4">
        <v>85</v>
      </c>
      <c r="G4777" s="4"/>
      <c r="H4777" s="4">
        <f t="shared" si="487"/>
        <v>85</v>
      </c>
    </row>
    <row r="4778" ht="14.25" spans="1:8">
      <c r="A4778" s="3" t="str">
        <f>"21802315824"</f>
        <v>21802315824</v>
      </c>
      <c r="B4778" s="3">
        <v>3</v>
      </c>
      <c r="C4778" s="3">
        <v>158</v>
      </c>
      <c r="D4778" s="3">
        <v>24</v>
      </c>
      <c r="E4778" s="3" t="s">
        <v>11</v>
      </c>
      <c r="F4778" s="4">
        <v>89.5</v>
      </c>
      <c r="G4778" s="4"/>
      <c r="H4778" s="4">
        <f t="shared" si="487"/>
        <v>89.5</v>
      </c>
    </row>
    <row r="4779" ht="14.25" spans="1:8">
      <c r="A4779" s="3" t="str">
        <f>"21802315825"</f>
        <v>21802315825</v>
      </c>
      <c r="B4779" s="3">
        <v>3</v>
      </c>
      <c r="C4779" s="3">
        <v>158</v>
      </c>
      <c r="D4779" s="3">
        <v>25</v>
      </c>
      <c r="E4779" s="3" t="s">
        <v>11</v>
      </c>
      <c r="F4779" s="4">
        <v>63.5</v>
      </c>
      <c r="G4779" s="4"/>
      <c r="H4779" s="4">
        <f t="shared" si="487"/>
        <v>63.5</v>
      </c>
    </row>
    <row r="4780" ht="14.25" spans="1:8">
      <c r="A4780" s="3" t="str">
        <f>"21802315826"</f>
        <v>21802315826</v>
      </c>
      <c r="B4780" s="3">
        <v>3</v>
      </c>
      <c r="C4780" s="3">
        <v>158</v>
      </c>
      <c r="D4780" s="3">
        <v>26</v>
      </c>
      <c r="E4780" s="3" t="s">
        <v>11</v>
      </c>
      <c r="F4780" s="4">
        <v>59.5</v>
      </c>
      <c r="G4780" s="4"/>
      <c r="H4780" s="4">
        <f t="shared" si="487"/>
        <v>59.5</v>
      </c>
    </row>
    <row r="4781" ht="14.25" spans="1:8">
      <c r="A4781" s="3" t="str">
        <f>"21802315827"</f>
        <v>21802315827</v>
      </c>
      <c r="B4781" s="3">
        <v>3</v>
      </c>
      <c r="C4781" s="3">
        <v>158</v>
      </c>
      <c r="D4781" s="3">
        <v>27</v>
      </c>
      <c r="E4781" s="3" t="s">
        <v>11</v>
      </c>
      <c r="F4781" s="4">
        <v>70</v>
      </c>
      <c r="G4781" s="4"/>
      <c r="H4781" s="4">
        <f t="shared" si="487"/>
        <v>70</v>
      </c>
    </row>
    <row r="4782" ht="14.25" spans="1:8">
      <c r="A4782" s="3" t="str">
        <f>"21802315828"</f>
        <v>21802315828</v>
      </c>
      <c r="B4782" s="3">
        <v>3</v>
      </c>
      <c r="C4782" s="3">
        <v>158</v>
      </c>
      <c r="D4782" s="3">
        <v>28</v>
      </c>
      <c r="E4782" s="3" t="s">
        <v>11</v>
      </c>
      <c r="F4782" s="4">
        <v>55</v>
      </c>
      <c r="G4782" s="4"/>
      <c r="H4782" s="4">
        <f t="shared" si="487"/>
        <v>55</v>
      </c>
    </row>
    <row r="4783" ht="14.25" spans="1:8">
      <c r="A4783" s="3" t="str">
        <f>"21802315829"</f>
        <v>21802315829</v>
      </c>
      <c r="B4783" s="3">
        <v>3</v>
      </c>
      <c r="C4783" s="3">
        <v>158</v>
      </c>
      <c r="D4783" s="3">
        <v>29</v>
      </c>
      <c r="E4783" s="3" t="s">
        <v>11</v>
      </c>
      <c r="F4783" s="4">
        <v>59</v>
      </c>
      <c r="G4783" s="4"/>
      <c r="H4783" s="4">
        <f t="shared" si="487"/>
        <v>59</v>
      </c>
    </row>
    <row r="4784" ht="14.25" spans="1:8">
      <c r="A4784" s="3" t="str">
        <f>"21802315830"</f>
        <v>21802315830</v>
      </c>
      <c r="B4784" s="3">
        <v>3</v>
      </c>
      <c r="C4784" s="3">
        <v>158</v>
      </c>
      <c r="D4784" s="3">
        <v>30</v>
      </c>
      <c r="E4784" s="3" t="s">
        <v>11</v>
      </c>
      <c r="F4784" s="3">
        <v>0</v>
      </c>
      <c r="G4784" s="4"/>
      <c r="H4784" s="3">
        <v>0</v>
      </c>
    </row>
    <row r="4785" ht="14.25" spans="1:8">
      <c r="A4785" s="3" t="str">
        <f>"21802315901"</f>
        <v>21802315901</v>
      </c>
      <c r="B4785" s="3">
        <v>3</v>
      </c>
      <c r="C4785" s="3">
        <v>159</v>
      </c>
      <c r="D4785" s="3">
        <v>1</v>
      </c>
      <c r="E4785" s="3" t="s">
        <v>11</v>
      </c>
      <c r="F4785" s="3">
        <v>0</v>
      </c>
      <c r="G4785" s="4"/>
      <c r="H4785" s="3">
        <v>0</v>
      </c>
    </row>
    <row r="4786" ht="14.25" spans="1:8">
      <c r="A4786" s="3" t="str">
        <f>"21802315902"</f>
        <v>21802315902</v>
      </c>
      <c r="B4786" s="3">
        <v>3</v>
      </c>
      <c r="C4786" s="3">
        <v>159</v>
      </c>
      <c r="D4786" s="3">
        <v>2</v>
      </c>
      <c r="E4786" s="3" t="s">
        <v>11</v>
      </c>
      <c r="F4786" s="3">
        <v>0</v>
      </c>
      <c r="G4786" s="4"/>
      <c r="H4786" s="3">
        <v>0</v>
      </c>
    </row>
    <row r="4787" ht="14.25" spans="1:8">
      <c r="A4787" s="3" t="str">
        <f>"21802315903"</f>
        <v>21802315903</v>
      </c>
      <c r="B4787" s="3">
        <v>3</v>
      </c>
      <c r="C4787" s="3">
        <v>159</v>
      </c>
      <c r="D4787" s="3">
        <v>3</v>
      </c>
      <c r="E4787" s="3" t="s">
        <v>11</v>
      </c>
      <c r="F4787" s="4">
        <v>77.5</v>
      </c>
      <c r="G4787" s="4"/>
      <c r="H4787" s="4">
        <f t="shared" ref="H4787:H4799" si="488">F4787+G4787</f>
        <v>77.5</v>
      </c>
    </row>
    <row r="4788" ht="14.25" spans="1:8">
      <c r="A4788" s="3" t="str">
        <f>"21803315904"</f>
        <v>21803315904</v>
      </c>
      <c r="B4788" s="3">
        <v>3</v>
      </c>
      <c r="C4788" s="3">
        <v>159</v>
      </c>
      <c r="D4788" s="3">
        <v>4</v>
      </c>
      <c r="E4788" s="3" t="s">
        <v>11</v>
      </c>
      <c r="F4788" s="4">
        <v>78.5</v>
      </c>
      <c r="G4788" s="4"/>
      <c r="H4788" s="4">
        <f t="shared" si="488"/>
        <v>78.5</v>
      </c>
    </row>
    <row r="4789" ht="14.25" spans="1:8">
      <c r="A4789" s="3" t="str">
        <f>"21803315905"</f>
        <v>21803315905</v>
      </c>
      <c r="B4789" s="3">
        <v>3</v>
      </c>
      <c r="C4789" s="3">
        <v>159</v>
      </c>
      <c r="D4789" s="3">
        <v>5</v>
      </c>
      <c r="E4789" s="3" t="s">
        <v>11</v>
      </c>
      <c r="F4789" s="4">
        <v>74.5</v>
      </c>
      <c r="G4789" s="4"/>
      <c r="H4789" s="4">
        <f t="shared" si="488"/>
        <v>74.5</v>
      </c>
    </row>
    <row r="4790" ht="14.25" spans="1:8">
      <c r="A4790" s="3" t="str">
        <f>"21803315906"</f>
        <v>21803315906</v>
      </c>
      <c r="B4790" s="3">
        <v>3</v>
      </c>
      <c r="C4790" s="3">
        <v>159</v>
      </c>
      <c r="D4790" s="3">
        <v>6</v>
      </c>
      <c r="E4790" s="3" t="s">
        <v>11</v>
      </c>
      <c r="F4790" s="4">
        <v>82</v>
      </c>
      <c r="G4790" s="4"/>
      <c r="H4790" s="4">
        <f t="shared" si="488"/>
        <v>82</v>
      </c>
    </row>
    <row r="4791" ht="14.25" spans="1:8">
      <c r="A4791" s="3" t="str">
        <f>"21803315907"</f>
        <v>21803315907</v>
      </c>
      <c r="B4791" s="3">
        <v>3</v>
      </c>
      <c r="C4791" s="3">
        <v>159</v>
      </c>
      <c r="D4791" s="3">
        <v>7</v>
      </c>
      <c r="E4791" s="3" t="s">
        <v>11</v>
      </c>
      <c r="F4791" s="4">
        <v>69</v>
      </c>
      <c r="G4791" s="4"/>
      <c r="H4791" s="4">
        <f t="shared" si="488"/>
        <v>69</v>
      </c>
    </row>
    <row r="4792" ht="14.25" spans="1:8">
      <c r="A4792" s="3" t="str">
        <f>"21803315908"</f>
        <v>21803315908</v>
      </c>
      <c r="B4792" s="3">
        <v>3</v>
      </c>
      <c r="C4792" s="3">
        <v>159</v>
      </c>
      <c r="D4792" s="3">
        <v>8</v>
      </c>
      <c r="E4792" s="3" t="s">
        <v>11</v>
      </c>
      <c r="F4792" s="4">
        <v>83.5</v>
      </c>
      <c r="G4792" s="4"/>
      <c r="H4792" s="4">
        <f t="shared" si="488"/>
        <v>83.5</v>
      </c>
    </row>
    <row r="4793" ht="14.25" spans="1:8">
      <c r="A4793" s="3" t="str">
        <f>"21803315909"</f>
        <v>21803315909</v>
      </c>
      <c r="B4793" s="3">
        <v>3</v>
      </c>
      <c r="C4793" s="3">
        <v>159</v>
      </c>
      <c r="D4793" s="3">
        <v>9</v>
      </c>
      <c r="E4793" s="3" t="s">
        <v>11</v>
      </c>
      <c r="F4793" s="4">
        <v>63.5</v>
      </c>
      <c r="G4793" s="4"/>
      <c r="H4793" s="4">
        <f t="shared" si="488"/>
        <v>63.5</v>
      </c>
    </row>
    <row r="4794" ht="14.25" spans="1:8">
      <c r="A4794" s="3" t="str">
        <f>"21803315910"</f>
        <v>21803315910</v>
      </c>
      <c r="B4794" s="3">
        <v>3</v>
      </c>
      <c r="C4794" s="3">
        <v>159</v>
      </c>
      <c r="D4794" s="3">
        <v>10</v>
      </c>
      <c r="E4794" s="3" t="s">
        <v>11</v>
      </c>
      <c r="F4794" s="4">
        <v>67.5</v>
      </c>
      <c r="G4794" s="4"/>
      <c r="H4794" s="4">
        <f t="shared" si="488"/>
        <v>67.5</v>
      </c>
    </row>
    <row r="4795" ht="14.25" spans="1:8">
      <c r="A4795" s="3" t="str">
        <f>"21803315911"</f>
        <v>21803315911</v>
      </c>
      <c r="B4795" s="3">
        <v>3</v>
      </c>
      <c r="C4795" s="3">
        <v>159</v>
      </c>
      <c r="D4795" s="3">
        <v>11</v>
      </c>
      <c r="E4795" s="3" t="s">
        <v>11</v>
      </c>
      <c r="F4795" s="4">
        <v>77</v>
      </c>
      <c r="G4795" s="4"/>
      <c r="H4795" s="4">
        <f t="shared" si="488"/>
        <v>77</v>
      </c>
    </row>
    <row r="4796" ht="14.25" spans="1:8">
      <c r="A4796" s="3" t="str">
        <f>"21803315912"</f>
        <v>21803315912</v>
      </c>
      <c r="B4796" s="3">
        <v>3</v>
      </c>
      <c r="C4796" s="3">
        <v>159</v>
      </c>
      <c r="D4796" s="3">
        <v>12</v>
      </c>
      <c r="E4796" s="3" t="s">
        <v>11</v>
      </c>
      <c r="F4796" s="4">
        <v>45.5</v>
      </c>
      <c r="G4796" s="4"/>
      <c r="H4796" s="4">
        <f t="shared" si="488"/>
        <v>45.5</v>
      </c>
    </row>
    <row r="4797" ht="14.25" spans="1:8">
      <c r="A4797" s="3" t="str">
        <f>"21803315913"</f>
        <v>21803315913</v>
      </c>
      <c r="B4797" s="3">
        <v>3</v>
      </c>
      <c r="C4797" s="3">
        <v>159</v>
      </c>
      <c r="D4797" s="3">
        <v>13</v>
      </c>
      <c r="E4797" s="3" t="s">
        <v>11</v>
      </c>
      <c r="F4797" s="4">
        <v>73.5</v>
      </c>
      <c r="G4797" s="4"/>
      <c r="H4797" s="4">
        <f t="shared" si="488"/>
        <v>73.5</v>
      </c>
    </row>
    <row r="4798" ht="14.25" spans="1:8">
      <c r="A4798" s="3" t="str">
        <f>"21803315914"</f>
        <v>21803315914</v>
      </c>
      <c r="B4798" s="3">
        <v>3</v>
      </c>
      <c r="C4798" s="3">
        <v>159</v>
      </c>
      <c r="D4798" s="3">
        <v>14</v>
      </c>
      <c r="E4798" s="3" t="s">
        <v>11</v>
      </c>
      <c r="F4798" s="4">
        <v>73.5</v>
      </c>
      <c r="G4798" s="4"/>
      <c r="H4798" s="4">
        <f t="shared" si="488"/>
        <v>73.5</v>
      </c>
    </row>
    <row r="4799" ht="14.25" spans="1:8">
      <c r="A4799" s="3" t="str">
        <f>"21803315915"</f>
        <v>21803315915</v>
      </c>
      <c r="B4799" s="3">
        <v>3</v>
      </c>
      <c r="C4799" s="3">
        <v>159</v>
      </c>
      <c r="D4799" s="3">
        <v>15</v>
      </c>
      <c r="E4799" s="3" t="s">
        <v>11</v>
      </c>
      <c r="F4799" s="4">
        <v>72</v>
      </c>
      <c r="G4799" s="4"/>
      <c r="H4799" s="4">
        <f t="shared" si="488"/>
        <v>72</v>
      </c>
    </row>
    <row r="4800" ht="14.25" spans="1:8">
      <c r="A4800" s="3" t="str">
        <f>"21803315916"</f>
        <v>21803315916</v>
      </c>
      <c r="B4800" s="3">
        <v>3</v>
      </c>
      <c r="C4800" s="3">
        <v>159</v>
      </c>
      <c r="D4800" s="3">
        <v>16</v>
      </c>
      <c r="E4800" s="3" t="s">
        <v>11</v>
      </c>
      <c r="F4800" s="3">
        <v>0</v>
      </c>
      <c r="G4800" s="4"/>
      <c r="H4800" s="3">
        <v>0</v>
      </c>
    </row>
    <row r="4801" ht="14.25" spans="1:8">
      <c r="A4801" s="3" t="str">
        <f>"21803315917"</f>
        <v>21803315917</v>
      </c>
      <c r="B4801" s="3">
        <v>3</v>
      </c>
      <c r="C4801" s="3">
        <v>159</v>
      </c>
      <c r="D4801" s="3">
        <v>17</v>
      </c>
      <c r="E4801" s="3" t="s">
        <v>11</v>
      </c>
      <c r="F4801" s="4">
        <v>41.5</v>
      </c>
      <c r="G4801" s="4"/>
      <c r="H4801" s="4">
        <f t="shared" ref="H4801:H4804" si="489">F4801+G4801</f>
        <v>41.5</v>
      </c>
    </row>
    <row r="4802" ht="14.25" spans="1:8">
      <c r="A4802" s="3" t="str">
        <f>"21901315918"</f>
        <v>21901315918</v>
      </c>
      <c r="B4802" s="3">
        <v>3</v>
      </c>
      <c r="C4802" s="3">
        <v>159</v>
      </c>
      <c r="D4802" s="3">
        <v>18</v>
      </c>
      <c r="E4802" s="3" t="s">
        <v>11</v>
      </c>
      <c r="F4802" s="4">
        <v>76</v>
      </c>
      <c r="G4802" s="4"/>
      <c r="H4802" s="4">
        <f t="shared" si="489"/>
        <v>76</v>
      </c>
    </row>
    <row r="4803" ht="14.25" spans="1:8">
      <c r="A4803" s="3" t="str">
        <f>"21901315919"</f>
        <v>21901315919</v>
      </c>
      <c r="B4803" s="3">
        <v>3</v>
      </c>
      <c r="C4803" s="3">
        <v>159</v>
      </c>
      <c r="D4803" s="3">
        <v>19</v>
      </c>
      <c r="E4803" s="3" t="s">
        <v>11</v>
      </c>
      <c r="F4803" s="4">
        <v>61</v>
      </c>
      <c r="G4803" s="4"/>
      <c r="H4803" s="4">
        <f t="shared" si="489"/>
        <v>61</v>
      </c>
    </row>
    <row r="4804" ht="14.25" spans="1:8">
      <c r="A4804" s="3" t="str">
        <f>"21901315920"</f>
        <v>21901315920</v>
      </c>
      <c r="B4804" s="3">
        <v>3</v>
      </c>
      <c r="C4804" s="3">
        <v>159</v>
      </c>
      <c r="D4804" s="3">
        <v>20</v>
      </c>
      <c r="E4804" s="3" t="s">
        <v>11</v>
      </c>
      <c r="F4804" s="4">
        <v>75.5</v>
      </c>
      <c r="G4804" s="4"/>
      <c r="H4804" s="4">
        <f t="shared" si="489"/>
        <v>75.5</v>
      </c>
    </row>
    <row r="4805" ht="14.25" spans="1:8">
      <c r="A4805" s="3" t="str">
        <f>"21901315921"</f>
        <v>21901315921</v>
      </c>
      <c r="B4805" s="3">
        <v>3</v>
      </c>
      <c r="C4805" s="3">
        <v>159</v>
      </c>
      <c r="D4805" s="3">
        <v>21</v>
      </c>
      <c r="E4805" s="3" t="s">
        <v>11</v>
      </c>
      <c r="F4805" s="3">
        <v>0</v>
      </c>
      <c r="G4805" s="4"/>
      <c r="H4805" s="3">
        <v>0</v>
      </c>
    </row>
    <row r="4806" ht="14.25" spans="1:8">
      <c r="A4806" s="3" t="str">
        <f>"21901315922"</f>
        <v>21901315922</v>
      </c>
      <c r="B4806" s="3">
        <v>3</v>
      </c>
      <c r="C4806" s="3">
        <v>159</v>
      </c>
      <c r="D4806" s="3">
        <v>22</v>
      </c>
      <c r="E4806" s="3" t="s">
        <v>11</v>
      </c>
      <c r="F4806" s="4">
        <v>86.5</v>
      </c>
      <c r="G4806" s="4"/>
      <c r="H4806" s="4">
        <f t="shared" ref="H4806:H4811" si="490">F4806+G4806</f>
        <v>86.5</v>
      </c>
    </row>
    <row r="4807" ht="14.25" spans="1:8">
      <c r="A4807" s="3" t="str">
        <f>"21901315923"</f>
        <v>21901315923</v>
      </c>
      <c r="B4807" s="3">
        <v>3</v>
      </c>
      <c r="C4807" s="3">
        <v>159</v>
      </c>
      <c r="D4807" s="3">
        <v>23</v>
      </c>
      <c r="E4807" s="3" t="s">
        <v>11</v>
      </c>
      <c r="F4807" s="4">
        <v>76.5</v>
      </c>
      <c r="G4807" s="4"/>
      <c r="H4807" s="4">
        <f t="shared" si="490"/>
        <v>76.5</v>
      </c>
    </row>
    <row r="4808" ht="14.25" spans="1:8">
      <c r="A4808" s="3" t="str">
        <f>"21901315924"</f>
        <v>21901315924</v>
      </c>
      <c r="B4808" s="3">
        <v>3</v>
      </c>
      <c r="C4808" s="3">
        <v>159</v>
      </c>
      <c r="D4808" s="3">
        <v>24</v>
      </c>
      <c r="E4808" s="3" t="s">
        <v>11</v>
      </c>
      <c r="F4808" s="4">
        <v>87.5</v>
      </c>
      <c r="G4808" s="4"/>
      <c r="H4808" s="4">
        <f t="shared" si="490"/>
        <v>87.5</v>
      </c>
    </row>
    <row r="4809" ht="14.25" spans="1:8">
      <c r="A4809" s="3" t="str">
        <f>"21901315925"</f>
        <v>21901315925</v>
      </c>
      <c r="B4809" s="3">
        <v>3</v>
      </c>
      <c r="C4809" s="3">
        <v>159</v>
      </c>
      <c r="D4809" s="3">
        <v>25</v>
      </c>
      <c r="E4809" s="3" t="s">
        <v>11</v>
      </c>
      <c r="F4809" s="4">
        <v>68</v>
      </c>
      <c r="G4809" s="4"/>
      <c r="H4809" s="4">
        <f t="shared" si="490"/>
        <v>68</v>
      </c>
    </row>
    <row r="4810" ht="14.25" spans="1:8">
      <c r="A4810" s="3" t="str">
        <f>"21901315926"</f>
        <v>21901315926</v>
      </c>
      <c r="B4810" s="3">
        <v>3</v>
      </c>
      <c r="C4810" s="3">
        <v>159</v>
      </c>
      <c r="D4810" s="3">
        <v>26</v>
      </c>
      <c r="E4810" s="3" t="s">
        <v>11</v>
      </c>
      <c r="F4810" s="4">
        <v>76.5</v>
      </c>
      <c r="G4810" s="4"/>
      <c r="H4810" s="4">
        <f t="shared" si="490"/>
        <v>76.5</v>
      </c>
    </row>
    <row r="4811" ht="14.25" spans="1:8">
      <c r="A4811" s="3" t="str">
        <f>"21901315927"</f>
        <v>21901315927</v>
      </c>
      <c r="B4811" s="3">
        <v>3</v>
      </c>
      <c r="C4811" s="3">
        <v>159</v>
      </c>
      <c r="D4811" s="3">
        <v>27</v>
      </c>
      <c r="E4811" s="3" t="s">
        <v>11</v>
      </c>
      <c r="F4811" s="4">
        <v>81.5</v>
      </c>
      <c r="G4811" s="4"/>
      <c r="H4811" s="4">
        <f t="shared" si="490"/>
        <v>81.5</v>
      </c>
    </row>
    <row r="4812" ht="14.25" spans="1:8">
      <c r="A4812" s="3" t="str">
        <f>"21901315928"</f>
        <v>21901315928</v>
      </c>
      <c r="B4812" s="3">
        <v>3</v>
      </c>
      <c r="C4812" s="3">
        <v>159</v>
      </c>
      <c r="D4812" s="3">
        <v>28</v>
      </c>
      <c r="E4812" s="3" t="s">
        <v>11</v>
      </c>
      <c r="F4812" s="3">
        <v>0</v>
      </c>
      <c r="G4812" s="4"/>
      <c r="H4812" s="3">
        <v>0</v>
      </c>
    </row>
    <row r="4813" ht="14.25" spans="1:8">
      <c r="A4813" s="3" t="str">
        <f>"21901315929"</f>
        <v>21901315929</v>
      </c>
      <c r="B4813" s="3">
        <v>3</v>
      </c>
      <c r="C4813" s="3">
        <v>159</v>
      </c>
      <c r="D4813" s="3">
        <v>29</v>
      </c>
      <c r="E4813" s="3" t="s">
        <v>11</v>
      </c>
      <c r="F4813" s="4">
        <v>55</v>
      </c>
      <c r="G4813" s="4"/>
      <c r="H4813" s="4">
        <f t="shared" ref="H4813:H4817" si="491">F4813+G4813</f>
        <v>55</v>
      </c>
    </row>
    <row r="4814" ht="14.25" spans="1:8">
      <c r="A4814" s="3" t="str">
        <f>"21901315930"</f>
        <v>21901315930</v>
      </c>
      <c r="B4814" s="3">
        <v>3</v>
      </c>
      <c r="C4814" s="3">
        <v>159</v>
      </c>
      <c r="D4814" s="3">
        <v>30</v>
      </c>
      <c r="E4814" s="3" t="s">
        <v>11</v>
      </c>
      <c r="F4814" s="4">
        <v>69.5</v>
      </c>
      <c r="G4814" s="4"/>
      <c r="H4814" s="4">
        <f t="shared" si="491"/>
        <v>69.5</v>
      </c>
    </row>
    <row r="4815" ht="14.25" spans="1:8">
      <c r="A4815" s="3" t="str">
        <f>"21901316001"</f>
        <v>21901316001</v>
      </c>
      <c r="B4815" s="3">
        <v>3</v>
      </c>
      <c r="C4815" s="3">
        <v>160</v>
      </c>
      <c r="D4815" s="3">
        <v>1</v>
      </c>
      <c r="E4815" s="3" t="s">
        <v>11</v>
      </c>
      <c r="F4815" s="3">
        <v>0</v>
      </c>
      <c r="G4815" s="4"/>
      <c r="H4815" s="3">
        <v>0</v>
      </c>
    </row>
    <row r="4816" ht="14.25" spans="1:8">
      <c r="A4816" s="3" t="str">
        <f>"21901316002"</f>
        <v>21901316002</v>
      </c>
      <c r="B4816" s="3">
        <v>3</v>
      </c>
      <c r="C4816" s="3">
        <v>160</v>
      </c>
      <c r="D4816" s="3">
        <v>2</v>
      </c>
      <c r="E4816" s="3" t="s">
        <v>11</v>
      </c>
      <c r="F4816" s="4">
        <v>79</v>
      </c>
      <c r="G4816" s="4"/>
      <c r="H4816" s="4">
        <f t="shared" si="491"/>
        <v>79</v>
      </c>
    </row>
    <row r="4817" ht="14.25" spans="1:8">
      <c r="A4817" s="3" t="str">
        <f>"21901316003"</f>
        <v>21901316003</v>
      </c>
      <c r="B4817" s="3">
        <v>3</v>
      </c>
      <c r="C4817" s="3">
        <v>160</v>
      </c>
      <c r="D4817" s="3">
        <v>3</v>
      </c>
      <c r="E4817" s="3" t="s">
        <v>11</v>
      </c>
      <c r="F4817" s="4">
        <v>53</v>
      </c>
      <c r="G4817" s="4"/>
      <c r="H4817" s="4">
        <f t="shared" si="491"/>
        <v>53</v>
      </c>
    </row>
    <row r="4818" ht="14.25" spans="1:8">
      <c r="A4818" s="3" t="str">
        <f>"21901316004"</f>
        <v>21901316004</v>
      </c>
      <c r="B4818" s="3">
        <v>3</v>
      </c>
      <c r="C4818" s="3">
        <v>160</v>
      </c>
      <c r="D4818" s="3">
        <v>4</v>
      </c>
      <c r="E4818" s="3" t="s">
        <v>11</v>
      </c>
      <c r="F4818" s="3">
        <v>0</v>
      </c>
      <c r="G4818" s="4"/>
      <c r="H4818" s="3">
        <v>0</v>
      </c>
    </row>
    <row r="4819" ht="14.25" spans="1:8">
      <c r="A4819" s="3" t="str">
        <f>"21901316005"</f>
        <v>21901316005</v>
      </c>
      <c r="B4819" s="3">
        <v>3</v>
      </c>
      <c r="C4819" s="3">
        <v>160</v>
      </c>
      <c r="D4819" s="3">
        <v>5</v>
      </c>
      <c r="E4819" s="3" t="s">
        <v>11</v>
      </c>
      <c r="F4819" s="4">
        <v>69.5</v>
      </c>
      <c r="G4819" s="4"/>
      <c r="H4819" s="4">
        <f t="shared" ref="H4819:H4825" si="492">F4819+G4819</f>
        <v>69.5</v>
      </c>
    </row>
    <row r="4820" ht="14.25" spans="1:8">
      <c r="A4820" s="3" t="str">
        <f>"21901316006"</f>
        <v>21901316006</v>
      </c>
      <c r="B4820" s="3">
        <v>3</v>
      </c>
      <c r="C4820" s="3">
        <v>160</v>
      </c>
      <c r="D4820" s="3">
        <v>6</v>
      </c>
      <c r="E4820" s="3" t="s">
        <v>11</v>
      </c>
      <c r="F4820" s="4">
        <v>78.5</v>
      </c>
      <c r="G4820" s="4"/>
      <c r="H4820" s="4">
        <f t="shared" si="492"/>
        <v>78.5</v>
      </c>
    </row>
    <row r="4821" ht="14.25" spans="1:8">
      <c r="A4821" s="3" t="str">
        <f>"21901316007"</f>
        <v>21901316007</v>
      </c>
      <c r="B4821" s="3">
        <v>3</v>
      </c>
      <c r="C4821" s="3">
        <v>160</v>
      </c>
      <c r="D4821" s="3">
        <v>7</v>
      </c>
      <c r="E4821" s="3" t="s">
        <v>11</v>
      </c>
      <c r="F4821" s="4">
        <v>81</v>
      </c>
      <c r="G4821" s="4"/>
      <c r="H4821" s="4">
        <f t="shared" si="492"/>
        <v>81</v>
      </c>
    </row>
    <row r="4822" ht="14.25" spans="1:8">
      <c r="A4822" s="3" t="str">
        <f>"21901316008"</f>
        <v>21901316008</v>
      </c>
      <c r="B4822" s="3">
        <v>3</v>
      </c>
      <c r="C4822" s="3">
        <v>160</v>
      </c>
      <c r="D4822" s="3">
        <v>8</v>
      </c>
      <c r="E4822" s="3" t="s">
        <v>11</v>
      </c>
      <c r="F4822" s="4">
        <v>87.5</v>
      </c>
      <c r="G4822" s="4"/>
      <c r="H4822" s="4">
        <f t="shared" si="492"/>
        <v>87.5</v>
      </c>
    </row>
    <row r="4823" ht="14.25" spans="1:8">
      <c r="A4823" s="3" t="str">
        <f>"21901316009"</f>
        <v>21901316009</v>
      </c>
      <c r="B4823" s="3">
        <v>3</v>
      </c>
      <c r="C4823" s="3">
        <v>160</v>
      </c>
      <c r="D4823" s="3">
        <v>9</v>
      </c>
      <c r="E4823" s="3" t="s">
        <v>11</v>
      </c>
      <c r="F4823" s="4">
        <v>75</v>
      </c>
      <c r="G4823" s="4"/>
      <c r="H4823" s="4">
        <f t="shared" si="492"/>
        <v>75</v>
      </c>
    </row>
    <row r="4824" ht="14.25" spans="1:8">
      <c r="A4824" s="3" t="str">
        <f>"21901316010"</f>
        <v>21901316010</v>
      </c>
      <c r="B4824" s="3">
        <v>3</v>
      </c>
      <c r="C4824" s="3">
        <v>160</v>
      </c>
      <c r="D4824" s="3">
        <v>10</v>
      </c>
      <c r="E4824" s="3" t="s">
        <v>11</v>
      </c>
      <c r="F4824" s="4">
        <v>57</v>
      </c>
      <c r="G4824" s="4"/>
      <c r="H4824" s="4">
        <f t="shared" si="492"/>
        <v>57</v>
      </c>
    </row>
    <row r="4825" ht="14.25" spans="1:8">
      <c r="A4825" s="3" t="str">
        <f>"21901316011"</f>
        <v>21901316011</v>
      </c>
      <c r="B4825" s="3">
        <v>3</v>
      </c>
      <c r="C4825" s="3">
        <v>160</v>
      </c>
      <c r="D4825" s="3">
        <v>11</v>
      </c>
      <c r="E4825" s="3" t="s">
        <v>11</v>
      </c>
      <c r="F4825" s="4">
        <v>70</v>
      </c>
      <c r="G4825" s="4"/>
      <c r="H4825" s="4">
        <f t="shared" si="492"/>
        <v>70</v>
      </c>
    </row>
    <row r="4826" ht="14.25" spans="1:8">
      <c r="A4826" s="3" t="str">
        <f>"21901316012"</f>
        <v>21901316012</v>
      </c>
      <c r="B4826" s="3">
        <v>3</v>
      </c>
      <c r="C4826" s="3">
        <v>160</v>
      </c>
      <c r="D4826" s="3">
        <v>12</v>
      </c>
      <c r="E4826" s="3" t="s">
        <v>11</v>
      </c>
      <c r="F4826" s="3">
        <v>0</v>
      </c>
      <c r="G4826" s="4"/>
      <c r="H4826" s="3">
        <v>0</v>
      </c>
    </row>
    <row r="4827" ht="14.25" spans="1:8">
      <c r="A4827" s="3" t="str">
        <f>"21901316013"</f>
        <v>21901316013</v>
      </c>
      <c r="B4827" s="3">
        <v>3</v>
      </c>
      <c r="C4827" s="3">
        <v>160</v>
      </c>
      <c r="D4827" s="3">
        <v>13</v>
      </c>
      <c r="E4827" s="3" t="s">
        <v>11</v>
      </c>
      <c r="F4827" s="4">
        <v>79</v>
      </c>
      <c r="G4827" s="4"/>
      <c r="H4827" s="4">
        <f t="shared" ref="H4827:H4829" si="493">F4827+G4827</f>
        <v>79</v>
      </c>
    </row>
    <row r="4828" ht="14.25" spans="1:8">
      <c r="A4828" s="3" t="str">
        <f>"21901316014"</f>
        <v>21901316014</v>
      </c>
      <c r="B4828" s="3">
        <v>3</v>
      </c>
      <c r="C4828" s="3">
        <v>160</v>
      </c>
      <c r="D4828" s="3">
        <v>14</v>
      </c>
      <c r="E4828" s="3" t="s">
        <v>11</v>
      </c>
      <c r="F4828" s="4">
        <v>70</v>
      </c>
      <c r="G4828" s="4"/>
      <c r="H4828" s="4">
        <f t="shared" si="493"/>
        <v>70</v>
      </c>
    </row>
    <row r="4829" ht="14.25" spans="1:8">
      <c r="A4829" s="3" t="str">
        <f>"21901316015"</f>
        <v>21901316015</v>
      </c>
      <c r="B4829" s="3">
        <v>3</v>
      </c>
      <c r="C4829" s="3">
        <v>160</v>
      </c>
      <c r="D4829" s="3">
        <v>15</v>
      </c>
      <c r="E4829" s="3" t="s">
        <v>11</v>
      </c>
      <c r="F4829" s="4">
        <v>83</v>
      </c>
      <c r="G4829" s="4"/>
      <c r="H4829" s="4">
        <f t="shared" si="493"/>
        <v>83</v>
      </c>
    </row>
    <row r="4830" ht="14.25" spans="1:8">
      <c r="A4830" s="3" t="str">
        <f>"21901316016"</f>
        <v>21901316016</v>
      </c>
      <c r="B4830" s="3">
        <v>3</v>
      </c>
      <c r="C4830" s="3">
        <v>160</v>
      </c>
      <c r="D4830" s="3">
        <v>16</v>
      </c>
      <c r="E4830" s="3" t="s">
        <v>11</v>
      </c>
      <c r="F4830" s="3">
        <v>0</v>
      </c>
      <c r="G4830" s="4"/>
      <c r="H4830" s="3">
        <v>0</v>
      </c>
    </row>
    <row r="4831" ht="14.25" spans="1:8">
      <c r="A4831" s="3" t="str">
        <f>"21901316017"</f>
        <v>21901316017</v>
      </c>
      <c r="B4831" s="3">
        <v>3</v>
      </c>
      <c r="C4831" s="3">
        <v>160</v>
      </c>
      <c r="D4831" s="3">
        <v>17</v>
      </c>
      <c r="E4831" s="3" t="s">
        <v>11</v>
      </c>
      <c r="F4831" s="4">
        <v>71</v>
      </c>
      <c r="G4831" s="4"/>
      <c r="H4831" s="4">
        <f t="shared" ref="H4831:H4835" si="494">F4831+G4831</f>
        <v>71</v>
      </c>
    </row>
    <row r="4832" ht="14.25" spans="1:8">
      <c r="A4832" s="3" t="str">
        <f>"21901316018"</f>
        <v>21901316018</v>
      </c>
      <c r="B4832" s="3">
        <v>3</v>
      </c>
      <c r="C4832" s="3">
        <v>160</v>
      </c>
      <c r="D4832" s="3">
        <v>18</v>
      </c>
      <c r="E4832" s="3" t="s">
        <v>11</v>
      </c>
      <c r="F4832" s="3">
        <v>0</v>
      </c>
      <c r="G4832" s="4"/>
      <c r="H4832" s="3">
        <v>0</v>
      </c>
    </row>
    <row r="4833" ht="14.25" spans="1:8">
      <c r="A4833" s="3" t="str">
        <f>"21901316019"</f>
        <v>21901316019</v>
      </c>
      <c r="B4833" s="3">
        <v>3</v>
      </c>
      <c r="C4833" s="3">
        <v>160</v>
      </c>
      <c r="D4833" s="3">
        <v>19</v>
      </c>
      <c r="E4833" s="3" t="s">
        <v>11</v>
      </c>
      <c r="F4833" s="4">
        <v>79</v>
      </c>
      <c r="G4833" s="4"/>
      <c r="H4833" s="4">
        <f t="shared" si="494"/>
        <v>79</v>
      </c>
    </row>
    <row r="4834" ht="14.25" spans="1:8">
      <c r="A4834" s="3" t="str">
        <f>"21901316020"</f>
        <v>21901316020</v>
      </c>
      <c r="B4834" s="3">
        <v>3</v>
      </c>
      <c r="C4834" s="3">
        <v>160</v>
      </c>
      <c r="D4834" s="3">
        <v>20</v>
      </c>
      <c r="E4834" s="3" t="s">
        <v>11</v>
      </c>
      <c r="F4834" s="3">
        <v>0</v>
      </c>
      <c r="G4834" s="4"/>
      <c r="H4834" s="3">
        <v>0</v>
      </c>
    </row>
    <row r="4835" ht="14.25" spans="1:8">
      <c r="A4835" s="3" t="str">
        <f>"21901316021"</f>
        <v>21901316021</v>
      </c>
      <c r="B4835" s="3">
        <v>3</v>
      </c>
      <c r="C4835" s="3">
        <v>160</v>
      </c>
      <c r="D4835" s="3">
        <v>21</v>
      </c>
      <c r="E4835" s="3" t="s">
        <v>11</v>
      </c>
      <c r="F4835" s="4">
        <v>79</v>
      </c>
      <c r="G4835" s="4"/>
      <c r="H4835" s="4">
        <f t="shared" si="494"/>
        <v>79</v>
      </c>
    </row>
    <row r="4836" ht="14.25" spans="1:8">
      <c r="A4836" s="3" t="str">
        <f>"21901316022"</f>
        <v>21901316022</v>
      </c>
      <c r="B4836" s="3">
        <v>3</v>
      </c>
      <c r="C4836" s="3">
        <v>160</v>
      </c>
      <c r="D4836" s="3">
        <v>22</v>
      </c>
      <c r="E4836" s="3" t="s">
        <v>11</v>
      </c>
      <c r="F4836" s="3">
        <v>0</v>
      </c>
      <c r="G4836" s="4"/>
      <c r="H4836" s="3">
        <v>0</v>
      </c>
    </row>
    <row r="4837" ht="14.25" spans="1:8">
      <c r="A4837" s="3" t="str">
        <f>"21901316023"</f>
        <v>21901316023</v>
      </c>
      <c r="B4837" s="3">
        <v>3</v>
      </c>
      <c r="C4837" s="3">
        <v>160</v>
      </c>
      <c r="D4837" s="3">
        <v>23</v>
      </c>
      <c r="E4837" s="3" t="s">
        <v>11</v>
      </c>
      <c r="F4837" s="4">
        <v>76.5</v>
      </c>
      <c r="G4837" s="4"/>
      <c r="H4837" s="4">
        <f t="shared" ref="H4837:H4839" si="495">F4837+G4837</f>
        <v>76.5</v>
      </c>
    </row>
    <row r="4838" ht="14.25" spans="1:8">
      <c r="A4838" s="3" t="str">
        <f>"21901316024"</f>
        <v>21901316024</v>
      </c>
      <c r="B4838" s="3">
        <v>3</v>
      </c>
      <c r="C4838" s="3">
        <v>160</v>
      </c>
      <c r="D4838" s="3">
        <v>24</v>
      </c>
      <c r="E4838" s="3" t="s">
        <v>11</v>
      </c>
      <c r="F4838" s="4">
        <v>82.5</v>
      </c>
      <c r="G4838" s="4"/>
      <c r="H4838" s="4">
        <f t="shared" si="495"/>
        <v>82.5</v>
      </c>
    </row>
    <row r="4839" ht="14.25" spans="1:8">
      <c r="A4839" s="3" t="str">
        <f>"21901316025"</f>
        <v>21901316025</v>
      </c>
      <c r="B4839" s="3">
        <v>3</v>
      </c>
      <c r="C4839" s="3">
        <v>160</v>
      </c>
      <c r="D4839" s="3">
        <v>25</v>
      </c>
      <c r="E4839" s="3" t="s">
        <v>11</v>
      </c>
      <c r="F4839" s="4">
        <v>78.5</v>
      </c>
      <c r="G4839" s="4"/>
      <c r="H4839" s="4">
        <f t="shared" si="495"/>
        <v>78.5</v>
      </c>
    </row>
    <row r="4840" ht="14.25" spans="1:8">
      <c r="A4840" s="3" t="str">
        <f>"21901316026"</f>
        <v>21901316026</v>
      </c>
      <c r="B4840" s="3">
        <v>3</v>
      </c>
      <c r="C4840" s="3">
        <v>160</v>
      </c>
      <c r="D4840" s="3">
        <v>26</v>
      </c>
      <c r="E4840" s="3" t="s">
        <v>11</v>
      </c>
      <c r="F4840" s="3">
        <v>0</v>
      </c>
      <c r="G4840" s="4"/>
      <c r="H4840" s="3">
        <v>0</v>
      </c>
    </row>
    <row r="4841" ht="14.25" spans="1:8">
      <c r="A4841" s="3" t="str">
        <f>"21901316027"</f>
        <v>21901316027</v>
      </c>
      <c r="B4841" s="3">
        <v>3</v>
      </c>
      <c r="C4841" s="3">
        <v>160</v>
      </c>
      <c r="D4841" s="3">
        <v>27</v>
      </c>
      <c r="E4841" s="3" t="s">
        <v>11</v>
      </c>
      <c r="F4841" s="4">
        <v>64</v>
      </c>
      <c r="G4841" s="4"/>
      <c r="H4841" s="4">
        <f t="shared" ref="H4841:H4845" si="496">F4841+G4841</f>
        <v>64</v>
      </c>
    </row>
    <row r="4842" ht="14.25" spans="1:8">
      <c r="A4842" s="3" t="str">
        <f>"21901316028"</f>
        <v>21901316028</v>
      </c>
      <c r="B4842" s="3">
        <v>3</v>
      </c>
      <c r="C4842" s="3">
        <v>160</v>
      </c>
      <c r="D4842" s="3">
        <v>28</v>
      </c>
      <c r="E4842" s="3" t="s">
        <v>11</v>
      </c>
      <c r="F4842" s="4">
        <v>63.5</v>
      </c>
      <c r="G4842" s="4"/>
      <c r="H4842" s="4">
        <f t="shared" si="496"/>
        <v>63.5</v>
      </c>
    </row>
    <row r="4843" ht="14.25" spans="1:8">
      <c r="A4843" s="3" t="str">
        <f>"21901316029"</f>
        <v>21901316029</v>
      </c>
      <c r="B4843" s="3">
        <v>3</v>
      </c>
      <c r="C4843" s="3">
        <v>160</v>
      </c>
      <c r="D4843" s="3">
        <v>29</v>
      </c>
      <c r="E4843" s="3" t="s">
        <v>11</v>
      </c>
      <c r="F4843" s="3">
        <v>0</v>
      </c>
      <c r="G4843" s="4"/>
      <c r="H4843" s="3">
        <v>0</v>
      </c>
    </row>
    <row r="4844" ht="14.25" spans="1:8">
      <c r="A4844" s="3" t="str">
        <f>"21901316030"</f>
        <v>21901316030</v>
      </c>
      <c r="B4844" s="3">
        <v>3</v>
      </c>
      <c r="C4844" s="3">
        <v>160</v>
      </c>
      <c r="D4844" s="3">
        <v>30</v>
      </c>
      <c r="E4844" s="3" t="s">
        <v>11</v>
      </c>
      <c r="F4844" s="4">
        <v>58</v>
      </c>
      <c r="G4844" s="4"/>
      <c r="H4844" s="4">
        <f t="shared" si="496"/>
        <v>58</v>
      </c>
    </row>
    <row r="4845" ht="14.25" spans="1:8">
      <c r="A4845" s="3" t="str">
        <f>"21901416101"</f>
        <v>21901416101</v>
      </c>
      <c r="B4845" s="3">
        <v>4</v>
      </c>
      <c r="C4845" s="3">
        <v>161</v>
      </c>
      <c r="D4845" s="3">
        <v>1</v>
      </c>
      <c r="E4845" s="3" t="s">
        <v>12</v>
      </c>
      <c r="F4845" s="4">
        <v>73</v>
      </c>
      <c r="G4845" s="4"/>
      <c r="H4845" s="4">
        <f t="shared" si="496"/>
        <v>73</v>
      </c>
    </row>
    <row r="4846" ht="14.25" spans="1:8">
      <c r="A4846" s="3" t="str">
        <f>"21901416102"</f>
        <v>21901416102</v>
      </c>
      <c r="B4846" s="3">
        <v>4</v>
      </c>
      <c r="C4846" s="3">
        <v>161</v>
      </c>
      <c r="D4846" s="3">
        <v>2</v>
      </c>
      <c r="E4846" s="3" t="s">
        <v>12</v>
      </c>
      <c r="F4846" s="3">
        <v>0</v>
      </c>
      <c r="G4846" s="4"/>
      <c r="H4846" s="3">
        <v>0</v>
      </c>
    </row>
    <row r="4847" ht="14.25" spans="1:8">
      <c r="A4847" s="3" t="str">
        <f>"21901416103"</f>
        <v>21901416103</v>
      </c>
      <c r="B4847" s="3">
        <v>4</v>
      </c>
      <c r="C4847" s="3">
        <v>161</v>
      </c>
      <c r="D4847" s="3">
        <v>3</v>
      </c>
      <c r="E4847" s="3" t="s">
        <v>12</v>
      </c>
      <c r="F4847" s="4">
        <v>79.5</v>
      </c>
      <c r="G4847" s="4"/>
      <c r="H4847" s="4">
        <f t="shared" ref="H4847:H4853" si="497">F4847+G4847</f>
        <v>79.5</v>
      </c>
    </row>
    <row r="4848" ht="14.25" spans="1:8">
      <c r="A4848" s="3" t="str">
        <f>"21901416104"</f>
        <v>21901416104</v>
      </c>
      <c r="B4848" s="3">
        <v>4</v>
      </c>
      <c r="C4848" s="3">
        <v>161</v>
      </c>
      <c r="D4848" s="3">
        <v>4</v>
      </c>
      <c r="E4848" s="3" t="s">
        <v>12</v>
      </c>
      <c r="F4848" s="4">
        <v>85</v>
      </c>
      <c r="G4848" s="4"/>
      <c r="H4848" s="4">
        <f t="shared" si="497"/>
        <v>85</v>
      </c>
    </row>
    <row r="4849" ht="14.25" spans="1:8">
      <c r="A4849" s="3" t="str">
        <f>"21901416105"</f>
        <v>21901416105</v>
      </c>
      <c r="B4849" s="3">
        <v>4</v>
      </c>
      <c r="C4849" s="3">
        <v>161</v>
      </c>
      <c r="D4849" s="3">
        <v>5</v>
      </c>
      <c r="E4849" s="3" t="s">
        <v>12</v>
      </c>
      <c r="F4849" s="4">
        <v>73</v>
      </c>
      <c r="G4849" s="4"/>
      <c r="H4849" s="4">
        <f t="shared" si="497"/>
        <v>73</v>
      </c>
    </row>
    <row r="4850" ht="14.25" spans="1:8">
      <c r="A4850" s="3" t="str">
        <f>"21901416106"</f>
        <v>21901416106</v>
      </c>
      <c r="B4850" s="3">
        <v>4</v>
      </c>
      <c r="C4850" s="3">
        <v>161</v>
      </c>
      <c r="D4850" s="3">
        <v>6</v>
      </c>
      <c r="E4850" s="3" t="s">
        <v>12</v>
      </c>
      <c r="F4850" s="4">
        <v>54.5</v>
      </c>
      <c r="G4850" s="4"/>
      <c r="H4850" s="4">
        <f t="shared" si="497"/>
        <v>54.5</v>
      </c>
    </row>
    <row r="4851" ht="14.25" spans="1:8">
      <c r="A4851" s="3" t="str">
        <f>"21901416107"</f>
        <v>21901416107</v>
      </c>
      <c r="B4851" s="3">
        <v>4</v>
      </c>
      <c r="C4851" s="3">
        <v>161</v>
      </c>
      <c r="D4851" s="3">
        <v>7</v>
      </c>
      <c r="E4851" s="3" t="s">
        <v>12</v>
      </c>
      <c r="F4851" s="4">
        <v>72.5</v>
      </c>
      <c r="G4851" s="4"/>
      <c r="H4851" s="4">
        <f t="shared" si="497"/>
        <v>72.5</v>
      </c>
    </row>
    <row r="4852" ht="14.25" spans="1:8">
      <c r="A4852" s="3" t="str">
        <f>"21902416108"</f>
        <v>21902416108</v>
      </c>
      <c r="B4852" s="3">
        <v>4</v>
      </c>
      <c r="C4852" s="3">
        <v>161</v>
      </c>
      <c r="D4852" s="3">
        <v>8</v>
      </c>
      <c r="E4852" s="3" t="s">
        <v>12</v>
      </c>
      <c r="F4852" s="4">
        <v>83</v>
      </c>
      <c r="G4852" s="4"/>
      <c r="H4852" s="4">
        <f t="shared" si="497"/>
        <v>83</v>
      </c>
    </row>
    <row r="4853" ht="14.25" spans="1:8">
      <c r="A4853" s="3" t="str">
        <f>"21902416109"</f>
        <v>21902416109</v>
      </c>
      <c r="B4853" s="3">
        <v>4</v>
      </c>
      <c r="C4853" s="3">
        <v>161</v>
      </c>
      <c r="D4853" s="3">
        <v>9</v>
      </c>
      <c r="E4853" s="3" t="s">
        <v>12</v>
      </c>
      <c r="F4853" s="4">
        <v>63.5</v>
      </c>
      <c r="G4853" s="4"/>
      <c r="H4853" s="4">
        <f t="shared" si="497"/>
        <v>63.5</v>
      </c>
    </row>
    <row r="4854" ht="14.25" spans="1:8">
      <c r="A4854" s="3" t="str">
        <f>"21902416110"</f>
        <v>21902416110</v>
      </c>
      <c r="B4854" s="3">
        <v>4</v>
      </c>
      <c r="C4854" s="3">
        <v>161</v>
      </c>
      <c r="D4854" s="3">
        <v>10</v>
      </c>
      <c r="E4854" s="3" t="s">
        <v>12</v>
      </c>
      <c r="F4854" s="3">
        <v>0</v>
      </c>
      <c r="G4854" s="4"/>
      <c r="H4854" s="3">
        <v>0</v>
      </c>
    </row>
    <row r="4855" ht="14.25" spans="1:8">
      <c r="A4855" s="3" t="str">
        <f>"21902416111"</f>
        <v>21902416111</v>
      </c>
      <c r="B4855" s="3">
        <v>4</v>
      </c>
      <c r="C4855" s="3">
        <v>161</v>
      </c>
      <c r="D4855" s="3">
        <v>11</v>
      </c>
      <c r="E4855" s="3" t="s">
        <v>12</v>
      </c>
      <c r="F4855" s="4">
        <v>66.5</v>
      </c>
      <c r="G4855" s="4"/>
      <c r="H4855" s="4">
        <f t="shared" ref="H4855:H4860" si="498">F4855+G4855</f>
        <v>66.5</v>
      </c>
    </row>
    <row r="4856" ht="14.25" spans="1:8">
      <c r="A4856" s="3" t="str">
        <f>"21902416112"</f>
        <v>21902416112</v>
      </c>
      <c r="B4856" s="3">
        <v>4</v>
      </c>
      <c r="C4856" s="3">
        <v>161</v>
      </c>
      <c r="D4856" s="3">
        <v>12</v>
      </c>
      <c r="E4856" s="3" t="s">
        <v>12</v>
      </c>
      <c r="F4856" s="4">
        <v>76</v>
      </c>
      <c r="G4856" s="4"/>
      <c r="H4856" s="4">
        <f t="shared" si="498"/>
        <v>76</v>
      </c>
    </row>
    <row r="4857" ht="14.25" spans="1:8">
      <c r="A4857" s="3" t="str">
        <f>"21902416113"</f>
        <v>21902416113</v>
      </c>
      <c r="B4857" s="3">
        <v>4</v>
      </c>
      <c r="C4857" s="3">
        <v>161</v>
      </c>
      <c r="D4857" s="3">
        <v>13</v>
      </c>
      <c r="E4857" s="3" t="s">
        <v>12</v>
      </c>
      <c r="F4857" s="3">
        <v>0</v>
      </c>
      <c r="G4857" s="4"/>
      <c r="H4857" s="3">
        <v>0</v>
      </c>
    </row>
    <row r="4858" ht="14.25" spans="1:8">
      <c r="A4858" s="3" t="str">
        <f>"21902416114"</f>
        <v>21902416114</v>
      </c>
      <c r="B4858" s="3">
        <v>4</v>
      </c>
      <c r="C4858" s="3">
        <v>161</v>
      </c>
      <c r="D4858" s="3">
        <v>14</v>
      </c>
      <c r="E4858" s="3" t="s">
        <v>12</v>
      </c>
      <c r="F4858" s="3">
        <v>0</v>
      </c>
      <c r="G4858" s="4"/>
      <c r="H4858" s="3">
        <v>0</v>
      </c>
    </row>
    <row r="4859" ht="14.25" spans="1:8">
      <c r="A4859" s="3" t="str">
        <f>"21902416115"</f>
        <v>21902416115</v>
      </c>
      <c r="B4859" s="3">
        <v>4</v>
      </c>
      <c r="C4859" s="3">
        <v>161</v>
      </c>
      <c r="D4859" s="3">
        <v>15</v>
      </c>
      <c r="E4859" s="3" t="s">
        <v>12</v>
      </c>
      <c r="F4859" s="4">
        <v>57.5</v>
      </c>
      <c r="G4859" s="4"/>
      <c r="H4859" s="4">
        <f t="shared" si="498"/>
        <v>57.5</v>
      </c>
    </row>
    <row r="4860" ht="14.25" spans="1:8">
      <c r="A4860" s="3" t="str">
        <f>"21902416116"</f>
        <v>21902416116</v>
      </c>
      <c r="B4860" s="3">
        <v>4</v>
      </c>
      <c r="C4860" s="3">
        <v>161</v>
      </c>
      <c r="D4860" s="3">
        <v>16</v>
      </c>
      <c r="E4860" s="3" t="s">
        <v>12</v>
      </c>
      <c r="F4860" s="4">
        <v>73</v>
      </c>
      <c r="G4860" s="4"/>
      <c r="H4860" s="4">
        <f t="shared" si="498"/>
        <v>73</v>
      </c>
    </row>
    <row r="4861" ht="14.25" spans="1:8">
      <c r="A4861" s="3" t="str">
        <f>"21902416117"</f>
        <v>21902416117</v>
      </c>
      <c r="B4861" s="3">
        <v>4</v>
      </c>
      <c r="C4861" s="3">
        <v>161</v>
      </c>
      <c r="D4861" s="3">
        <v>17</v>
      </c>
      <c r="E4861" s="3" t="s">
        <v>12</v>
      </c>
      <c r="F4861" s="3">
        <v>0</v>
      </c>
      <c r="G4861" s="4"/>
      <c r="H4861" s="3">
        <v>0</v>
      </c>
    </row>
    <row r="4862" ht="14.25" spans="1:8">
      <c r="A4862" s="3" t="str">
        <f>"21902416118"</f>
        <v>21902416118</v>
      </c>
      <c r="B4862" s="3">
        <v>4</v>
      </c>
      <c r="C4862" s="3">
        <v>161</v>
      </c>
      <c r="D4862" s="3">
        <v>18</v>
      </c>
      <c r="E4862" s="3" t="s">
        <v>12</v>
      </c>
      <c r="F4862" s="4">
        <v>82.5</v>
      </c>
      <c r="G4862" s="4"/>
      <c r="H4862" s="4">
        <f t="shared" ref="H4862:H4865" si="499">F4862+G4862</f>
        <v>82.5</v>
      </c>
    </row>
    <row r="4863" ht="14.25" spans="1:8">
      <c r="A4863" s="3" t="str">
        <f>"21902416119"</f>
        <v>21902416119</v>
      </c>
      <c r="B4863" s="3">
        <v>4</v>
      </c>
      <c r="C4863" s="3">
        <v>161</v>
      </c>
      <c r="D4863" s="3">
        <v>19</v>
      </c>
      <c r="E4863" s="3" t="s">
        <v>12</v>
      </c>
      <c r="F4863" s="4">
        <v>66</v>
      </c>
      <c r="G4863" s="4"/>
      <c r="H4863" s="4">
        <f t="shared" si="499"/>
        <v>66</v>
      </c>
    </row>
    <row r="4864" ht="14.25" spans="1:8">
      <c r="A4864" s="3" t="str">
        <f>"21902416120"</f>
        <v>21902416120</v>
      </c>
      <c r="B4864" s="3">
        <v>4</v>
      </c>
      <c r="C4864" s="3">
        <v>161</v>
      </c>
      <c r="D4864" s="3">
        <v>20</v>
      </c>
      <c r="E4864" s="3" t="s">
        <v>12</v>
      </c>
      <c r="F4864" s="4">
        <v>82</v>
      </c>
      <c r="G4864" s="4"/>
      <c r="H4864" s="4">
        <f t="shared" si="499"/>
        <v>82</v>
      </c>
    </row>
    <row r="4865" ht="14.25" spans="1:8">
      <c r="A4865" s="3" t="str">
        <f>"21902416121"</f>
        <v>21902416121</v>
      </c>
      <c r="B4865" s="3">
        <v>4</v>
      </c>
      <c r="C4865" s="3">
        <v>161</v>
      </c>
      <c r="D4865" s="3">
        <v>21</v>
      </c>
      <c r="E4865" s="3" t="s">
        <v>12</v>
      </c>
      <c r="F4865" s="4">
        <v>64</v>
      </c>
      <c r="G4865" s="4"/>
      <c r="H4865" s="4">
        <f t="shared" si="499"/>
        <v>64</v>
      </c>
    </row>
    <row r="4866" ht="14.25" spans="1:8">
      <c r="A4866" s="3" t="str">
        <f>"21902416122"</f>
        <v>21902416122</v>
      </c>
      <c r="B4866" s="3">
        <v>4</v>
      </c>
      <c r="C4866" s="3">
        <v>161</v>
      </c>
      <c r="D4866" s="3">
        <v>22</v>
      </c>
      <c r="E4866" s="3" t="s">
        <v>12</v>
      </c>
      <c r="F4866" s="3">
        <v>0</v>
      </c>
      <c r="G4866" s="4"/>
      <c r="H4866" s="3">
        <v>0</v>
      </c>
    </row>
    <row r="4867" ht="14.25" spans="1:8">
      <c r="A4867" s="3" t="str">
        <f>"21902416123"</f>
        <v>21902416123</v>
      </c>
      <c r="B4867" s="3">
        <v>4</v>
      </c>
      <c r="C4867" s="3">
        <v>161</v>
      </c>
      <c r="D4867" s="3">
        <v>23</v>
      </c>
      <c r="E4867" s="3" t="s">
        <v>12</v>
      </c>
      <c r="F4867" s="4">
        <v>74.5</v>
      </c>
      <c r="G4867" s="4"/>
      <c r="H4867" s="4">
        <f t="shared" ref="H4867:H4869" si="500">F4867+G4867</f>
        <v>74.5</v>
      </c>
    </row>
    <row r="4868" ht="14.25" spans="1:8">
      <c r="A4868" s="3" t="str">
        <f>"21902416124"</f>
        <v>21902416124</v>
      </c>
      <c r="B4868" s="3">
        <v>4</v>
      </c>
      <c r="C4868" s="3">
        <v>161</v>
      </c>
      <c r="D4868" s="3">
        <v>24</v>
      </c>
      <c r="E4868" s="3" t="s">
        <v>12</v>
      </c>
      <c r="F4868" s="4">
        <v>78</v>
      </c>
      <c r="G4868" s="4"/>
      <c r="H4868" s="4">
        <f t="shared" si="500"/>
        <v>78</v>
      </c>
    </row>
    <row r="4869" ht="14.25" spans="1:8">
      <c r="A4869" s="3" t="str">
        <f>"21902416125"</f>
        <v>21902416125</v>
      </c>
      <c r="B4869" s="3">
        <v>4</v>
      </c>
      <c r="C4869" s="3">
        <v>161</v>
      </c>
      <c r="D4869" s="3">
        <v>25</v>
      </c>
      <c r="E4869" s="3" t="s">
        <v>12</v>
      </c>
      <c r="F4869" s="4">
        <v>76</v>
      </c>
      <c r="G4869" s="4"/>
      <c r="H4869" s="4">
        <f t="shared" si="500"/>
        <v>76</v>
      </c>
    </row>
    <row r="4870" ht="14.25" spans="1:8">
      <c r="A4870" s="3" t="str">
        <f>"21902416126"</f>
        <v>21902416126</v>
      </c>
      <c r="B4870" s="3">
        <v>4</v>
      </c>
      <c r="C4870" s="3">
        <v>161</v>
      </c>
      <c r="D4870" s="3">
        <v>26</v>
      </c>
      <c r="E4870" s="3" t="s">
        <v>12</v>
      </c>
      <c r="F4870" s="3">
        <v>0</v>
      </c>
      <c r="G4870" s="4"/>
      <c r="H4870" s="3">
        <v>0</v>
      </c>
    </row>
    <row r="4871" ht="14.25" spans="1:8">
      <c r="A4871" s="3" t="str">
        <f>"21902416127"</f>
        <v>21902416127</v>
      </c>
      <c r="B4871" s="3">
        <v>4</v>
      </c>
      <c r="C4871" s="3">
        <v>161</v>
      </c>
      <c r="D4871" s="3">
        <v>27</v>
      </c>
      <c r="E4871" s="3" t="s">
        <v>12</v>
      </c>
      <c r="F4871" s="4">
        <v>85.5</v>
      </c>
      <c r="G4871" s="4"/>
      <c r="H4871" s="4">
        <f t="shared" ref="H4871:H4873" si="501">F4871+G4871</f>
        <v>85.5</v>
      </c>
    </row>
    <row r="4872" ht="14.25" spans="1:8">
      <c r="A4872" s="3" t="str">
        <f>"21902416128"</f>
        <v>21902416128</v>
      </c>
      <c r="B4872" s="3">
        <v>4</v>
      </c>
      <c r="C4872" s="3">
        <v>161</v>
      </c>
      <c r="D4872" s="3">
        <v>28</v>
      </c>
      <c r="E4872" s="3" t="s">
        <v>12</v>
      </c>
      <c r="F4872" s="4">
        <v>65.5</v>
      </c>
      <c r="G4872" s="4"/>
      <c r="H4872" s="4">
        <f t="shared" si="501"/>
        <v>65.5</v>
      </c>
    </row>
    <row r="4873" ht="14.25" spans="1:8">
      <c r="A4873" s="3" t="str">
        <f>"21902416129"</f>
        <v>21902416129</v>
      </c>
      <c r="B4873" s="3">
        <v>4</v>
      </c>
      <c r="C4873" s="3">
        <v>161</v>
      </c>
      <c r="D4873" s="3">
        <v>29</v>
      </c>
      <c r="E4873" s="3" t="s">
        <v>12</v>
      </c>
      <c r="F4873" s="4">
        <v>87.5</v>
      </c>
      <c r="G4873" s="4"/>
      <c r="H4873" s="4">
        <f t="shared" si="501"/>
        <v>87.5</v>
      </c>
    </row>
    <row r="4874" ht="14.25" spans="1:8">
      <c r="A4874" s="3" t="str">
        <f>"21902416130"</f>
        <v>21902416130</v>
      </c>
      <c r="B4874" s="3">
        <v>4</v>
      </c>
      <c r="C4874" s="3">
        <v>161</v>
      </c>
      <c r="D4874" s="3">
        <v>30</v>
      </c>
      <c r="E4874" s="3" t="s">
        <v>12</v>
      </c>
      <c r="F4874" s="3">
        <v>0</v>
      </c>
      <c r="G4874" s="4"/>
      <c r="H4874" s="3">
        <v>0</v>
      </c>
    </row>
    <row r="4875" ht="14.25" spans="1:8">
      <c r="A4875" s="3" t="str">
        <f>"21902416201"</f>
        <v>21902416201</v>
      </c>
      <c r="B4875" s="3">
        <v>4</v>
      </c>
      <c r="C4875" s="3">
        <v>162</v>
      </c>
      <c r="D4875" s="3">
        <v>1</v>
      </c>
      <c r="E4875" s="3" t="s">
        <v>12</v>
      </c>
      <c r="F4875" s="4">
        <v>60</v>
      </c>
      <c r="G4875" s="4"/>
      <c r="H4875" s="4">
        <f t="shared" ref="H4875:H4883" si="502">F4875+G4875</f>
        <v>60</v>
      </c>
    </row>
    <row r="4876" ht="14.25" spans="1:8">
      <c r="A4876" s="3" t="str">
        <f>"21902416202"</f>
        <v>21902416202</v>
      </c>
      <c r="B4876" s="3">
        <v>4</v>
      </c>
      <c r="C4876" s="3">
        <v>162</v>
      </c>
      <c r="D4876" s="3">
        <v>2</v>
      </c>
      <c r="E4876" s="3" t="s">
        <v>12</v>
      </c>
      <c r="F4876" s="3">
        <v>0</v>
      </c>
      <c r="G4876" s="4"/>
      <c r="H4876" s="3">
        <v>0</v>
      </c>
    </row>
    <row r="4877" ht="14.25" spans="1:8">
      <c r="A4877" s="3" t="str">
        <f>"21902416203"</f>
        <v>21902416203</v>
      </c>
      <c r="B4877" s="3">
        <v>4</v>
      </c>
      <c r="C4877" s="3">
        <v>162</v>
      </c>
      <c r="D4877" s="3">
        <v>3</v>
      </c>
      <c r="E4877" s="3" t="s">
        <v>12</v>
      </c>
      <c r="F4877" s="4">
        <v>80.5</v>
      </c>
      <c r="G4877" s="4"/>
      <c r="H4877" s="4">
        <f t="shared" si="502"/>
        <v>80.5</v>
      </c>
    </row>
    <row r="4878" ht="14.25" spans="1:8">
      <c r="A4878" s="3" t="str">
        <f>"21902416204"</f>
        <v>21902416204</v>
      </c>
      <c r="B4878" s="3">
        <v>4</v>
      </c>
      <c r="C4878" s="3">
        <v>162</v>
      </c>
      <c r="D4878" s="3">
        <v>4</v>
      </c>
      <c r="E4878" s="3" t="s">
        <v>12</v>
      </c>
      <c r="F4878" s="4">
        <v>66</v>
      </c>
      <c r="G4878" s="4"/>
      <c r="H4878" s="4">
        <f t="shared" si="502"/>
        <v>66</v>
      </c>
    </row>
    <row r="4879" ht="14.25" spans="1:8">
      <c r="A4879" s="3" t="str">
        <f>"21902416205"</f>
        <v>21902416205</v>
      </c>
      <c r="B4879" s="3">
        <v>4</v>
      </c>
      <c r="C4879" s="3">
        <v>162</v>
      </c>
      <c r="D4879" s="3">
        <v>5</v>
      </c>
      <c r="E4879" s="3" t="s">
        <v>12</v>
      </c>
      <c r="F4879" s="4">
        <v>87</v>
      </c>
      <c r="G4879" s="4"/>
      <c r="H4879" s="4">
        <f t="shared" si="502"/>
        <v>87</v>
      </c>
    </row>
    <row r="4880" ht="14.25" spans="1:8">
      <c r="A4880" s="3" t="str">
        <f>"21902416206"</f>
        <v>21902416206</v>
      </c>
      <c r="B4880" s="3">
        <v>4</v>
      </c>
      <c r="C4880" s="3">
        <v>162</v>
      </c>
      <c r="D4880" s="3">
        <v>6</v>
      </c>
      <c r="E4880" s="3" t="s">
        <v>12</v>
      </c>
      <c r="F4880" s="4">
        <v>81.5</v>
      </c>
      <c r="G4880" s="4"/>
      <c r="H4880" s="4">
        <f t="shared" si="502"/>
        <v>81.5</v>
      </c>
    </row>
    <row r="4881" ht="14.25" spans="1:8">
      <c r="A4881" s="3" t="str">
        <f>"21902416207"</f>
        <v>21902416207</v>
      </c>
      <c r="B4881" s="3">
        <v>4</v>
      </c>
      <c r="C4881" s="3">
        <v>162</v>
      </c>
      <c r="D4881" s="3">
        <v>7</v>
      </c>
      <c r="E4881" s="3" t="s">
        <v>12</v>
      </c>
      <c r="F4881" s="4">
        <v>63.5</v>
      </c>
      <c r="G4881" s="4"/>
      <c r="H4881" s="4">
        <f t="shared" si="502"/>
        <v>63.5</v>
      </c>
    </row>
    <row r="4882" ht="14.25" spans="1:8">
      <c r="A4882" s="3" t="str">
        <f>"21902416208"</f>
        <v>21902416208</v>
      </c>
      <c r="B4882" s="3">
        <v>4</v>
      </c>
      <c r="C4882" s="3">
        <v>162</v>
      </c>
      <c r="D4882" s="3">
        <v>8</v>
      </c>
      <c r="E4882" s="3" t="s">
        <v>12</v>
      </c>
      <c r="F4882" s="4">
        <v>79</v>
      </c>
      <c r="G4882" s="4"/>
      <c r="H4882" s="4">
        <f t="shared" si="502"/>
        <v>79</v>
      </c>
    </row>
    <row r="4883" ht="14.25" spans="1:8">
      <c r="A4883" s="3" t="str">
        <f>"21902416209"</f>
        <v>21902416209</v>
      </c>
      <c r="B4883" s="3">
        <v>4</v>
      </c>
      <c r="C4883" s="3">
        <v>162</v>
      </c>
      <c r="D4883" s="3">
        <v>9</v>
      </c>
      <c r="E4883" s="3" t="s">
        <v>12</v>
      </c>
      <c r="F4883" s="4">
        <v>77.5</v>
      </c>
      <c r="G4883" s="4"/>
      <c r="H4883" s="4">
        <f t="shared" si="502"/>
        <v>77.5</v>
      </c>
    </row>
    <row r="4884" ht="14.25" spans="1:8">
      <c r="A4884" s="3" t="str">
        <f>"21902416210"</f>
        <v>21902416210</v>
      </c>
      <c r="B4884" s="3">
        <v>4</v>
      </c>
      <c r="C4884" s="3">
        <v>162</v>
      </c>
      <c r="D4884" s="3">
        <v>10</v>
      </c>
      <c r="E4884" s="3" t="s">
        <v>12</v>
      </c>
      <c r="F4884" s="3">
        <v>0</v>
      </c>
      <c r="G4884" s="4"/>
      <c r="H4884" s="3">
        <v>0</v>
      </c>
    </row>
    <row r="4885" ht="14.25" spans="1:8">
      <c r="A4885" s="3" t="str">
        <f>"21902416211"</f>
        <v>21902416211</v>
      </c>
      <c r="B4885" s="3">
        <v>4</v>
      </c>
      <c r="C4885" s="3">
        <v>162</v>
      </c>
      <c r="D4885" s="3">
        <v>11</v>
      </c>
      <c r="E4885" s="3" t="s">
        <v>12</v>
      </c>
      <c r="F4885" s="4">
        <v>52.5</v>
      </c>
      <c r="G4885" s="4"/>
      <c r="H4885" s="4">
        <f t="shared" ref="H4885:H4904" si="503">F4885+G4885</f>
        <v>52.5</v>
      </c>
    </row>
    <row r="4886" ht="14.25" spans="1:8">
      <c r="A4886" s="3" t="str">
        <f>"21902416212"</f>
        <v>21902416212</v>
      </c>
      <c r="B4886" s="3">
        <v>4</v>
      </c>
      <c r="C4886" s="3">
        <v>162</v>
      </c>
      <c r="D4886" s="3">
        <v>12</v>
      </c>
      <c r="E4886" s="3" t="s">
        <v>12</v>
      </c>
      <c r="F4886" s="4">
        <v>74.5</v>
      </c>
      <c r="G4886" s="4"/>
      <c r="H4886" s="4">
        <f t="shared" si="503"/>
        <v>74.5</v>
      </c>
    </row>
    <row r="4887" ht="14.25" spans="1:8">
      <c r="A4887" s="3" t="str">
        <f>"21902416213"</f>
        <v>21902416213</v>
      </c>
      <c r="B4887" s="3">
        <v>4</v>
      </c>
      <c r="C4887" s="3">
        <v>162</v>
      </c>
      <c r="D4887" s="3">
        <v>13</v>
      </c>
      <c r="E4887" s="3" t="s">
        <v>12</v>
      </c>
      <c r="F4887" s="4">
        <v>82.5</v>
      </c>
      <c r="G4887" s="4"/>
      <c r="H4887" s="4">
        <f t="shared" si="503"/>
        <v>82.5</v>
      </c>
    </row>
    <row r="4888" ht="14.25" spans="1:8">
      <c r="A4888" s="3" t="str">
        <f>"21902416214"</f>
        <v>21902416214</v>
      </c>
      <c r="B4888" s="3">
        <v>4</v>
      </c>
      <c r="C4888" s="3">
        <v>162</v>
      </c>
      <c r="D4888" s="3">
        <v>14</v>
      </c>
      <c r="E4888" s="3" t="s">
        <v>12</v>
      </c>
      <c r="F4888" s="4">
        <v>64</v>
      </c>
      <c r="G4888" s="4"/>
      <c r="H4888" s="4">
        <f t="shared" si="503"/>
        <v>64</v>
      </c>
    </row>
    <row r="4889" ht="14.25" spans="1:8">
      <c r="A4889" s="3" t="str">
        <f>"21902416215"</f>
        <v>21902416215</v>
      </c>
      <c r="B4889" s="3">
        <v>4</v>
      </c>
      <c r="C4889" s="3">
        <v>162</v>
      </c>
      <c r="D4889" s="3">
        <v>15</v>
      </c>
      <c r="E4889" s="3" t="s">
        <v>12</v>
      </c>
      <c r="F4889" s="4">
        <v>77.5</v>
      </c>
      <c r="G4889" s="4"/>
      <c r="H4889" s="4">
        <f t="shared" si="503"/>
        <v>77.5</v>
      </c>
    </row>
    <row r="4890" ht="14.25" spans="1:8">
      <c r="A4890" s="3" t="str">
        <f>"21902416216"</f>
        <v>21902416216</v>
      </c>
      <c r="B4890" s="3">
        <v>4</v>
      </c>
      <c r="C4890" s="3">
        <v>162</v>
      </c>
      <c r="D4890" s="3">
        <v>16</v>
      </c>
      <c r="E4890" s="3" t="s">
        <v>12</v>
      </c>
      <c r="F4890" s="4">
        <v>59.5</v>
      </c>
      <c r="G4890" s="4"/>
      <c r="H4890" s="4">
        <f t="shared" si="503"/>
        <v>59.5</v>
      </c>
    </row>
    <row r="4891" ht="14.25" spans="1:8">
      <c r="A4891" s="3" t="str">
        <f>"21902416217"</f>
        <v>21902416217</v>
      </c>
      <c r="B4891" s="3">
        <v>4</v>
      </c>
      <c r="C4891" s="3">
        <v>162</v>
      </c>
      <c r="D4891" s="3">
        <v>17</v>
      </c>
      <c r="E4891" s="3" t="s">
        <v>12</v>
      </c>
      <c r="F4891" s="4">
        <v>83.5</v>
      </c>
      <c r="G4891" s="4"/>
      <c r="H4891" s="4">
        <f t="shared" si="503"/>
        <v>83.5</v>
      </c>
    </row>
    <row r="4892" ht="14.25" spans="1:8">
      <c r="A4892" s="3" t="str">
        <f>"21902416218"</f>
        <v>21902416218</v>
      </c>
      <c r="B4892" s="3">
        <v>4</v>
      </c>
      <c r="C4892" s="3">
        <v>162</v>
      </c>
      <c r="D4892" s="3">
        <v>18</v>
      </c>
      <c r="E4892" s="3" t="s">
        <v>12</v>
      </c>
      <c r="F4892" s="4">
        <v>54</v>
      </c>
      <c r="G4892" s="4"/>
      <c r="H4892" s="4">
        <f t="shared" si="503"/>
        <v>54</v>
      </c>
    </row>
    <row r="4893" ht="14.25" spans="1:8">
      <c r="A4893" s="3" t="str">
        <f>"21902416219"</f>
        <v>21902416219</v>
      </c>
      <c r="B4893" s="3">
        <v>4</v>
      </c>
      <c r="C4893" s="3">
        <v>162</v>
      </c>
      <c r="D4893" s="3">
        <v>19</v>
      </c>
      <c r="E4893" s="3" t="s">
        <v>12</v>
      </c>
      <c r="F4893" s="4">
        <v>60.5</v>
      </c>
      <c r="G4893" s="4"/>
      <c r="H4893" s="4">
        <f t="shared" si="503"/>
        <v>60.5</v>
      </c>
    </row>
    <row r="4894" ht="14.25" spans="1:8">
      <c r="A4894" s="3" t="str">
        <f>"21902416220"</f>
        <v>21902416220</v>
      </c>
      <c r="B4894" s="3">
        <v>4</v>
      </c>
      <c r="C4894" s="3">
        <v>162</v>
      </c>
      <c r="D4894" s="3">
        <v>20</v>
      </c>
      <c r="E4894" s="3" t="s">
        <v>12</v>
      </c>
      <c r="F4894" s="4">
        <v>81.5</v>
      </c>
      <c r="G4894" s="4"/>
      <c r="H4894" s="4">
        <f t="shared" si="503"/>
        <v>81.5</v>
      </c>
    </row>
    <row r="4895" ht="14.25" spans="1:8">
      <c r="A4895" s="3" t="str">
        <f>"21902416221"</f>
        <v>21902416221</v>
      </c>
      <c r="B4895" s="3">
        <v>4</v>
      </c>
      <c r="C4895" s="3">
        <v>162</v>
      </c>
      <c r="D4895" s="3">
        <v>21</v>
      </c>
      <c r="E4895" s="3" t="s">
        <v>12</v>
      </c>
      <c r="F4895" s="4">
        <v>78.5</v>
      </c>
      <c r="G4895" s="4"/>
      <c r="H4895" s="4">
        <f t="shared" si="503"/>
        <v>78.5</v>
      </c>
    </row>
    <row r="4896" ht="14.25" spans="1:8">
      <c r="A4896" s="3" t="str">
        <f>"21902416222"</f>
        <v>21902416222</v>
      </c>
      <c r="B4896" s="3">
        <v>4</v>
      </c>
      <c r="C4896" s="3">
        <v>162</v>
      </c>
      <c r="D4896" s="3">
        <v>22</v>
      </c>
      <c r="E4896" s="3" t="s">
        <v>12</v>
      </c>
      <c r="F4896" s="4">
        <v>55</v>
      </c>
      <c r="G4896" s="4"/>
      <c r="H4896" s="4">
        <f t="shared" si="503"/>
        <v>55</v>
      </c>
    </row>
    <row r="4897" ht="14.25" spans="1:8">
      <c r="A4897" s="3" t="str">
        <f>"21902416223"</f>
        <v>21902416223</v>
      </c>
      <c r="B4897" s="3">
        <v>4</v>
      </c>
      <c r="C4897" s="3">
        <v>162</v>
      </c>
      <c r="D4897" s="3">
        <v>23</v>
      </c>
      <c r="E4897" s="3" t="s">
        <v>12</v>
      </c>
      <c r="F4897" s="4">
        <v>70</v>
      </c>
      <c r="G4897" s="4"/>
      <c r="H4897" s="4">
        <f t="shared" si="503"/>
        <v>70</v>
      </c>
    </row>
    <row r="4898" ht="14.25" spans="1:8">
      <c r="A4898" s="3" t="str">
        <f>"21902416224"</f>
        <v>21902416224</v>
      </c>
      <c r="B4898" s="3">
        <v>4</v>
      </c>
      <c r="C4898" s="3">
        <v>162</v>
      </c>
      <c r="D4898" s="3">
        <v>24</v>
      </c>
      <c r="E4898" s="3" t="s">
        <v>12</v>
      </c>
      <c r="F4898" s="4">
        <v>82</v>
      </c>
      <c r="G4898" s="4"/>
      <c r="H4898" s="4">
        <f t="shared" si="503"/>
        <v>82</v>
      </c>
    </row>
    <row r="4899" ht="14.25" spans="1:8">
      <c r="A4899" s="3" t="str">
        <f>"21902416225"</f>
        <v>21902416225</v>
      </c>
      <c r="B4899" s="3">
        <v>4</v>
      </c>
      <c r="C4899" s="3">
        <v>162</v>
      </c>
      <c r="D4899" s="3">
        <v>25</v>
      </c>
      <c r="E4899" s="3" t="s">
        <v>12</v>
      </c>
      <c r="F4899" s="4">
        <v>77</v>
      </c>
      <c r="G4899" s="4"/>
      <c r="H4899" s="4">
        <f t="shared" si="503"/>
        <v>77</v>
      </c>
    </row>
    <row r="4900" ht="14.25" spans="1:8">
      <c r="A4900" s="3" t="str">
        <f>"21903416226"</f>
        <v>21903416226</v>
      </c>
      <c r="B4900" s="3">
        <v>4</v>
      </c>
      <c r="C4900" s="3">
        <v>162</v>
      </c>
      <c r="D4900" s="3">
        <v>26</v>
      </c>
      <c r="E4900" s="3" t="s">
        <v>12</v>
      </c>
      <c r="F4900" s="4">
        <v>59.5</v>
      </c>
      <c r="G4900" s="4"/>
      <c r="H4900" s="4">
        <f t="shared" si="503"/>
        <v>59.5</v>
      </c>
    </row>
    <row r="4901" ht="14.25" spans="1:8">
      <c r="A4901" s="3" t="str">
        <f>"21903416227"</f>
        <v>21903416227</v>
      </c>
      <c r="B4901" s="3">
        <v>4</v>
      </c>
      <c r="C4901" s="3">
        <v>162</v>
      </c>
      <c r="D4901" s="3">
        <v>27</v>
      </c>
      <c r="E4901" s="3" t="s">
        <v>12</v>
      </c>
      <c r="F4901" s="4">
        <v>55</v>
      </c>
      <c r="G4901" s="4"/>
      <c r="H4901" s="4">
        <f t="shared" si="503"/>
        <v>55</v>
      </c>
    </row>
    <row r="4902" ht="14.25" spans="1:8">
      <c r="A4902" s="3" t="str">
        <f>"21903416228"</f>
        <v>21903416228</v>
      </c>
      <c r="B4902" s="3">
        <v>4</v>
      </c>
      <c r="C4902" s="3">
        <v>162</v>
      </c>
      <c r="D4902" s="3">
        <v>28</v>
      </c>
      <c r="E4902" s="3" t="s">
        <v>12</v>
      </c>
      <c r="F4902" s="4">
        <v>75.5</v>
      </c>
      <c r="G4902" s="4"/>
      <c r="H4902" s="4">
        <f t="shared" si="503"/>
        <v>75.5</v>
      </c>
    </row>
    <row r="4903" ht="14.25" spans="1:8">
      <c r="A4903" s="3" t="str">
        <f>"21903416229"</f>
        <v>21903416229</v>
      </c>
      <c r="B4903" s="3">
        <v>4</v>
      </c>
      <c r="C4903" s="3">
        <v>162</v>
      </c>
      <c r="D4903" s="3">
        <v>29</v>
      </c>
      <c r="E4903" s="3" t="s">
        <v>12</v>
      </c>
      <c r="F4903" s="4">
        <v>73</v>
      </c>
      <c r="G4903" s="4"/>
      <c r="H4903" s="4">
        <f t="shared" si="503"/>
        <v>73</v>
      </c>
    </row>
    <row r="4904" ht="14.25" spans="1:8">
      <c r="A4904" s="3" t="str">
        <f>"21903416230"</f>
        <v>21903416230</v>
      </c>
      <c r="B4904" s="3">
        <v>4</v>
      </c>
      <c r="C4904" s="3">
        <v>162</v>
      </c>
      <c r="D4904" s="3">
        <v>30</v>
      </c>
      <c r="E4904" s="3" t="s">
        <v>12</v>
      </c>
      <c r="F4904" s="4">
        <v>77.5</v>
      </c>
      <c r="G4904" s="4"/>
      <c r="H4904" s="4">
        <f t="shared" si="503"/>
        <v>77.5</v>
      </c>
    </row>
    <row r="4905" ht="14.25" spans="1:8">
      <c r="A4905" s="3" t="str">
        <f>"21903416301"</f>
        <v>21903416301</v>
      </c>
      <c r="B4905" s="3">
        <v>4</v>
      </c>
      <c r="C4905" s="3">
        <v>163</v>
      </c>
      <c r="D4905" s="3">
        <v>1</v>
      </c>
      <c r="E4905" s="3" t="s">
        <v>12</v>
      </c>
      <c r="F4905" s="3">
        <v>0</v>
      </c>
      <c r="G4905" s="4"/>
      <c r="H4905" s="3">
        <v>0</v>
      </c>
    </row>
    <row r="4906" ht="14.25" spans="1:8">
      <c r="A4906" s="3" t="str">
        <f>"21903416302"</f>
        <v>21903416302</v>
      </c>
      <c r="B4906" s="3">
        <v>4</v>
      </c>
      <c r="C4906" s="3">
        <v>163</v>
      </c>
      <c r="D4906" s="3">
        <v>2</v>
      </c>
      <c r="E4906" s="3" t="s">
        <v>12</v>
      </c>
      <c r="F4906" s="4">
        <v>84.5</v>
      </c>
      <c r="G4906" s="4"/>
      <c r="H4906" s="4">
        <f t="shared" ref="H4906:H4911" si="504">F4906+G4906</f>
        <v>84.5</v>
      </c>
    </row>
    <row r="4907" ht="14.25" spans="1:8">
      <c r="A4907" s="3" t="str">
        <f>"21903416303"</f>
        <v>21903416303</v>
      </c>
      <c r="B4907" s="3">
        <v>4</v>
      </c>
      <c r="C4907" s="3">
        <v>163</v>
      </c>
      <c r="D4907" s="3">
        <v>3</v>
      </c>
      <c r="E4907" s="3" t="s">
        <v>12</v>
      </c>
      <c r="F4907" s="3">
        <v>0</v>
      </c>
      <c r="G4907" s="4"/>
      <c r="H4907" s="3">
        <v>0</v>
      </c>
    </row>
    <row r="4908" ht="14.25" spans="1:8">
      <c r="A4908" s="3" t="str">
        <f>"21903416304"</f>
        <v>21903416304</v>
      </c>
      <c r="B4908" s="3">
        <v>4</v>
      </c>
      <c r="C4908" s="3">
        <v>163</v>
      </c>
      <c r="D4908" s="3">
        <v>4</v>
      </c>
      <c r="E4908" s="3" t="s">
        <v>12</v>
      </c>
      <c r="F4908" s="3">
        <v>0</v>
      </c>
      <c r="G4908" s="4"/>
      <c r="H4908" s="3">
        <v>0</v>
      </c>
    </row>
    <row r="4909" ht="14.25" spans="1:8">
      <c r="A4909" s="3" t="str">
        <f>"21903416305"</f>
        <v>21903416305</v>
      </c>
      <c r="B4909" s="3">
        <v>4</v>
      </c>
      <c r="C4909" s="3">
        <v>163</v>
      </c>
      <c r="D4909" s="3">
        <v>5</v>
      </c>
      <c r="E4909" s="3" t="s">
        <v>12</v>
      </c>
      <c r="F4909" s="4">
        <v>71</v>
      </c>
      <c r="G4909" s="4"/>
      <c r="H4909" s="4">
        <f t="shared" si="504"/>
        <v>71</v>
      </c>
    </row>
    <row r="4910" ht="14.25" spans="1:8">
      <c r="A4910" s="3" t="str">
        <f>"21903416306"</f>
        <v>21903416306</v>
      </c>
      <c r="B4910" s="3">
        <v>4</v>
      </c>
      <c r="C4910" s="3">
        <v>163</v>
      </c>
      <c r="D4910" s="3">
        <v>6</v>
      </c>
      <c r="E4910" s="3" t="s">
        <v>12</v>
      </c>
      <c r="F4910" s="4">
        <v>80</v>
      </c>
      <c r="G4910" s="4"/>
      <c r="H4910" s="4">
        <f t="shared" si="504"/>
        <v>80</v>
      </c>
    </row>
    <row r="4911" ht="14.25" spans="1:8">
      <c r="A4911" s="3" t="str">
        <f>"21903416307"</f>
        <v>21903416307</v>
      </c>
      <c r="B4911" s="3">
        <v>4</v>
      </c>
      <c r="C4911" s="3">
        <v>163</v>
      </c>
      <c r="D4911" s="3">
        <v>7</v>
      </c>
      <c r="E4911" s="3" t="s">
        <v>12</v>
      </c>
      <c r="F4911" s="4">
        <v>58.5</v>
      </c>
      <c r="G4911" s="4"/>
      <c r="H4911" s="4">
        <f t="shared" si="504"/>
        <v>58.5</v>
      </c>
    </row>
    <row r="4912" ht="14.25" spans="1:8">
      <c r="A4912" s="3" t="str">
        <f>"21903416308"</f>
        <v>21903416308</v>
      </c>
      <c r="B4912" s="3">
        <v>4</v>
      </c>
      <c r="C4912" s="3">
        <v>163</v>
      </c>
      <c r="D4912" s="3">
        <v>8</v>
      </c>
      <c r="E4912" s="3" t="s">
        <v>12</v>
      </c>
      <c r="F4912" s="3">
        <v>0</v>
      </c>
      <c r="G4912" s="4"/>
      <c r="H4912" s="3">
        <v>0</v>
      </c>
    </row>
    <row r="4913" ht="14.25" spans="1:8">
      <c r="A4913" s="3" t="str">
        <f>"21903416309"</f>
        <v>21903416309</v>
      </c>
      <c r="B4913" s="3">
        <v>4</v>
      </c>
      <c r="C4913" s="3">
        <v>163</v>
      </c>
      <c r="D4913" s="3">
        <v>9</v>
      </c>
      <c r="E4913" s="3" t="s">
        <v>12</v>
      </c>
      <c r="F4913" s="3">
        <v>0</v>
      </c>
      <c r="G4913" s="4"/>
      <c r="H4913" s="3">
        <v>0</v>
      </c>
    </row>
    <row r="4914" ht="14.25" spans="1:8">
      <c r="A4914" s="3" t="str">
        <f>"21903416310"</f>
        <v>21903416310</v>
      </c>
      <c r="B4914" s="3">
        <v>4</v>
      </c>
      <c r="C4914" s="3">
        <v>163</v>
      </c>
      <c r="D4914" s="3">
        <v>10</v>
      </c>
      <c r="E4914" s="3" t="s">
        <v>12</v>
      </c>
      <c r="F4914" s="4">
        <v>74.5</v>
      </c>
      <c r="G4914" s="4"/>
      <c r="H4914" s="4">
        <f t="shared" ref="H4914:H4917" si="505">F4914+G4914</f>
        <v>74.5</v>
      </c>
    </row>
    <row r="4915" ht="14.25" spans="1:8">
      <c r="A4915" s="3" t="str">
        <f>"21903416311"</f>
        <v>21903416311</v>
      </c>
      <c r="B4915" s="3">
        <v>4</v>
      </c>
      <c r="C4915" s="3">
        <v>163</v>
      </c>
      <c r="D4915" s="3">
        <v>11</v>
      </c>
      <c r="E4915" s="3" t="s">
        <v>12</v>
      </c>
      <c r="F4915" s="4">
        <v>85</v>
      </c>
      <c r="G4915" s="4"/>
      <c r="H4915" s="4">
        <f t="shared" si="505"/>
        <v>85</v>
      </c>
    </row>
    <row r="4916" ht="14.25" spans="1:8">
      <c r="A4916" s="3" t="str">
        <f>"21903416312"</f>
        <v>21903416312</v>
      </c>
      <c r="B4916" s="3">
        <v>4</v>
      </c>
      <c r="C4916" s="3">
        <v>163</v>
      </c>
      <c r="D4916" s="3">
        <v>12</v>
      </c>
      <c r="E4916" s="3" t="s">
        <v>12</v>
      </c>
      <c r="F4916" s="3">
        <v>0</v>
      </c>
      <c r="G4916" s="4"/>
      <c r="H4916" s="3">
        <v>0</v>
      </c>
    </row>
    <row r="4917" ht="14.25" spans="1:8">
      <c r="A4917" s="3" t="str">
        <f>"21903416313"</f>
        <v>21903416313</v>
      </c>
      <c r="B4917" s="3">
        <v>4</v>
      </c>
      <c r="C4917" s="3">
        <v>163</v>
      </c>
      <c r="D4917" s="3">
        <v>13</v>
      </c>
      <c r="E4917" s="3" t="s">
        <v>12</v>
      </c>
      <c r="F4917" s="4">
        <v>86</v>
      </c>
      <c r="G4917" s="4"/>
      <c r="H4917" s="4">
        <f t="shared" si="505"/>
        <v>86</v>
      </c>
    </row>
    <row r="4918" ht="14.25" spans="1:8">
      <c r="A4918" s="3" t="str">
        <f>"21903416314"</f>
        <v>21903416314</v>
      </c>
      <c r="B4918" s="3">
        <v>4</v>
      </c>
      <c r="C4918" s="3">
        <v>163</v>
      </c>
      <c r="D4918" s="3">
        <v>14</v>
      </c>
      <c r="E4918" s="3" t="s">
        <v>12</v>
      </c>
      <c r="F4918" s="3">
        <v>0</v>
      </c>
      <c r="G4918" s="4"/>
      <c r="H4918" s="3">
        <v>0</v>
      </c>
    </row>
    <row r="4919" ht="14.25" spans="1:8">
      <c r="A4919" s="3" t="str">
        <f>"21903416315"</f>
        <v>21903416315</v>
      </c>
      <c r="B4919" s="3">
        <v>4</v>
      </c>
      <c r="C4919" s="3">
        <v>163</v>
      </c>
      <c r="D4919" s="3">
        <v>15</v>
      </c>
      <c r="E4919" s="3" t="s">
        <v>12</v>
      </c>
      <c r="F4919" s="4">
        <v>66</v>
      </c>
      <c r="G4919" s="4"/>
      <c r="H4919" s="4">
        <f t="shared" ref="H4919:H4926" si="506">F4919+G4919</f>
        <v>66</v>
      </c>
    </row>
    <row r="4920" ht="14.25" spans="1:8">
      <c r="A4920" s="3" t="str">
        <f>"21903416316"</f>
        <v>21903416316</v>
      </c>
      <c r="B4920" s="3">
        <v>4</v>
      </c>
      <c r="C4920" s="3">
        <v>163</v>
      </c>
      <c r="D4920" s="3">
        <v>16</v>
      </c>
      <c r="E4920" s="3" t="s">
        <v>12</v>
      </c>
      <c r="F4920" s="4">
        <v>89</v>
      </c>
      <c r="G4920" s="4"/>
      <c r="H4920" s="4">
        <f t="shared" si="506"/>
        <v>89</v>
      </c>
    </row>
    <row r="4921" ht="14.25" spans="1:8">
      <c r="A4921" s="3" t="str">
        <f>"21903416317"</f>
        <v>21903416317</v>
      </c>
      <c r="B4921" s="3">
        <v>4</v>
      </c>
      <c r="C4921" s="3">
        <v>163</v>
      </c>
      <c r="D4921" s="3">
        <v>17</v>
      </c>
      <c r="E4921" s="3" t="s">
        <v>12</v>
      </c>
      <c r="F4921" s="4">
        <v>81.5</v>
      </c>
      <c r="G4921" s="4"/>
      <c r="H4921" s="4">
        <f t="shared" si="506"/>
        <v>81.5</v>
      </c>
    </row>
    <row r="4922" ht="14.25" spans="1:8">
      <c r="A4922" s="3" t="str">
        <f>"21903416318"</f>
        <v>21903416318</v>
      </c>
      <c r="B4922" s="3">
        <v>4</v>
      </c>
      <c r="C4922" s="3">
        <v>163</v>
      </c>
      <c r="D4922" s="3">
        <v>18</v>
      </c>
      <c r="E4922" s="3" t="s">
        <v>12</v>
      </c>
      <c r="F4922" s="4">
        <v>68</v>
      </c>
      <c r="G4922" s="4"/>
      <c r="H4922" s="4">
        <f t="shared" si="506"/>
        <v>68</v>
      </c>
    </row>
    <row r="4923" ht="14.25" spans="1:8">
      <c r="A4923" s="3" t="str">
        <f>"21903416319"</f>
        <v>21903416319</v>
      </c>
      <c r="B4923" s="3">
        <v>4</v>
      </c>
      <c r="C4923" s="3">
        <v>163</v>
      </c>
      <c r="D4923" s="3">
        <v>19</v>
      </c>
      <c r="E4923" s="3" t="s">
        <v>12</v>
      </c>
      <c r="F4923" s="4">
        <v>79</v>
      </c>
      <c r="G4923" s="4"/>
      <c r="H4923" s="4">
        <f t="shared" si="506"/>
        <v>79</v>
      </c>
    </row>
    <row r="4924" ht="14.25" spans="1:8">
      <c r="A4924" s="3" t="str">
        <f>"21903416320"</f>
        <v>21903416320</v>
      </c>
      <c r="B4924" s="3">
        <v>4</v>
      </c>
      <c r="C4924" s="3">
        <v>163</v>
      </c>
      <c r="D4924" s="3">
        <v>20</v>
      </c>
      <c r="E4924" s="3" t="s">
        <v>12</v>
      </c>
      <c r="F4924" s="4">
        <v>82.5</v>
      </c>
      <c r="G4924" s="4"/>
      <c r="H4924" s="4">
        <f t="shared" si="506"/>
        <v>82.5</v>
      </c>
    </row>
    <row r="4925" ht="14.25" spans="1:8">
      <c r="A4925" s="3" t="str">
        <f>"21903416321"</f>
        <v>21903416321</v>
      </c>
      <c r="B4925" s="3">
        <v>4</v>
      </c>
      <c r="C4925" s="3">
        <v>163</v>
      </c>
      <c r="D4925" s="3">
        <v>21</v>
      </c>
      <c r="E4925" s="3" t="s">
        <v>12</v>
      </c>
      <c r="F4925" s="4">
        <v>83.5</v>
      </c>
      <c r="G4925" s="4"/>
      <c r="H4925" s="4">
        <f t="shared" si="506"/>
        <v>83.5</v>
      </c>
    </row>
    <row r="4926" ht="14.25" spans="1:8">
      <c r="A4926" s="3" t="str">
        <f>"21903416322"</f>
        <v>21903416322</v>
      </c>
      <c r="B4926" s="3">
        <v>4</v>
      </c>
      <c r="C4926" s="3">
        <v>163</v>
      </c>
      <c r="D4926" s="3">
        <v>22</v>
      </c>
      <c r="E4926" s="3" t="s">
        <v>12</v>
      </c>
      <c r="F4926" s="4">
        <v>67.5</v>
      </c>
      <c r="G4926" s="4"/>
      <c r="H4926" s="4">
        <f t="shared" si="506"/>
        <v>67.5</v>
      </c>
    </row>
    <row r="4927" ht="14.25" spans="1:8">
      <c r="A4927" s="3" t="str">
        <f>"21903416323"</f>
        <v>21903416323</v>
      </c>
      <c r="B4927" s="3">
        <v>4</v>
      </c>
      <c r="C4927" s="3">
        <v>163</v>
      </c>
      <c r="D4927" s="3">
        <v>23</v>
      </c>
      <c r="E4927" s="3" t="s">
        <v>12</v>
      </c>
      <c r="F4927" s="3">
        <v>0</v>
      </c>
      <c r="G4927" s="4"/>
      <c r="H4927" s="3">
        <v>0</v>
      </c>
    </row>
    <row r="4928" ht="14.25" spans="1:8">
      <c r="A4928" s="3" t="str">
        <f>"21903416324"</f>
        <v>21903416324</v>
      </c>
      <c r="B4928" s="3">
        <v>4</v>
      </c>
      <c r="C4928" s="3">
        <v>163</v>
      </c>
      <c r="D4928" s="3">
        <v>24</v>
      </c>
      <c r="E4928" s="3" t="s">
        <v>12</v>
      </c>
      <c r="F4928" s="4">
        <v>87</v>
      </c>
      <c r="G4928" s="4"/>
      <c r="H4928" s="4">
        <f t="shared" ref="H4928:H4932" si="507">F4928+G4928</f>
        <v>87</v>
      </c>
    </row>
    <row r="4929" ht="14.25" spans="1:8">
      <c r="A4929" s="3" t="str">
        <f>"21903416325"</f>
        <v>21903416325</v>
      </c>
      <c r="B4929" s="3">
        <v>4</v>
      </c>
      <c r="C4929" s="3">
        <v>163</v>
      </c>
      <c r="D4929" s="3">
        <v>25</v>
      </c>
      <c r="E4929" s="3" t="s">
        <v>12</v>
      </c>
      <c r="F4929" s="4">
        <v>75</v>
      </c>
      <c r="G4929" s="4"/>
      <c r="H4929" s="4">
        <f t="shared" si="507"/>
        <v>75</v>
      </c>
    </row>
    <row r="4930" ht="14.25" spans="1:8">
      <c r="A4930" s="3" t="str">
        <f>"21903416326"</f>
        <v>21903416326</v>
      </c>
      <c r="B4930" s="3">
        <v>4</v>
      </c>
      <c r="C4930" s="3">
        <v>163</v>
      </c>
      <c r="D4930" s="3">
        <v>26</v>
      </c>
      <c r="E4930" s="3" t="s">
        <v>12</v>
      </c>
      <c r="F4930" s="4">
        <v>80.5</v>
      </c>
      <c r="G4930" s="4"/>
      <c r="H4930" s="4">
        <f t="shared" si="507"/>
        <v>80.5</v>
      </c>
    </row>
    <row r="4931" ht="14.25" spans="1:8">
      <c r="A4931" s="3" t="str">
        <f>"21903416327"</f>
        <v>21903416327</v>
      </c>
      <c r="B4931" s="3">
        <v>4</v>
      </c>
      <c r="C4931" s="3">
        <v>163</v>
      </c>
      <c r="D4931" s="3">
        <v>27</v>
      </c>
      <c r="E4931" s="3" t="s">
        <v>12</v>
      </c>
      <c r="F4931" s="4">
        <v>91</v>
      </c>
      <c r="G4931" s="4"/>
      <c r="H4931" s="4">
        <f t="shared" si="507"/>
        <v>91</v>
      </c>
    </row>
    <row r="4932" ht="14.25" spans="1:8">
      <c r="A4932" s="3" t="str">
        <f>"21903416328"</f>
        <v>21903416328</v>
      </c>
      <c r="B4932" s="3">
        <v>4</v>
      </c>
      <c r="C4932" s="3">
        <v>163</v>
      </c>
      <c r="D4932" s="3">
        <v>28</v>
      </c>
      <c r="E4932" s="3" t="s">
        <v>12</v>
      </c>
      <c r="F4932" s="4">
        <v>75</v>
      </c>
      <c r="G4932" s="4"/>
      <c r="H4932" s="4">
        <f t="shared" si="507"/>
        <v>75</v>
      </c>
    </row>
    <row r="4933" ht="14.25" spans="1:8">
      <c r="A4933" s="3" t="str">
        <f>"21903416329"</f>
        <v>21903416329</v>
      </c>
      <c r="B4933" s="3">
        <v>4</v>
      </c>
      <c r="C4933" s="3">
        <v>163</v>
      </c>
      <c r="D4933" s="3">
        <v>29</v>
      </c>
      <c r="E4933" s="3" t="s">
        <v>12</v>
      </c>
      <c r="F4933" s="3">
        <v>0</v>
      </c>
      <c r="G4933" s="4"/>
      <c r="H4933" s="3">
        <v>0</v>
      </c>
    </row>
    <row r="4934" ht="14.25" spans="1:8">
      <c r="A4934" s="3" t="str">
        <f>"21903416330"</f>
        <v>21903416330</v>
      </c>
      <c r="B4934" s="3">
        <v>4</v>
      </c>
      <c r="C4934" s="3">
        <v>163</v>
      </c>
      <c r="D4934" s="3">
        <v>30</v>
      </c>
      <c r="E4934" s="3" t="s">
        <v>12</v>
      </c>
      <c r="F4934" s="3">
        <v>0</v>
      </c>
      <c r="G4934" s="4"/>
      <c r="H4934" s="3">
        <v>0</v>
      </c>
    </row>
    <row r="4935" ht="14.25" spans="1:8">
      <c r="A4935" s="3" t="str">
        <f>"21903416401"</f>
        <v>21903416401</v>
      </c>
      <c r="B4935" s="3">
        <v>4</v>
      </c>
      <c r="C4935" s="3">
        <v>164</v>
      </c>
      <c r="D4935" s="3">
        <v>1</v>
      </c>
      <c r="E4935" s="3" t="s">
        <v>12</v>
      </c>
      <c r="F4935" s="4">
        <v>66.5</v>
      </c>
      <c r="G4935" s="4"/>
      <c r="H4935" s="4">
        <f t="shared" ref="H4935:H4940" si="508">F4935+G4935</f>
        <v>66.5</v>
      </c>
    </row>
    <row r="4936" ht="14.25" spans="1:8">
      <c r="A4936" s="3" t="str">
        <f>"21903416402"</f>
        <v>21903416402</v>
      </c>
      <c r="B4936" s="3">
        <v>4</v>
      </c>
      <c r="C4936" s="3">
        <v>164</v>
      </c>
      <c r="D4936" s="3">
        <v>2</v>
      </c>
      <c r="E4936" s="3" t="s">
        <v>12</v>
      </c>
      <c r="F4936" s="4">
        <v>83.5</v>
      </c>
      <c r="G4936" s="4"/>
      <c r="H4936" s="4">
        <f t="shared" si="508"/>
        <v>83.5</v>
      </c>
    </row>
    <row r="4937" ht="14.25" spans="1:8">
      <c r="A4937" s="3" t="str">
        <f>"21903416403"</f>
        <v>21903416403</v>
      </c>
      <c r="B4937" s="3">
        <v>4</v>
      </c>
      <c r="C4937" s="3">
        <v>164</v>
      </c>
      <c r="D4937" s="3">
        <v>3</v>
      </c>
      <c r="E4937" s="3" t="s">
        <v>12</v>
      </c>
      <c r="F4937" s="3">
        <v>0</v>
      </c>
      <c r="G4937" s="4"/>
      <c r="H4937" s="3">
        <v>0</v>
      </c>
    </row>
    <row r="4938" ht="14.25" spans="1:8">
      <c r="A4938" s="3" t="str">
        <f>"21903416404"</f>
        <v>21903416404</v>
      </c>
      <c r="B4938" s="3">
        <v>4</v>
      </c>
      <c r="C4938" s="3">
        <v>164</v>
      </c>
      <c r="D4938" s="3">
        <v>4</v>
      </c>
      <c r="E4938" s="3" t="s">
        <v>12</v>
      </c>
      <c r="F4938" s="3">
        <v>0</v>
      </c>
      <c r="G4938" s="4"/>
      <c r="H4938" s="3">
        <v>0</v>
      </c>
    </row>
    <row r="4939" ht="14.25" spans="1:8">
      <c r="A4939" s="3" t="str">
        <f>"21903416405"</f>
        <v>21903416405</v>
      </c>
      <c r="B4939" s="3">
        <v>4</v>
      </c>
      <c r="C4939" s="3">
        <v>164</v>
      </c>
      <c r="D4939" s="3">
        <v>5</v>
      </c>
      <c r="E4939" s="3" t="s">
        <v>12</v>
      </c>
      <c r="F4939" s="4">
        <v>87</v>
      </c>
      <c r="G4939" s="4"/>
      <c r="H4939" s="4">
        <f t="shared" si="508"/>
        <v>87</v>
      </c>
    </row>
    <row r="4940" ht="14.25" spans="1:8">
      <c r="A4940" s="3" t="str">
        <f>"21903416406"</f>
        <v>21903416406</v>
      </c>
      <c r="B4940" s="3">
        <v>4</v>
      </c>
      <c r="C4940" s="3">
        <v>164</v>
      </c>
      <c r="D4940" s="3">
        <v>6</v>
      </c>
      <c r="E4940" s="3" t="s">
        <v>12</v>
      </c>
      <c r="F4940" s="4">
        <v>57.5</v>
      </c>
      <c r="G4940" s="4"/>
      <c r="H4940" s="4">
        <f t="shared" si="508"/>
        <v>57.5</v>
      </c>
    </row>
    <row r="4941" ht="14.25" spans="1:8">
      <c r="A4941" s="3" t="str">
        <f>"21903416407"</f>
        <v>21903416407</v>
      </c>
      <c r="B4941" s="3">
        <v>4</v>
      </c>
      <c r="C4941" s="3">
        <v>164</v>
      </c>
      <c r="D4941" s="3">
        <v>7</v>
      </c>
      <c r="E4941" s="3" t="s">
        <v>12</v>
      </c>
      <c r="F4941" s="3">
        <v>0</v>
      </c>
      <c r="G4941" s="4"/>
      <c r="H4941" s="3">
        <v>0</v>
      </c>
    </row>
    <row r="4942" ht="14.25" spans="1:8">
      <c r="A4942" s="3" t="str">
        <f>"21903416408"</f>
        <v>21903416408</v>
      </c>
      <c r="B4942" s="3">
        <v>4</v>
      </c>
      <c r="C4942" s="3">
        <v>164</v>
      </c>
      <c r="D4942" s="3">
        <v>8</v>
      </c>
      <c r="E4942" s="3" t="s">
        <v>12</v>
      </c>
      <c r="F4942" s="4">
        <v>80</v>
      </c>
      <c r="G4942" s="4"/>
      <c r="H4942" s="4">
        <f t="shared" ref="H4942:H4945" si="509">F4942+G4942</f>
        <v>80</v>
      </c>
    </row>
    <row r="4943" ht="14.25" spans="1:8">
      <c r="A4943" s="3" t="str">
        <f>"21903416409"</f>
        <v>21903416409</v>
      </c>
      <c r="B4943" s="3">
        <v>4</v>
      </c>
      <c r="C4943" s="3">
        <v>164</v>
      </c>
      <c r="D4943" s="3">
        <v>9</v>
      </c>
      <c r="E4943" s="3" t="s">
        <v>12</v>
      </c>
      <c r="F4943" s="3">
        <v>0</v>
      </c>
      <c r="G4943" s="4"/>
      <c r="H4943" s="3">
        <v>0</v>
      </c>
    </row>
    <row r="4944" ht="14.25" spans="1:8">
      <c r="A4944" s="3" t="str">
        <f>"21903416410"</f>
        <v>21903416410</v>
      </c>
      <c r="B4944" s="3">
        <v>4</v>
      </c>
      <c r="C4944" s="3">
        <v>164</v>
      </c>
      <c r="D4944" s="3">
        <v>10</v>
      </c>
      <c r="E4944" s="3" t="s">
        <v>12</v>
      </c>
      <c r="F4944" s="4">
        <v>65</v>
      </c>
      <c r="G4944" s="4"/>
      <c r="H4944" s="4">
        <f t="shared" si="509"/>
        <v>65</v>
      </c>
    </row>
    <row r="4945" ht="14.25" spans="1:8">
      <c r="A4945" s="3" t="str">
        <f>"21903416411"</f>
        <v>21903416411</v>
      </c>
      <c r="B4945" s="3">
        <v>4</v>
      </c>
      <c r="C4945" s="3">
        <v>164</v>
      </c>
      <c r="D4945" s="3">
        <v>11</v>
      </c>
      <c r="E4945" s="3" t="s">
        <v>12</v>
      </c>
      <c r="F4945" s="4">
        <v>65.5</v>
      </c>
      <c r="G4945" s="4"/>
      <c r="H4945" s="4">
        <f t="shared" si="509"/>
        <v>65.5</v>
      </c>
    </row>
    <row r="4946" ht="14.25" spans="1:8">
      <c r="A4946" s="3" t="str">
        <f>"21903416412"</f>
        <v>21903416412</v>
      </c>
      <c r="B4946" s="3">
        <v>4</v>
      </c>
      <c r="C4946" s="3">
        <v>164</v>
      </c>
      <c r="D4946" s="3">
        <v>12</v>
      </c>
      <c r="E4946" s="3" t="s">
        <v>12</v>
      </c>
      <c r="F4946" s="3">
        <v>0</v>
      </c>
      <c r="G4946" s="4"/>
      <c r="H4946" s="3">
        <v>0</v>
      </c>
    </row>
    <row r="4947" ht="14.25" spans="1:8">
      <c r="A4947" s="3" t="str">
        <f>"21903416413"</f>
        <v>21903416413</v>
      </c>
      <c r="B4947" s="3">
        <v>4</v>
      </c>
      <c r="C4947" s="3">
        <v>164</v>
      </c>
      <c r="D4947" s="3">
        <v>13</v>
      </c>
      <c r="E4947" s="3" t="s">
        <v>12</v>
      </c>
      <c r="F4947" s="3">
        <v>0</v>
      </c>
      <c r="G4947" s="4"/>
      <c r="H4947" s="3">
        <v>0</v>
      </c>
    </row>
    <row r="4948" ht="14.25" spans="1:8">
      <c r="A4948" s="3" t="str">
        <f>"21903416414"</f>
        <v>21903416414</v>
      </c>
      <c r="B4948" s="3">
        <v>4</v>
      </c>
      <c r="C4948" s="3">
        <v>164</v>
      </c>
      <c r="D4948" s="3">
        <v>14</v>
      </c>
      <c r="E4948" s="3" t="s">
        <v>12</v>
      </c>
      <c r="F4948" s="4">
        <v>84.5</v>
      </c>
      <c r="G4948" s="4"/>
      <c r="H4948" s="4">
        <f>F4948+G4948</f>
        <v>84.5</v>
      </c>
    </row>
    <row r="4949" ht="14.25" spans="1:8">
      <c r="A4949" s="3" t="str">
        <f>"21903416415"</f>
        <v>21903416415</v>
      </c>
      <c r="B4949" s="3">
        <v>4</v>
      </c>
      <c r="C4949" s="3">
        <v>164</v>
      </c>
      <c r="D4949" s="3">
        <v>15</v>
      </c>
      <c r="E4949" s="3" t="s">
        <v>12</v>
      </c>
      <c r="F4949" s="3">
        <v>0</v>
      </c>
      <c r="G4949" s="4"/>
      <c r="H4949" s="3">
        <v>0</v>
      </c>
    </row>
    <row r="4950" ht="14.25" spans="1:8">
      <c r="A4950" s="3" t="str">
        <f>"21903416416"</f>
        <v>21903416416</v>
      </c>
      <c r="B4950" s="3">
        <v>4</v>
      </c>
      <c r="C4950" s="3">
        <v>164</v>
      </c>
      <c r="D4950" s="3">
        <v>16</v>
      </c>
      <c r="E4950" s="3" t="s">
        <v>12</v>
      </c>
      <c r="F4950" s="3">
        <v>0</v>
      </c>
      <c r="G4950" s="4"/>
      <c r="H4950" s="3">
        <v>0</v>
      </c>
    </row>
    <row r="4951" ht="14.25" spans="1:8">
      <c r="A4951" s="3" t="str">
        <f>"21904416417"</f>
        <v>21904416417</v>
      </c>
      <c r="B4951" s="3">
        <v>4</v>
      </c>
      <c r="C4951" s="3">
        <v>164</v>
      </c>
      <c r="D4951" s="3">
        <v>17</v>
      </c>
      <c r="E4951" s="3" t="s">
        <v>12</v>
      </c>
      <c r="F4951" s="3">
        <v>0</v>
      </c>
      <c r="G4951" s="4"/>
      <c r="H4951" s="3">
        <v>0</v>
      </c>
    </row>
    <row r="4952" ht="14.25" spans="1:8">
      <c r="A4952" s="3" t="str">
        <f>"21904416418"</f>
        <v>21904416418</v>
      </c>
      <c r="B4952" s="3">
        <v>4</v>
      </c>
      <c r="C4952" s="3">
        <v>164</v>
      </c>
      <c r="D4952" s="3">
        <v>18</v>
      </c>
      <c r="E4952" s="3" t="s">
        <v>12</v>
      </c>
      <c r="F4952" s="3">
        <v>0</v>
      </c>
      <c r="G4952" s="4"/>
      <c r="H4952" s="3">
        <v>0</v>
      </c>
    </row>
    <row r="4953" ht="14.25" spans="1:8">
      <c r="A4953" s="3" t="str">
        <f>"21904416419"</f>
        <v>21904416419</v>
      </c>
      <c r="B4953" s="3">
        <v>4</v>
      </c>
      <c r="C4953" s="3">
        <v>164</v>
      </c>
      <c r="D4953" s="3">
        <v>19</v>
      </c>
      <c r="E4953" s="3" t="s">
        <v>12</v>
      </c>
      <c r="F4953" s="3">
        <v>0</v>
      </c>
      <c r="G4953" s="4"/>
      <c r="H4953" s="3">
        <v>0</v>
      </c>
    </row>
    <row r="4954" ht="14.25" spans="1:8">
      <c r="A4954" s="3" t="str">
        <f>"21904416420"</f>
        <v>21904416420</v>
      </c>
      <c r="B4954" s="3">
        <v>4</v>
      </c>
      <c r="C4954" s="3">
        <v>164</v>
      </c>
      <c r="D4954" s="3">
        <v>20</v>
      </c>
      <c r="E4954" s="3" t="s">
        <v>12</v>
      </c>
      <c r="F4954" s="3">
        <v>0</v>
      </c>
      <c r="G4954" s="4"/>
      <c r="H4954" s="3">
        <v>0</v>
      </c>
    </row>
    <row r="4955" ht="14.25" spans="1:8">
      <c r="A4955" s="3" t="str">
        <f>"21904416421"</f>
        <v>21904416421</v>
      </c>
      <c r="B4955" s="3">
        <v>4</v>
      </c>
      <c r="C4955" s="3">
        <v>164</v>
      </c>
      <c r="D4955" s="3">
        <v>21</v>
      </c>
      <c r="E4955" s="3" t="s">
        <v>12</v>
      </c>
      <c r="F4955" s="4">
        <v>66.5</v>
      </c>
      <c r="G4955" s="4"/>
      <c r="H4955" s="4">
        <f t="shared" ref="H4955:H4961" si="510">F4955+G4955</f>
        <v>66.5</v>
      </c>
    </row>
    <row r="4956" ht="14.25" spans="1:8">
      <c r="A4956" s="3" t="str">
        <f>"21905416422"</f>
        <v>21905416422</v>
      </c>
      <c r="B4956" s="3">
        <v>4</v>
      </c>
      <c r="C4956" s="3">
        <v>164</v>
      </c>
      <c r="D4956" s="3">
        <v>22</v>
      </c>
      <c r="E4956" s="3" t="s">
        <v>12</v>
      </c>
      <c r="F4956" s="3">
        <v>0</v>
      </c>
      <c r="G4956" s="4"/>
      <c r="H4956" s="3">
        <v>0</v>
      </c>
    </row>
    <row r="4957" ht="14.25" spans="1:8">
      <c r="A4957" s="3" t="str">
        <f>"21905416423"</f>
        <v>21905416423</v>
      </c>
      <c r="B4957" s="3">
        <v>4</v>
      </c>
      <c r="C4957" s="3">
        <v>164</v>
      </c>
      <c r="D4957" s="3">
        <v>23</v>
      </c>
      <c r="E4957" s="3" t="s">
        <v>12</v>
      </c>
      <c r="F4957" s="4">
        <v>76</v>
      </c>
      <c r="G4957" s="4"/>
      <c r="H4957" s="4">
        <f t="shared" si="510"/>
        <v>76</v>
      </c>
    </row>
    <row r="4958" ht="14.25" spans="1:8">
      <c r="A4958" s="3" t="str">
        <f>"21905416424"</f>
        <v>21905416424</v>
      </c>
      <c r="B4958" s="3">
        <v>4</v>
      </c>
      <c r="C4958" s="3">
        <v>164</v>
      </c>
      <c r="D4958" s="3">
        <v>24</v>
      </c>
      <c r="E4958" s="3" t="s">
        <v>12</v>
      </c>
      <c r="F4958" s="4">
        <v>75</v>
      </c>
      <c r="G4958" s="4"/>
      <c r="H4958" s="4">
        <f t="shared" si="510"/>
        <v>75</v>
      </c>
    </row>
    <row r="4959" ht="14.25" spans="1:8">
      <c r="A4959" s="3" t="str">
        <f>"21905416425"</f>
        <v>21905416425</v>
      </c>
      <c r="B4959" s="3">
        <v>4</v>
      </c>
      <c r="C4959" s="3">
        <v>164</v>
      </c>
      <c r="D4959" s="3">
        <v>25</v>
      </c>
      <c r="E4959" s="3" t="s">
        <v>12</v>
      </c>
      <c r="F4959" s="4">
        <v>74.5</v>
      </c>
      <c r="G4959" s="4"/>
      <c r="H4959" s="4">
        <f t="shared" si="510"/>
        <v>74.5</v>
      </c>
    </row>
    <row r="4960" ht="14.25" spans="1:8">
      <c r="A4960" s="3" t="str">
        <f>"21906416426"</f>
        <v>21906416426</v>
      </c>
      <c r="B4960" s="3">
        <v>4</v>
      </c>
      <c r="C4960" s="3">
        <v>164</v>
      </c>
      <c r="D4960" s="3">
        <v>26</v>
      </c>
      <c r="E4960" s="3" t="s">
        <v>12</v>
      </c>
      <c r="F4960" s="4">
        <v>61</v>
      </c>
      <c r="G4960" s="4"/>
      <c r="H4960" s="4">
        <f t="shared" si="510"/>
        <v>61</v>
      </c>
    </row>
    <row r="4961" ht="14.25" spans="1:8">
      <c r="A4961" s="3" t="str">
        <f>"21906416427"</f>
        <v>21906416427</v>
      </c>
      <c r="B4961" s="3">
        <v>4</v>
      </c>
      <c r="C4961" s="3">
        <v>164</v>
      </c>
      <c r="D4961" s="3">
        <v>27</v>
      </c>
      <c r="E4961" s="3" t="s">
        <v>12</v>
      </c>
      <c r="F4961" s="4">
        <v>81.5</v>
      </c>
      <c r="G4961" s="4"/>
      <c r="H4961" s="4">
        <f t="shared" si="510"/>
        <v>81.5</v>
      </c>
    </row>
    <row r="4962" ht="14.25" spans="1:8">
      <c r="A4962" s="3" t="str">
        <f>"21906416428"</f>
        <v>21906416428</v>
      </c>
      <c r="B4962" s="3">
        <v>4</v>
      </c>
      <c r="C4962" s="3">
        <v>164</v>
      </c>
      <c r="D4962" s="3">
        <v>28</v>
      </c>
      <c r="E4962" s="3" t="s">
        <v>12</v>
      </c>
      <c r="F4962" s="3">
        <v>0</v>
      </c>
      <c r="G4962" s="4"/>
      <c r="H4962" s="3">
        <v>0</v>
      </c>
    </row>
    <row r="4963" ht="14.25" spans="1:8">
      <c r="A4963" s="3" t="str">
        <f>"21906416429"</f>
        <v>21906416429</v>
      </c>
      <c r="B4963" s="3">
        <v>4</v>
      </c>
      <c r="C4963" s="3">
        <v>164</v>
      </c>
      <c r="D4963" s="3">
        <v>29</v>
      </c>
      <c r="E4963" s="3" t="s">
        <v>12</v>
      </c>
      <c r="F4963" s="4">
        <v>81.5</v>
      </c>
      <c r="G4963" s="4"/>
      <c r="H4963" s="4">
        <f t="shared" ref="H4963:H4972" si="511">F4963+G4963</f>
        <v>81.5</v>
      </c>
    </row>
    <row r="4964" ht="14.25" spans="1:8">
      <c r="A4964" s="3" t="str">
        <f>"21906416430"</f>
        <v>21906416430</v>
      </c>
      <c r="B4964" s="3">
        <v>4</v>
      </c>
      <c r="C4964" s="3">
        <v>164</v>
      </c>
      <c r="D4964" s="3">
        <v>30</v>
      </c>
      <c r="E4964" s="3" t="s">
        <v>12</v>
      </c>
      <c r="F4964" s="4">
        <v>81.5</v>
      </c>
      <c r="G4964" s="4"/>
      <c r="H4964" s="4">
        <f t="shared" si="511"/>
        <v>81.5</v>
      </c>
    </row>
    <row r="4965" ht="14.25" spans="1:8">
      <c r="A4965" s="3" t="str">
        <f>"21906416501"</f>
        <v>21906416501</v>
      </c>
      <c r="B4965" s="3">
        <v>4</v>
      </c>
      <c r="C4965" s="3">
        <v>165</v>
      </c>
      <c r="D4965" s="3">
        <v>1</v>
      </c>
      <c r="E4965" s="3" t="s">
        <v>12</v>
      </c>
      <c r="F4965" s="4">
        <v>68</v>
      </c>
      <c r="G4965" s="4"/>
      <c r="H4965" s="4">
        <f t="shared" si="511"/>
        <v>68</v>
      </c>
    </row>
    <row r="4966" ht="14.25" spans="1:8">
      <c r="A4966" s="3" t="str">
        <f>"21906416502"</f>
        <v>21906416502</v>
      </c>
      <c r="B4966" s="3">
        <v>4</v>
      </c>
      <c r="C4966" s="3">
        <v>165</v>
      </c>
      <c r="D4966" s="3">
        <v>2</v>
      </c>
      <c r="E4966" s="3" t="s">
        <v>12</v>
      </c>
      <c r="F4966" s="4">
        <v>83</v>
      </c>
      <c r="G4966" s="4"/>
      <c r="H4966" s="4">
        <f t="shared" si="511"/>
        <v>83</v>
      </c>
    </row>
    <row r="4967" ht="14.25" spans="1:8">
      <c r="A4967" s="3" t="str">
        <f>"21906416503"</f>
        <v>21906416503</v>
      </c>
      <c r="B4967" s="3">
        <v>4</v>
      </c>
      <c r="C4967" s="3">
        <v>165</v>
      </c>
      <c r="D4967" s="3">
        <v>3</v>
      </c>
      <c r="E4967" s="3" t="s">
        <v>12</v>
      </c>
      <c r="F4967" s="4">
        <v>58.5</v>
      </c>
      <c r="G4967" s="4"/>
      <c r="H4967" s="4">
        <f t="shared" si="511"/>
        <v>58.5</v>
      </c>
    </row>
    <row r="4968" ht="14.25" spans="1:8">
      <c r="A4968" s="3" t="str">
        <f>"21906416504"</f>
        <v>21906416504</v>
      </c>
      <c r="B4968" s="3">
        <v>4</v>
      </c>
      <c r="C4968" s="3">
        <v>165</v>
      </c>
      <c r="D4968" s="3">
        <v>4</v>
      </c>
      <c r="E4968" s="3" t="s">
        <v>12</v>
      </c>
      <c r="F4968" s="4">
        <v>76.5</v>
      </c>
      <c r="G4968" s="4"/>
      <c r="H4968" s="4">
        <f t="shared" si="511"/>
        <v>76.5</v>
      </c>
    </row>
    <row r="4969" ht="14.25" spans="1:8">
      <c r="A4969" s="3" t="str">
        <f>"21906416505"</f>
        <v>21906416505</v>
      </c>
      <c r="B4969" s="3">
        <v>4</v>
      </c>
      <c r="C4969" s="3">
        <v>165</v>
      </c>
      <c r="D4969" s="3">
        <v>5</v>
      </c>
      <c r="E4969" s="3" t="s">
        <v>12</v>
      </c>
      <c r="F4969" s="4">
        <v>77</v>
      </c>
      <c r="G4969" s="4"/>
      <c r="H4969" s="4">
        <f t="shared" si="511"/>
        <v>77</v>
      </c>
    </row>
    <row r="4970" ht="14.25" spans="1:8">
      <c r="A4970" s="3" t="str">
        <f>"21906416506"</f>
        <v>21906416506</v>
      </c>
      <c r="B4970" s="3">
        <v>4</v>
      </c>
      <c r="C4970" s="3">
        <v>165</v>
      </c>
      <c r="D4970" s="3">
        <v>6</v>
      </c>
      <c r="E4970" s="3" t="s">
        <v>12</v>
      </c>
      <c r="F4970" s="4">
        <v>54</v>
      </c>
      <c r="G4970" s="4"/>
      <c r="H4970" s="4">
        <f t="shared" si="511"/>
        <v>54</v>
      </c>
    </row>
    <row r="4971" ht="14.25" spans="1:8">
      <c r="A4971" s="3" t="str">
        <f>"21906416507"</f>
        <v>21906416507</v>
      </c>
      <c r="B4971" s="3">
        <v>4</v>
      </c>
      <c r="C4971" s="3">
        <v>165</v>
      </c>
      <c r="D4971" s="3">
        <v>7</v>
      </c>
      <c r="E4971" s="3" t="s">
        <v>12</v>
      </c>
      <c r="F4971" s="4">
        <v>76.5</v>
      </c>
      <c r="G4971" s="4"/>
      <c r="H4971" s="4">
        <f t="shared" si="511"/>
        <v>76.5</v>
      </c>
    </row>
    <row r="4972" ht="14.25" spans="1:8">
      <c r="A4972" s="3" t="str">
        <f>"21906416508"</f>
        <v>21906416508</v>
      </c>
      <c r="B4972" s="3">
        <v>4</v>
      </c>
      <c r="C4972" s="3">
        <v>165</v>
      </c>
      <c r="D4972" s="3">
        <v>8</v>
      </c>
      <c r="E4972" s="3" t="s">
        <v>12</v>
      </c>
      <c r="F4972" s="4">
        <v>65</v>
      </c>
      <c r="G4972" s="4"/>
      <c r="H4972" s="4">
        <f t="shared" si="511"/>
        <v>65</v>
      </c>
    </row>
    <row r="4973" ht="14.25" spans="1:8">
      <c r="A4973" s="3" t="str">
        <f>"21907416509"</f>
        <v>21907416509</v>
      </c>
      <c r="B4973" s="3">
        <v>4</v>
      </c>
      <c r="C4973" s="3">
        <v>165</v>
      </c>
      <c r="D4973" s="3">
        <v>9</v>
      </c>
      <c r="E4973" s="3" t="s">
        <v>12</v>
      </c>
      <c r="F4973" s="3">
        <v>0</v>
      </c>
      <c r="G4973" s="4"/>
      <c r="H4973" s="3">
        <v>0</v>
      </c>
    </row>
    <row r="4974" ht="14.25" spans="1:8">
      <c r="A4974" s="3" t="str">
        <f>"21907416510"</f>
        <v>21907416510</v>
      </c>
      <c r="B4974" s="3">
        <v>4</v>
      </c>
      <c r="C4974" s="3">
        <v>165</v>
      </c>
      <c r="D4974" s="3">
        <v>10</v>
      </c>
      <c r="E4974" s="3" t="s">
        <v>12</v>
      </c>
      <c r="F4974" s="3">
        <v>0</v>
      </c>
      <c r="G4974" s="4"/>
      <c r="H4974" s="3">
        <v>0</v>
      </c>
    </row>
    <row r="4975" ht="14.25" spans="1:8">
      <c r="A4975" s="3" t="str">
        <f>"21907416511"</f>
        <v>21907416511</v>
      </c>
      <c r="B4975" s="3">
        <v>4</v>
      </c>
      <c r="C4975" s="3">
        <v>165</v>
      </c>
      <c r="D4975" s="3">
        <v>11</v>
      </c>
      <c r="E4975" s="3" t="s">
        <v>12</v>
      </c>
      <c r="F4975" s="3">
        <v>0</v>
      </c>
      <c r="G4975" s="4"/>
      <c r="H4975" s="3">
        <v>0</v>
      </c>
    </row>
    <row r="4976" ht="14.25" spans="1:8">
      <c r="A4976" s="3" t="str">
        <f>"21907416512"</f>
        <v>21907416512</v>
      </c>
      <c r="B4976" s="3">
        <v>4</v>
      </c>
      <c r="C4976" s="3">
        <v>165</v>
      </c>
      <c r="D4976" s="3">
        <v>12</v>
      </c>
      <c r="E4976" s="3" t="s">
        <v>12</v>
      </c>
      <c r="F4976" s="3">
        <v>0</v>
      </c>
      <c r="G4976" s="4"/>
      <c r="H4976" s="3">
        <v>0</v>
      </c>
    </row>
    <row r="4977" ht="14.25" spans="1:8">
      <c r="A4977" s="3" t="str">
        <f>"21907416513"</f>
        <v>21907416513</v>
      </c>
      <c r="B4977" s="3">
        <v>4</v>
      </c>
      <c r="C4977" s="3">
        <v>165</v>
      </c>
      <c r="D4977" s="3">
        <v>13</v>
      </c>
      <c r="E4977" s="3" t="s">
        <v>12</v>
      </c>
      <c r="F4977" s="4">
        <v>78.5</v>
      </c>
      <c r="G4977" s="4"/>
      <c r="H4977" s="4">
        <f>F4977+G4977</f>
        <v>78.5</v>
      </c>
    </row>
    <row r="4978" ht="14.25" spans="1:8">
      <c r="A4978" s="3" t="str">
        <f>"21907416514"</f>
        <v>21907416514</v>
      </c>
      <c r="B4978" s="3">
        <v>4</v>
      </c>
      <c r="C4978" s="3">
        <v>165</v>
      </c>
      <c r="D4978" s="3">
        <v>14</v>
      </c>
      <c r="E4978" s="3" t="s">
        <v>12</v>
      </c>
      <c r="F4978" s="3">
        <v>0</v>
      </c>
      <c r="G4978" s="4"/>
      <c r="H4978" s="3">
        <v>0</v>
      </c>
    </row>
    <row r="4979" ht="14.25" spans="1:8">
      <c r="A4979" s="3" t="str">
        <f>"21907416515"</f>
        <v>21907416515</v>
      </c>
      <c r="B4979" s="3">
        <v>4</v>
      </c>
      <c r="C4979" s="3">
        <v>165</v>
      </c>
      <c r="D4979" s="3">
        <v>15</v>
      </c>
      <c r="E4979" s="3" t="s">
        <v>12</v>
      </c>
      <c r="F4979" s="3">
        <v>0</v>
      </c>
      <c r="G4979" s="4"/>
      <c r="H4979" s="3">
        <v>0</v>
      </c>
    </row>
    <row r="4980" ht="14.25" spans="1:8">
      <c r="A4980" s="3" t="str">
        <f>"21907416516"</f>
        <v>21907416516</v>
      </c>
      <c r="B4980" s="3">
        <v>4</v>
      </c>
      <c r="C4980" s="3">
        <v>165</v>
      </c>
      <c r="D4980" s="3">
        <v>16</v>
      </c>
      <c r="E4980" s="3" t="s">
        <v>12</v>
      </c>
      <c r="F4980" s="3">
        <v>0</v>
      </c>
      <c r="G4980" s="4"/>
      <c r="H4980" s="3">
        <v>0</v>
      </c>
    </row>
    <row r="4981" ht="14.25" spans="1:8">
      <c r="A4981" s="3" t="str">
        <f>"21907416517"</f>
        <v>21907416517</v>
      </c>
      <c r="B4981" s="3">
        <v>4</v>
      </c>
      <c r="C4981" s="3">
        <v>165</v>
      </c>
      <c r="D4981" s="3">
        <v>17</v>
      </c>
      <c r="E4981" s="3" t="s">
        <v>12</v>
      </c>
      <c r="F4981" s="3">
        <v>0</v>
      </c>
      <c r="G4981" s="4"/>
      <c r="H4981" s="3">
        <v>0</v>
      </c>
    </row>
    <row r="4982" ht="14.25" spans="1:8">
      <c r="A4982" s="3" t="str">
        <f>"21907416518"</f>
        <v>21907416518</v>
      </c>
      <c r="B4982" s="3">
        <v>4</v>
      </c>
      <c r="C4982" s="3">
        <v>165</v>
      </c>
      <c r="D4982" s="3">
        <v>18</v>
      </c>
      <c r="E4982" s="3" t="s">
        <v>12</v>
      </c>
      <c r="F4982" s="3">
        <v>0</v>
      </c>
      <c r="G4982" s="4"/>
      <c r="H4982" s="3">
        <v>0</v>
      </c>
    </row>
    <row r="4983" ht="14.25" spans="1:8">
      <c r="A4983" s="3" t="str">
        <f>"21907416519"</f>
        <v>21907416519</v>
      </c>
      <c r="B4983" s="3">
        <v>4</v>
      </c>
      <c r="C4983" s="3">
        <v>165</v>
      </c>
      <c r="D4983" s="3">
        <v>19</v>
      </c>
      <c r="E4983" s="3" t="s">
        <v>12</v>
      </c>
      <c r="F4983" s="4">
        <v>62</v>
      </c>
      <c r="G4983" s="4"/>
      <c r="H4983" s="4">
        <f>F4983+G4983</f>
        <v>62</v>
      </c>
    </row>
    <row r="4984" ht="14.25" spans="1:8">
      <c r="A4984" s="3" t="str">
        <f>"21907416520"</f>
        <v>21907416520</v>
      </c>
      <c r="B4984" s="3">
        <v>4</v>
      </c>
      <c r="C4984" s="3">
        <v>165</v>
      </c>
      <c r="D4984" s="3">
        <v>20</v>
      </c>
      <c r="E4984" s="3" t="s">
        <v>12</v>
      </c>
      <c r="F4984" s="3">
        <v>0</v>
      </c>
      <c r="G4984" s="4"/>
      <c r="H4984" s="3">
        <v>0</v>
      </c>
    </row>
    <row r="4985" ht="14.25" spans="1:8">
      <c r="A4985" s="3" t="str">
        <f>"21907416521"</f>
        <v>21907416521</v>
      </c>
      <c r="B4985" s="3">
        <v>4</v>
      </c>
      <c r="C4985" s="3">
        <v>165</v>
      </c>
      <c r="D4985" s="3">
        <v>21</v>
      </c>
      <c r="E4985" s="3" t="s">
        <v>12</v>
      </c>
      <c r="F4985" s="3">
        <v>0</v>
      </c>
      <c r="G4985" s="4"/>
      <c r="H4985" s="3">
        <v>0</v>
      </c>
    </row>
    <row r="4986" ht="14.25" spans="1:8">
      <c r="A4986" s="3" t="str">
        <f>"21907416522"</f>
        <v>21907416522</v>
      </c>
      <c r="B4986" s="3">
        <v>4</v>
      </c>
      <c r="C4986" s="3">
        <v>165</v>
      </c>
      <c r="D4986" s="3">
        <v>22</v>
      </c>
      <c r="E4986" s="3" t="s">
        <v>12</v>
      </c>
      <c r="F4986" s="3">
        <v>0</v>
      </c>
      <c r="G4986" s="4"/>
      <c r="H4986" s="3">
        <v>0</v>
      </c>
    </row>
    <row r="4987" ht="14.25" spans="1:8">
      <c r="A4987" s="3" t="str">
        <f>"21907416523"</f>
        <v>21907416523</v>
      </c>
      <c r="B4987" s="3">
        <v>4</v>
      </c>
      <c r="C4987" s="3">
        <v>165</v>
      </c>
      <c r="D4987" s="3">
        <v>23</v>
      </c>
      <c r="E4987" s="3" t="s">
        <v>12</v>
      </c>
      <c r="F4987" s="3">
        <v>0</v>
      </c>
      <c r="G4987" s="4"/>
      <c r="H4987" s="3">
        <v>0</v>
      </c>
    </row>
    <row r="4988" ht="14.25" spans="1:8">
      <c r="A4988" s="3" t="str">
        <f>"21907416524"</f>
        <v>21907416524</v>
      </c>
      <c r="B4988" s="3">
        <v>4</v>
      </c>
      <c r="C4988" s="3">
        <v>165</v>
      </c>
      <c r="D4988" s="3">
        <v>24</v>
      </c>
      <c r="E4988" s="3" t="s">
        <v>12</v>
      </c>
      <c r="F4988" s="3">
        <v>0</v>
      </c>
      <c r="G4988" s="4"/>
      <c r="H4988" s="3">
        <v>0</v>
      </c>
    </row>
    <row r="4989" ht="14.25" spans="1:8">
      <c r="A4989" s="3" t="str">
        <f>"21907416525"</f>
        <v>21907416525</v>
      </c>
      <c r="B4989" s="3">
        <v>4</v>
      </c>
      <c r="C4989" s="3">
        <v>165</v>
      </c>
      <c r="D4989" s="3">
        <v>25</v>
      </c>
      <c r="E4989" s="3" t="s">
        <v>12</v>
      </c>
      <c r="F4989" s="3">
        <v>0</v>
      </c>
      <c r="G4989" s="4"/>
      <c r="H4989" s="3">
        <v>0</v>
      </c>
    </row>
    <row r="4990" ht="14.25" spans="1:8">
      <c r="A4990" s="3" t="str">
        <f>"21907416526"</f>
        <v>21907416526</v>
      </c>
      <c r="B4990" s="3">
        <v>4</v>
      </c>
      <c r="C4990" s="3">
        <v>165</v>
      </c>
      <c r="D4990" s="3">
        <v>26</v>
      </c>
      <c r="E4990" s="3" t="s">
        <v>12</v>
      </c>
      <c r="F4990" s="3">
        <v>0</v>
      </c>
      <c r="G4990" s="4"/>
      <c r="H4990" s="3">
        <v>0</v>
      </c>
    </row>
    <row r="4991" ht="14.25" spans="1:8">
      <c r="A4991" s="3" t="str">
        <f>"21907416527"</f>
        <v>21907416527</v>
      </c>
      <c r="B4991" s="3">
        <v>4</v>
      </c>
      <c r="C4991" s="3">
        <v>165</v>
      </c>
      <c r="D4991" s="3">
        <v>27</v>
      </c>
      <c r="E4991" s="3" t="s">
        <v>12</v>
      </c>
      <c r="F4991" s="3">
        <v>0</v>
      </c>
      <c r="G4991" s="4"/>
      <c r="H4991" s="3">
        <v>0</v>
      </c>
    </row>
    <row r="4992" ht="14.25" spans="1:8">
      <c r="A4992" s="3" t="str">
        <f>"21907416528"</f>
        <v>21907416528</v>
      </c>
      <c r="B4992" s="3">
        <v>4</v>
      </c>
      <c r="C4992" s="3">
        <v>165</v>
      </c>
      <c r="D4992" s="3">
        <v>28</v>
      </c>
      <c r="E4992" s="3" t="s">
        <v>12</v>
      </c>
      <c r="F4992" s="3">
        <v>0</v>
      </c>
      <c r="G4992" s="4"/>
      <c r="H4992" s="3">
        <v>0</v>
      </c>
    </row>
    <row r="4993" ht="14.25" spans="1:8">
      <c r="A4993" s="3" t="str">
        <f>"21907416529"</f>
        <v>21907416529</v>
      </c>
      <c r="B4993" s="3">
        <v>4</v>
      </c>
      <c r="C4993" s="3">
        <v>165</v>
      </c>
      <c r="D4993" s="3">
        <v>29</v>
      </c>
      <c r="E4993" s="3" t="s">
        <v>12</v>
      </c>
      <c r="F4993" s="4">
        <v>54</v>
      </c>
      <c r="G4993" s="4"/>
      <c r="H4993" s="4">
        <f t="shared" ref="H4993:H5005" si="512">F4993+G4993</f>
        <v>54</v>
      </c>
    </row>
    <row r="4994" ht="14.25" spans="1:8">
      <c r="A4994" s="3" t="str">
        <f>"21907416530"</f>
        <v>21907416530</v>
      </c>
      <c r="B4994" s="3">
        <v>4</v>
      </c>
      <c r="C4994" s="3">
        <v>165</v>
      </c>
      <c r="D4994" s="3">
        <v>30</v>
      </c>
      <c r="E4994" s="3" t="s">
        <v>12</v>
      </c>
      <c r="F4994" s="3">
        <v>0</v>
      </c>
      <c r="G4994" s="4"/>
      <c r="H4994" s="3">
        <v>0</v>
      </c>
    </row>
    <row r="4995" ht="14.25" spans="1:8">
      <c r="A4995" s="3" t="str">
        <f>"22001522514"</f>
        <v>22001522514</v>
      </c>
      <c r="B4995" s="3">
        <v>5</v>
      </c>
      <c r="C4995" s="3">
        <v>225</v>
      </c>
      <c r="D4995" s="3">
        <v>14</v>
      </c>
      <c r="E4995" s="3" t="s">
        <v>9</v>
      </c>
      <c r="F4995" s="4">
        <v>80.5</v>
      </c>
      <c r="G4995" s="4"/>
      <c r="H4995" s="4">
        <f t="shared" si="512"/>
        <v>80.5</v>
      </c>
    </row>
    <row r="4996" ht="14.25" spans="1:8">
      <c r="A4996" s="3" t="str">
        <f>"22001522515"</f>
        <v>22001522515</v>
      </c>
      <c r="B4996" s="3">
        <v>5</v>
      </c>
      <c r="C4996" s="3">
        <v>225</v>
      </c>
      <c r="D4996" s="3">
        <v>15</v>
      </c>
      <c r="E4996" s="3" t="s">
        <v>9</v>
      </c>
      <c r="F4996" s="4">
        <v>61.5</v>
      </c>
      <c r="G4996" s="4"/>
      <c r="H4996" s="4">
        <f t="shared" si="512"/>
        <v>61.5</v>
      </c>
    </row>
    <row r="4997" ht="14.25" spans="1:8">
      <c r="A4997" s="3" t="str">
        <f>"22001522516"</f>
        <v>22001522516</v>
      </c>
      <c r="B4997" s="3">
        <v>5</v>
      </c>
      <c r="C4997" s="3">
        <v>225</v>
      </c>
      <c r="D4997" s="3">
        <v>16</v>
      </c>
      <c r="E4997" s="3" t="s">
        <v>9</v>
      </c>
      <c r="F4997" s="4">
        <v>71</v>
      </c>
      <c r="G4997" s="4"/>
      <c r="H4997" s="4">
        <f t="shared" si="512"/>
        <v>71</v>
      </c>
    </row>
    <row r="4998" ht="14.25" spans="1:8">
      <c r="A4998" s="3" t="str">
        <f>"22001522517"</f>
        <v>22001522517</v>
      </c>
      <c r="B4998" s="3">
        <v>5</v>
      </c>
      <c r="C4998" s="3">
        <v>225</v>
      </c>
      <c r="D4998" s="3">
        <v>17</v>
      </c>
      <c r="E4998" s="3" t="s">
        <v>9</v>
      </c>
      <c r="F4998" s="4">
        <v>78.5</v>
      </c>
      <c r="G4998" s="4"/>
      <c r="H4998" s="4">
        <f t="shared" si="512"/>
        <v>78.5</v>
      </c>
    </row>
    <row r="4999" ht="14.25" spans="1:8">
      <c r="A4999" s="3" t="str">
        <f>"22001522518"</f>
        <v>22001522518</v>
      </c>
      <c r="B4999" s="3">
        <v>5</v>
      </c>
      <c r="C4999" s="3">
        <v>225</v>
      </c>
      <c r="D4999" s="3">
        <v>18</v>
      </c>
      <c r="E4999" s="3" t="s">
        <v>9</v>
      </c>
      <c r="F4999" s="4">
        <v>60</v>
      </c>
      <c r="G4999" s="4"/>
      <c r="H4999" s="4">
        <f t="shared" si="512"/>
        <v>60</v>
      </c>
    </row>
    <row r="5000" ht="14.25" spans="1:8">
      <c r="A5000" s="3" t="str">
        <f>"22001522519"</f>
        <v>22001522519</v>
      </c>
      <c r="B5000" s="3">
        <v>5</v>
      </c>
      <c r="C5000" s="3">
        <v>225</v>
      </c>
      <c r="D5000" s="3">
        <v>19</v>
      </c>
      <c r="E5000" s="3" t="s">
        <v>9</v>
      </c>
      <c r="F5000" s="4">
        <v>49.5</v>
      </c>
      <c r="G5000" s="4"/>
      <c r="H5000" s="4">
        <f t="shared" si="512"/>
        <v>49.5</v>
      </c>
    </row>
    <row r="5001" ht="14.25" spans="1:8">
      <c r="A5001" s="3" t="str">
        <f>"22001522520"</f>
        <v>22001522520</v>
      </c>
      <c r="B5001" s="3">
        <v>5</v>
      </c>
      <c r="C5001" s="3">
        <v>225</v>
      </c>
      <c r="D5001" s="3">
        <v>20</v>
      </c>
      <c r="E5001" s="3" t="s">
        <v>9</v>
      </c>
      <c r="F5001" s="4">
        <v>74</v>
      </c>
      <c r="G5001" s="4"/>
      <c r="H5001" s="4">
        <f t="shared" si="512"/>
        <v>74</v>
      </c>
    </row>
    <row r="5002" ht="14.25" spans="1:8">
      <c r="A5002" s="3" t="str">
        <f>"22001522521"</f>
        <v>22001522521</v>
      </c>
      <c r="B5002" s="3">
        <v>5</v>
      </c>
      <c r="C5002" s="3">
        <v>225</v>
      </c>
      <c r="D5002" s="3">
        <v>21</v>
      </c>
      <c r="E5002" s="3" t="s">
        <v>9</v>
      </c>
      <c r="F5002" s="4">
        <v>62</v>
      </c>
      <c r="G5002" s="4"/>
      <c r="H5002" s="4">
        <f t="shared" si="512"/>
        <v>62</v>
      </c>
    </row>
    <row r="5003" ht="14.25" spans="1:8">
      <c r="A5003" s="3" t="str">
        <f>"22001522522"</f>
        <v>22001522522</v>
      </c>
      <c r="B5003" s="3">
        <v>5</v>
      </c>
      <c r="C5003" s="3">
        <v>225</v>
      </c>
      <c r="D5003" s="3">
        <v>22</v>
      </c>
      <c r="E5003" s="3" t="s">
        <v>9</v>
      </c>
      <c r="F5003" s="4">
        <v>62</v>
      </c>
      <c r="G5003" s="4"/>
      <c r="H5003" s="4">
        <f t="shared" si="512"/>
        <v>62</v>
      </c>
    </row>
    <row r="5004" ht="14.25" spans="1:8">
      <c r="A5004" s="3" t="str">
        <f>"22001522523"</f>
        <v>22001522523</v>
      </c>
      <c r="B5004" s="3">
        <v>5</v>
      </c>
      <c r="C5004" s="3">
        <v>225</v>
      </c>
      <c r="D5004" s="3">
        <v>23</v>
      </c>
      <c r="E5004" s="3" t="s">
        <v>9</v>
      </c>
      <c r="F5004" s="4">
        <v>60</v>
      </c>
      <c r="G5004" s="4"/>
      <c r="H5004" s="4">
        <f t="shared" si="512"/>
        <v>60</v>
      </c>
    </row>
    <row r="5005" ht="14.25" spans="1:8">
      <c r="A5005" s="3" t="str">
        <f>"22001522524"</f>
        <v>22001522524</v>
      </c>
      <c r="B5005" s="3">
        <v>5</v>
      </c>
      <c r="C5005" s="3">
        <v>225</v>
      </c>
      <c r="D5005" s="3">
        <v>24</v>
      </c>
      <c r="E5005" s="3" t="s">
        <v>9</v>
      </c>
      <c r="F5005" s="4">
        <v>75</v>
      </c>
      <c r="G5005" s="4"/>
      <c r="H5005" s="4">
        <f t="shared" si="512"/>
        <v>75</v>
      </c>
    </row>
    <row r="5006" ht="14.25" spans="1:8">
      <c r="A5006" s="3" t="str">
        <f>"22001522525"</f>
        <v>22001522525</v>
      </c>
      <c r="B5006" s="3">
        <v>5</v>
      </c>
      <c r="C5006" s="3">
        <v>225</v>
      </c>
      <c r="D5006" s="3">
        <v>25</v>
      </c>
      <c r="E5006" s="3" t="s">
        <v>9</v>
      </c>
      <c r="F5006" s="3">
        <v>0</v>
      </c>
      <c r="G5006" s="4"/>
      <c r="H5006" s="3">
        <v>0</v>
      </c>
    </row>
    <row r="5007" ht="14.25" spans="1:8">
      <c r="A5007" s="3" t="str">
        <f>"22001522526"</f>
        <v>22001522526</v>
      </c>
      <c r="B5007" s="3">
        <v>5</v>
      </c>
      <c r="C5007" s="3">
        <v>225</v>
      </c>
      <c r="D5007" s="3">
        <v>26</v>
      </c>
      <c r="E5007" s="3" t="s">
        <v>9</v>
      </c>
      <c r="F5007" s="4">
        <v>74</v>
      </c>
      <c r="G5007" s="4"/>
      <c r="H5007" s="4">
        <f t="shared" ref="H5007:H5010" si="513">F5007+G5007</f>
        <v>74</v>
      </c>
    </row>
    <row r="5008" ht="14.25" spans="1:8">
      <c r="A5008" s="3" t="str">
        <f>"22001522527"</f>
        <v>22001522527</v>
      </c>
      <c r="B5008" s="3">
        <v>5</v>
      </c>
      <c r="C5008" s="3">
        <v>225</v>
      </c>
      <c r="D5008" s="3">
        <v>27</v>
      </c>
      <c r="E5008" s="3" t="s">
        <v>9</v>
      </c>
      <c r="F5008" s="4">
        <v>67</v>
      </c>
      <c r="G5008" s="4"/>
      <c r="H5008" s="4">
        <f t="shared" si="513"/>
        <v>67</v>
      </c>
    </row>
    <row r="5009" ht="14.25" spans="1:8">
      <c r="A5009" s="3" t="str">
        <f>"22001522528"</f>
        <v>22001522528</v>
      </c>
      <c r="B5009" s="3">
        <v>5</v>
      </c>
      <c r="C5009" s="3">
        <v>225</v>
      </c>
      <c r="D5009" s="3">
        <v>28</v>
      </c>
      <c r="E5009" s="3" t="s">
        <v>9</v>
      </c>
      <c r="F5009" s="4">
        <v>66</v>
      </c>
      <c r="G5009" s="4"/>
      <c r="H5009" s="4">
        <f t="shared" si="513"/>
        <v>66</v>
      </c>
    </row>
    <row r="5010" ht="14.25" spans="1:8">
      <c r="A5010" s="3" t="str">
        <f>"22001522529"</f>
        <v>22001522529</v>
      </c>
      <c r="B5010" s="3">
        <v>5</v>
      </c>
      <c r="C5010" s="3">
        <v>225</v>
      </c>
      <c r="D5010" s="3">
        <v>29</v>
      </c>
      <c r="E5010" s="3" t="s">
        <v>9</v>
      </c>
      <c r="F5010" s="4">
        <v>79.5</v>
      </c>
      <c r="G5010" s="4"/>
      <c r="H5010" s="4">
        <f t="shared" si="513"/>
        <v>79.5</v>
      </c>
    </row>
    <row r="5011" ht="14.25" spans="1:8">
      <c r="A5011" s="3" t="str">
        <f>"22001522530"</f>
        <v>22001522530</v>
      </c>
      <c r="B5011" s="3">
        <v>5</v>
      </c>
      <c r="C5011" s="3">
        <v>225</v>
      </c>
      <c r="D5011" s="3">
        <v>30</v>
      </c>
      <c r="E5011" s="3" t="s">
        <v>9</v>
      </c>
      <c r="F5011" s="3">
        <v>0</v>
      </c>
      <c r="G5011" s="4"/>
      <c r="H5011" s="3">
        <v>0</v>
      </c>
    </row>
    <row r="5012" ht="14.25" spans="1:8">
      <c r="A5012" s="3" t="str">
        <f>"22001522601"</f>
        <v>22001522601</v>
      </c>
      <c r="B5012" s="3">
        <v>5</v>
      </c>
      <c r="C5012" s="3">
        <v>226</v>
      </c>
      <c r="D5012" s="3">
        <v>1</v>
      </c>
      <c r="E5012" s="3" t="s">
        <v>9</v>
      </c>
      <c r="F5012" s="4">
        <v>61.5</v>
      </c>
      <c r="G5012" s="4"/>
      <c r="H5012" s="4">
        <f t="shared" ref="H5012:H5052" si="514">F5012+G5012</f>
        <v>61.5</v>
      </c>
    </row>
    <row r="5013" ht="14.25" spans="1:8">
      <c r="A5013" s="3" t="str">
        <f>"22001522602"</f>
        <v>22001522602</v>
      </c>
      <c r="B5013" s="3">
        <v>5</v>
      </c>
      <c r="C5013" s="3">
        <v>226</v>
      </c>
      <c r="D5013" s="3">
        <v>2</v>
      </c>
      <c r="E5013" s="3" t="s">
        <v>9</v>
      </c>
      <c r="F5013" s="4">
        <v>69</v>
      </c>
      <c r="G5013" s="4"/>
      <c r="H5013" s="4">
        <f t="shared" si="514"/>
        <v>69</v>
      </c>
    </row>
    <row r="5014" ht="14.25" spans="1:8">
      <c r="A5014" s="3" t="str">
        <f>"22001522603"</f>
        <v>22001522603</v>
      </c>
      <c r="B5014" s="3">
        <v>5</v>
      </c>
      <c r="C5014" s="3">
        <v>226</v>
      </c>
      <c r="D5014" s="3">
        <v>3</v>
      </c>
      <c r="E5014" s="3" t="s">
        <v>9</v>
      </c>
      <c r="F5014" s="4">
        <v>67</v>
      </c>
      <c r="G5014" s="4"/>
      <c r="H5014" s="4">
        <f t="shared" si="514"/>
        <v>67</v>
      </c>
    </row>
    <row r="5015" ht="14.25" spans="1:8">
      <c r="A5015" s="3" t="str">
        <f>"22001522604"</f>
        <v>22001522604</v>
      </c>
      <c r="B5015" s="3">
        <v>5</v>
      </c>
      <c r="C5015" s="3">
        <v>226</v>
      </c>
      <c r="D5015" s="3">
        <v>4</v>
      </c>
      <c r="E5015" s="3" t="s">
        <v>9</v>
      </c>
      <c r="F5015" s="4">
        <v>62</v>
      </c>
      <c r="G5015" s="4"/>
      <c r="H5015" s="4">
        <f t="shared" si="514"/>
        <v>62</v>
      </c>
    </row>
    <row r="5016" ht="14.25" spans="1:8">
      <c r="A5016" s="3" t="str">
        <f>"22001522605"</f>
        <v>22001522605</v>
      </c>
      <c r="B5016" s="3">
        <v>5</v>
      </c>
      <c r="C5016" s="3">
        <v>226</v>
      </c>
      <c r="D5016" s="3">
        <v>5</v>
      </c>
      <c r="E5016" s="3" t="s">
        <v>9</v>
      </c>
      <c r="F5016" s="4">
        <v>73.5</v>
      </c>
      <c r="G5016" s="4"/>
      <c r="H5016" s="4">
        <f t="shared" si="514"/>
        <v>73.5</v>
      </c>
    </row>
    <row r="5017" ht="14.25" spans="1:8">
      <c r="A5017" s="3" t="str">
        <f>"22001522606"</f>
        <v>22001522606</v>
      </c>
      <c r="B5017" s="3">
        <v>5</v>
      </c>
      <c r="C5017" s="3">
        <v>226</v>
      </c>
      <c r="D5017" s="3">
        <v>6</v>
      </c>
      <c r="E5017" s="3" t="s">
        <v>9</v>
      </c>
      <c r="F5017" s="4">
        <v>50</v>
      </c>
      <c r="G5017" s="4"/>
      <c r="H5017" s="4">
        <f t="shared" si="514"/>
        <v>50</v>
      </c>
    </row>
    <row r="5018" ht="14.25" spans="1:8">
      <c r="A5018" s="3" t="str">
        <f>"22001522607"</f>
        <v>22001522607</v>
      </c>
      <c r="B5018" s="3">
        <v>5</v>
      </c>
      <c r="C5018" s="3">
        <v>226</v>
      </c>
      <c r="D5018" s="3">
        <v>7</v>
      </c>
      <c r="E5018" s="3" t="s">
        <v>9</v>
      </c>
      <c r="F5018" s="4">
        <v>63.5</v>
      </c>
      <c r="G5018" s="4"/>
      <c r="H5018" s="4">
        <f t="shared" si="514"/>
        <v>63.5</v>
      </c>
    </row>
    <row r="5019" ht="14.25" spans="1:8">
      <c r="A5019" s="3" t="str">
        <f>"22001522608"</f>
        <v>22001522608</v>
      </c>
      <c r="B5019" s="3">
        <v>5</v>
      </c>
      <c r="C5019" s="3">
        <v>226</v>
      </c>
      <c r="D5019" s="3">
        <v>8</v>
      </c>
      <c r="E5019" s="3" t="s">
        <v>9</v>
      </c>
      <c r="F5019" s="4">
        <v>54</v>
      </c>
      <c r="G5019" s="4"/>
      <c r="H5019" s="4">
        <f t="shared" si="514"/>
        <v>54</v>
      </c>
    </row>
    <row r="5020" ht="14.25" spans="1:8">
      <c r="A5020" s="3" t="str">
        <f>"22001522609"</f>
        <v>22001522609</v>
      </c>
      <c r="B5020" s="3">
        <v>5</v>
      </c>
      <c r="C5020" s="3">
        <v>226</v>
      </c>
      <c r="D5020" s="3">
        <v>9</v>
      </c>
      <c r="E5020" s="3" t="s">
        <v>9</v>
      </c>
      <c r="F5020" s="4">
        <v>81.5</v>
      </c>
      <c r="G5020" s="4"/>
      <c r="H5020" s="4">
        <f t="shared" si="514"/>
        <v>81.5</v>
      </c>
    </row>
    <row r="5021" ht="14.25" spans="1:8">
      <c r="A5021" s="3" t="str">
        <f>"22001522610"</f>
        <v>22001522610</v>
      </c>
      <c r="B5021" s="3">
        <v>5</v>
      </c>
      <c r="C5021" s="3">
        <v>226</v>
      </c>
      <c r="D5021" s="3">
        <v>10</v>
      </c>
      <c r="E5021" s="3" t="s">
        <v>9</v>
      </c>
      <c r="F5021" s="4">
        <v>78.5</v>
      </c>
      <c r="G5021" s="4"/>
      <c r="H5021" s="4">
        <f t="shared" si="514"/>
        <v>78.5</v>
      </c>
    </row>
    <row r="5022" ht="14.25" spans="1:8">
      <c r="A5022" s="3" t="str">
        <f>"22001522611"</f>
        <v>22001522611</v>
      </c>
      <c r="B5022" s="3">
        <v>5</v>
      </c>
      <c r="C5022" s="3">
        <v>226</v>
      </c>
      <c r="D5022" s="3">
        <v>11</v>
      </c>
      <c r="E5022" s="3" t="s">
        <v>9</v>
      </c>
      <c r="F5022" s="4">
        <v>71.5</v>
      </c>
      <c r="G5022" s="4"/>
      <c r="H5022" s="4">
        <f t="shared" si="514"/>
        <v>71.5</v>
      </c>
    </row>
    <row r="5023" ht="14.25" spans="1:8">
      <c r="A5023" s="3" t="str">
        <f>"22001522612"</f>
        <v>22001522612</v>
      </c>
      <c r="B5023" s="3">
        <v>5</v>
      </c>
      <c r="C5023" s="3">
        <v>226</v>
      </c>
      <c r="D5023" s="3">
        <v>12</v>
      </c>
      <c r="E5023" s="3" t="s">
        <v>9</v>
      </c>
      <c r="F5023" s="4">
        <v>58</v>
      </c>
      <c r="G5023" s="4"/>
      <c r="H5023" s="4">
        <f t="shared" si="514"/>
        <v>58</v>
      </c>
    </row>
    <row r="5024" ht="14.25" spans="1:8">
      <c r="A5024" s="3" t="str">
        <f>"22001522613"</f>
        <v>22001522613</v>
      </c>
      <c r="B5024" s="3">
        <v>5</v>
      </c>
      <c r="C5024" s="3">
        <v>226</v>
      </c>
      <c r="D5024" s="3">
        <v>13</v>
      </c>
      <c r="E5024" s="3" t="s">
        <v>9</v>
      </c>
      <c r="F5024" s="4">
        <v>59</v>
      </c>
      <c r="G5024" s="4"/>
      <c r="H5024" s="4">
        <f t="shared" si="514"/>
        <v>59</v>
      </c>
    </row>
    <row r="5025" ht="14.25" spans="1:8">
      <c r="A5025" s="3" t="str">
        <f>"22001522614"</f>
        <v>22001522614</v>
      </c>
      <c r="B5025" s="3">
        <v>5</v>
      </c>
      <c r="C5025" s="3">
        <v>226</v>
      </c>
      <c r="D5025" s="3">
        <v>14</v>
      </c>
      <c r="E5025" s="3" t="s">
        <v>9</v>
      </c>
      <c r="F5025" s="4">
        <v>66</v>
      </c>
      <c r="G5025" s="4"/>
      <c r="H5025" s="4">
        <f t="shared" si="514"/>
        <v>66</v>
      </c>
    </row>
    <row r="5026" ht="14.25" spans="1:8">
      <c r="A5026" s="3" t="str">
        <f>"22001522615"</f>
        <v>22001522615</v>
      </c>
      <c r="B5026" s="3">
        <v>5</v>
      </c>
      <c r="C5026" s="3">
        <v>226</v>
      </c>
      <c r="D5026" s="3">
        <v>15</v>
      </c>
      <c r="E5026" s="3" t="s">
        <v>9</v>
      </c>
      <c r="F5026" s="4">
        <v>39</v>
      </c>
      <c r="G5026" s="4"/>
      <c r="H5026" s="4">
        <f t="shared" si="514"/>
        <v>39</v>
      </c>
    </row>
    <row r="5027" ht="14.25" spans="1:8">
      <c r="A5027" s="3" t="str">
        <f>"22001522616"</f>
        <v>22001522616</v>
      </c>
      <c r="B5027" s="3">
        <v>5</v>
      </c>
      <c r="C5027" s="3">
        <v>226</v>
      </c>
      <c r="D5027" s="3">
        <v>16</v>
      </c>
      <c r="E5027" s="3" t="s">
        <v>9</v>
      </c>
      <c r="F5027" s="4">
        <v>81.5</v>
      </c>
      <c r="G5027" s="4"/>
      <c r="H5027" s="4">
        <f t="shared" si="514"/>
        <v>81.5</v>
      </c>
    </row>
    <row r="5028" ht="14.25" spans="1:8">
      <c r="A5028" s="3" t="str">
        <f>"22001522617"</f>
        <v>22001522617</v>
      </c>
      <c r="B5028" s="3">
        <v>5</v>
      </c>
      <c r="C5028" s="3">
        <v>226</v>
      </c>
      <c r="D5028" s="3">
        <v>17</v>
      </c>
      <c r="E5028" s="3" t="s">
        <v>9</v>
      </c>
      <c r="F5028" s="4">
        <v>62</v>
      </c>
      <c r="G5028" s="4"/>
      <c r="H5028" s="4">
        <f t="shared" si="514"/>
        <v>62</v>
      </c>
    </row>
    <row r="5029" ht="14.25" spans="1:8">
      <c r="A5029" s="3" t="str">
        <f>"22001522618"</f>
        <v>22001522618</v>
      </c>
      <c r="B5029" s="3">
        <v>5</v>
      </c>
      <c r="C5029" s="3">
        <v>226</v>
      </c>
      <c r="D5029" s="3">
        <v>18</v>
      </c>
      <c r="E5029" s="3" t="s">
        <v>9</v>
      </c>
      <c r="F5029" s="4">
        <v>67.5</v>
      </c>
      <c r="G5029" s="4"/>
      <c r="H5029" s="4">
        <f t="shared" si="514"/>
        <v>67.5</v>
      </c>
    </row>
    <row r="5030" ht="14.25" spans="1:8">
      <c r="A5030" s="3" t="str">
        <f>"22001522619"</f>
        <v>22001522619</v>
      </c>
      <c r="B5030" s="3">
        <v>5</v>
      </c>
      <c r="C5030" s="3">
        <v>226</v>
      </c>
      <c r="D5030" s="3">
        <v>19</v>
      </c>
      <c r="E5030" s="3" t="s">
        <v>9</v>
      </c>
      <c r="F5030" s="4">
        <v>62</v>
      </c>
      <c r="G5030" s="4"/>
      <c r="H5030" s="4">
        <f t="shared" si="514"/>
        <v>62</v>
      </c>
    </row>
    <row r="5031" ht="14.25" spans="1:8">
      <c r="A5031" s="3" t="str">
        <f>"22001522620"</f>
        <v>22001522620</v>
      </c>
      <c r="B5031" s="3">
        <v>5</v>
      </c>
      <c r="C5031" s="3">
        <v>226</v>
      </c>
      <c r="D5031" s="3">
        <v>20</v>
      </c>
      <c r="E5031" s="3" t="s">
        <v>9</v>
      </c>
      <c r="F5031" s="4">
        <v>55</v>
      </c>
      <c r="G5031" s="4"/>
      <c r="H5031" s="4">
        <f t="shared" si="514"/>
        <v>55</v>
      </c>
    </row>
    <row r="5032" ht="14.25" spans="1:8">
      <c r="A5032" s="3" t="str">
        <f>"22001522621"</f>
        <v>22001522621</v>
      </c>
      <c r="B5032" s="3">
        <v>5</v>
      </c>
      <c r="C5032" s="3">
        <v>226</v>
      </c>
      <c r="D5032" s="3">
        <v>21</v>
      </c>
      <c r="E5032" s="3" t="s">
        <v>9</v>
      </c>
      <c r="F5032" s="4">
        <v>66</v>
      </c>
      <c r="G5032" s="4"/>
      <c r="H5032" s="4">
        <f t="shared" si="514"/>
        <v>66</v>
      </c>
    </row>
    <row r="5033" ht="14.25" spans="1:8">
      <c r="A5033" s="3" t="str">
        <f>"22001522622"</f>
        <v>22001522622</v>
      </c>
      <c r="B5033" s="3">
        <v>5</v>
      </c>
      <c r="C5033" s="3">
        <v>226</v>
      </c>
      <c r="D5033" s="3">
        <v>22</v>
      </c>
      <c r="E5033" s="3" t="s">
        <v>9</v>
      </c>
      <c r="F5033" s="4">
        <v>73</v>
      </c>
      <c r="G5033" s="4"/>
      <c r="H5033" s="4">
        <f t="shared" si="514"/>
        <v>73</v>
      </c>
    </row>
    <row r="5034" ht="14.25" spans="1:8">
      <c r="A5034" s="3" t="str">
        <f>"22001522623"</f>
        <v>22001522623</v>
      </c>
      <c r="B5034" s="3">
        <v>5</v>
      </c>
      <c r="C5034" s="3">
        <v>226</v>
      </c>
      <c r="D5034" s="3">
        <v>23</v>
      </c>
      <c r="E5034" s="3" t="s">
        <v>9</v>
      </c>
      <c r="F5034" s="4">
        <v>54.5</v>
      </c>
      <c r="G5034" s="4"/>
      <c r="H5034" s="4">
        <f t="shared" si="514"/>
        <v>54.5</v>
      </c>
    </row>
    <row r="5035" ht="14.25" spans="1:8">
      <c r="A5035" s="3" t="str">
        <f>"22001522624"</f>
        <v>22001522624</v>
      </c>
      <c r="B5035" s="3">
        <v>5</v>
      </c>
      <c r="C5035" s="3">
        <v>226</v>
      </c>
      <c r="D5035" s="3">
        <v>24</v>
      </c>
      <c r="E5035" s="3" t="s">
        <v>9</v>
      </c>
      <c r="F5035" s="4">
        <v>70</v>
      </c>
      <c r="G5035" s="4"/>
      <c r="H5035" s="4">
        <f t="shared" si="514"/>
        <v>70</v>
      </c>
    </row>
    <row r="5036" ht="14.25" spans="1:8">
      <c r="A5036" s="3" t="str">
        <f>"22001522625"</f>
        <v>22001522625</v>
      </c>
      <c r="B5036" s="3">
        <v>5</v>
      </c>
      <c r="C5036" s="3">
        <v>226</v>
      </c>
      <c r="D5036" s="3">
        <v>25</v>
      </c>
      <c r="E5036" s="3" t="s">
        <v>9</v>
      </c>
      <c r="F5036" s="4">
        <v>64</v>
      </c>
      <c r="G5036" s="4"/>
      <c r="H5036" s="4">
        <f t="shared" si="514"/>
        <v>64</v>
      </c>
    </row>
    <row r="5037" ht="14.25" spans="1:8">
      <c r="A5037" s="3" t="str">
        <f>"22001522626"</f>
        <v>22001522626</v>
      </c>
      <c r="B5037" s="3">
        <v>5</v>
      </c>
      <c r="C5037" s="3">
        <v>226</v>
      </c>
      <c r="D5037" s="3">
        <v>26</v>
      </c>
      <c r="E5037" s="3" t="s">
        <v>9</v>
      </c>
      <c r="F5037" s="4">
        <v>75.5</v>
      </c>
      <c r="G5037" s="4"/>
      <c r="H5037" s="4">
        <f t="shared" si="514"/>
        <v>75.5</v>
      </c>
    </row>
    <row r="5038" ht="14.25" spans="1:8">
      <c r="A5038" s="3" t="str">
        <f>"22001522627"</f>
        <v>22001522627</v>
      </c>
      <c r="B5038" s="3">
        <v>5</v>
      </c>
      <c r="C5038" s="3">
        <v>226</v>
      </c>
      <c r="D5038" s="3">
        <v>27</v>
      </c>
      <c r="E5038" s="3" t="s">
        <v>9</v>
      </c>
      <c r="F5038" s="4">
        <v>63</v>
      </c>
      <c r="G5038" s="4"/>
      <c r="H5038" s="4">
        <f t="shared" si="514"/>
        <v>63</v>
      </c>
    </row>
    <row r="5039" ht="14.25" spans="1:8">
      <c r="A5039" s="3" t="str">
        <f>"22001522628"</f>
        <v>22001522628</v>
      </c>
      <c r="B5039" s="3">
        <v>5</v>
      </c>
      <c r="C5039" s="3">
        <v>226</v>
      </c>
      <c r="D5039" s="3">
        <v>28</v>
      </c>
      <c r="E5039" s="3" t="s">
        <v>9</v>
      </c>
      <c r="F5039" s="4">
        <v>54</v>
      </c>
      <c r="G5039" s="4"/>
      <c r="H5039" s="4">
        <f t="shared" si="514"/>
        <v>54</v>
      </c>
    </row>
    <row r="5040" ht="14.25" spans="1:8">
      <c r="A5040" s="3" t="str">
        <f>"22001522629"</f>
        <v>22001522629</v>
      </c>
      <c r="B5040" s="3">
        <v>5</v>
      </c>
      <c r="C5040" s="3">
        <v>226</v>
      </c>
      <c r="D5040" s="3">
        <v>29</v>
      </c>
      <c r="E5040" s="3" t="s">
        <v>9</v>
      </c>
      <c r="F5040" s="4">
        <v>70.5</v>
      </c>
      <c r="G5040" s="4"/>
      <c r="H5040" s="4">
        <f t="shared" si="514"/>
        <v>70.5</v>
      </c>
    </row>
    <row r="5041" ht="14.25" spans="1:8">
      <c r="A5041" s="3" t="str">
        <f>"22001522630"</f>
        <v>22001522630</v>
      </c>
      <c r="B5041" s="3">
        <v>5</v>
      </c>
      <c r="C5041" s="3">
        <v>226</v>
      </c>
      <c r="D5041" s="3">
        <v>30</v>
      </c>
      <c r="E5041" s="3" t="s">
        <v>9</v>
      </c>
      <c r="F5041" s="4">
        <v>70</v>
      </c>
      <c r="G5041" s="4"/>
      <c r="H5041" s="4">
        <f t="shared" si="514"/>
        <v>70</v>
      </c>
    </row>
    <row r="5042" ht="14.25" spans="1:8">
      <c r="A5042" s="3" t="str">
        <f>"22001522701"</f>
        <v>22001522701</v>
      </c>
      <c r="B5042" s="3">
        <v>5</v>
      </c>
      <c r="C5042" s="3">
        <v>227</v>
      </c>
      <c r="D5042" s="3">
        <v>1</v>
      </c>
      <c r="E5042" s="3" t="s">
        <v>9</v>
      </c>
      <c r="F5042" s="4">
        <v>62</v>
      </c>
      <c r="G5042" s="4"/>
      <c r="H5042" s="4">
        <f t="shared" si="514"/>
        <v>62</v>
      </c>
    </row>
    <row r="5043" ht="14.25" spans="1:8">
      <c r="A5043" s="3" t="str">
        <f>"22001522702"</f>
        <v>22001522702</v>
      </c>
      <c r="B5043" s="3">
        <v>5</v>
      </c>
      <c r="C5043" s="3">
        <v>227</v>
      </c>
      <c r="D5043" s="3">
        <v>2</v>
      </c>
      <c r="E5043" s="3" t="s">
        <v>9</v>
      </c>
      <c r="F5043" s="4">
        <v>64</v>
      </c>
      <c r="G5043" s="4"/>
      <c r="H5043" s="4">
        <f t="shared" si="514"/>
        <v>64</v>
      </c>
    </row>
    <row r="5044" ht="14.25" spans="1:8">
      <c r="A5044" s="3" t="str">
        <f>"22001522703"</f>
        <v>22001522703</v>
      </c>
      <c r="B5044" s="3">
        <v>5</v>
      </c>
      <c r="C5044" s="3">
        <v>227</v>
      </c>
      <c r="D5044" s="3">
        <v>3</v>
      </c>
      <c r="E5044" s="3" t="s">
        <v>9</v>
      </c>
      <c r="F5044" s="4">
        <v>78</v>
      </c>
      <c r="G5044" s="4"/>
      <c r="H5044" s="4">
        <f t="shared" si="514"/>
        <v>78</v>
      </c>
    </row>
    <row r="5045" ht="14.25" spans="1:8">
      <c r="A5045" s="3" t="str">
        <f>"22001522704"</f>
        <v>22001522704</v>
      </c>
      <c r="B5045" s="3">
        <v>5</v>
      </c>
      <c r="C5045" s="3">
        <v>227</v>
      </c>
      <c r="D5045" s="3">
        <v>4</v>
      </c>
      <c r="E5045" s="3" t="s">
        <v>9</v>
      </c>
      <c r="F5045" s="4">
        <v>68.5</v>
      </c>
      <c r="G5045" s="4"/>
      <c r="H5045" s="4">
        <f t="shared" si="514"/>
        <v>68.5</v>
      </c>
    </row>
    <row r="5046" ht="14.25" spans="1:8">
      <c r="A5046" s="3" t="str">
        <f>"22001522705"</f>
        <v>22001522705</v>
      </c>
      <c r="B5046" s="3">
        <v>5</v>
      </c>
      <c r="C5046" s="3">
        <v>227</v>
      </c>
      <c r="D5046" s="3">
        <v>5</v>
      </c>
      <c r="E5046" s="3" t="s">
        <v>9</v>
      </c>
      <c r="F5046" s="4">
        <v>76</v>
      </c>
      <c r="G5046" s="4"/>
      <c r="H5046" s="4">
        <f t="shared" si="514"/>
        <v>76</v>
      </c>
    </row>
    <row r="5047" ht="14.25" spans="1:8">
      <c r="A5047" s="3" t="str">
        <f>"22001522706"</f>
        <v>22001522706</v>
      </c>
      <c r="B5047" s="3">
        <v>5</v>
      </c>
      <c r="C5047" s="3">
        <v>227</v>
      </c>
      <c r="D5047" s="3">
        <v>6</v>
      </c>
      <c r="E5047" s="3" t="s">
        <v>9</v>
      </c>
      <c r="F5047" s="4">
        <v>56.5</v>
      </c>
      <c r="G5047" s="4"/>
      <c r="H5047" s="4">
        <f t="shared" si="514"/>
        <v>56.5</v>
      </c>
    </row>
    <row r="5048" ht="14.25" spans="1:8">
      <c r="A5048" s="3" t="str">
        <f>"22001522707"</f>
        <v>22001522707</v>
      </c>
      <c r="B5048" s="3">
        <v>5</v>
      </c>
      <c r="C5048" s="3">
        <v>227</v>
      </c>
      <c r="D5048" s="3">
        <v>7</v>
      </c>
      <c r="E5048" s="3" t="s">
        <v>9</v>
      </c>
      <c r="F5048" s="4">
        <v>78</v>
      </c>
      <c r="G5048" s="4"/>
      <c r="H5048" s="4">
        <f t="shared" si="514"/>
        <v>78</v>
      </c>
    </row>
    <row r="5049" ht="14.25" spans="1:8">
      <c r="A5049" s="3" t="str">
        <f>"22001522708"</f>
        <v>22001522708</v>
      </c>
      <c r="B5049" s="3">
        <v>5</v>
      </c>
      <c r="C5049" s="3">
        <v>227</v>
      </c>
      <c r="D5049" s="3">
        <v>8</v>
      </c>
      <c r="E5049" s="3" t="s">
        <v>9</v>
      </c>
      <c r="F5049" s="4">
        <v>51</v>
      </c>
      <c r="G5049" s="4"/>
      <c r="H5049" s="4">
        <f t="shared" si="514"/>
        <v>51</v>
      </c>
    </row>
    <row r="5050" ht="14.25" spans="1:8">
      <c r="A5050" s="3" t="str">
        <f>"22001522709"</f>
        <v>22001522709</v>
      </c>
      <c r="B5050" s="3">
        <v>5</v>
      </c>
      <c r="C5050" s="3">
        <v>227</v>
      </c>
      <c r="D5050" s="3">
        <v>9</v>
      </c>
      <c r="E5050" s="3" t="s">
        <v>9</v>
      </c>
      <c r="F5050" s="4">
        <v>73.5</v>
      </c>
      <c r="G5050" s="4"/>
      <c r="H5050" s="4">
        <f t="shared" si="514"/>
        <v>73.5</v>
      </c>
    </row>
    <row r="5051" ht="14.25" spans="1:8">
      <c r="A5051" s="3" t="str">
        <f>"22001522710"</f>
        <v>22001522710</v>
      </c>
      <c r="B5051" s="3">
        <v>5</v>
      </c>
      <c r="C5051" s="3">
        <v>227</v>
      </c>
      <c r="D5051" s="3">
        <v>10</v>
      </c>
      <c r="E5051" s="3" t="s">
        <v>9</v>
      </c>
      <c r="F5051" s="4">
        <v>65</v>
      </c>
      <c r="G5051" s="4"/>
      <c r="H5051" s="4">
        <f t="shared" si="514"/>
        <v>65</v>
      </c>
    </row>
    <row r="5052" ht="14.25" spans="1:8">
      <c r="A5052" s="3" t="str">
        <f>"22001522711"</f>
        <v>22001522711</v>
      </c>
      <c r="B5052" s="3">
        <v>5</v>
      </c>
      <c r="C5052" s="3">
        <v>227</v>
      </c>
      <c r="D5052" s="3">
        <v>11</v>
      </c>
      <c r="E5052" s="3" t="s">
        <v>9</v>
      </c>
      <c r="F5052" s="4">
        <v>47</v>
      </c>
      <c r="G5052" s="4"/>
      <c r="H5052" s="4">
        <f t="shared" si="514"/>
        <v>47</v>
      </c>
    </row>
    <row r="5053" ht="14.25" spans="1:8">
      <c r="A5053" s="3" t="str">
        <f>"22001522712"</f>
        <v>22001522712</v>
      </c>
      <c r="B5053" s="3">
        <v>5</v>
      </c>
      <c r="C5053" s="3">
        <v>227</v>
      </c>
      <c r="D5053" s="3">
        <v>12</v>
      </c>
      <c r="E5053" s="3" t="s">
        <v>9</v>
      </c>
      <c r="F5053" s="3">
        <v>0</v>
      </c>
      <c r="G5053" s="4"/>
      <c r="H5053" s="3">
        <v>0</v>
      </c>
    </row>
    <row r="5054" ht="14.25" spans="1:8">
      <c r="A5054" s="3" t="str">
        <f>"22001522713"</f>
        <v>22001522713</v>
      </c>
      <c r="B5054" s="3">
        <v>5</v>
      </c>
      <c r="C5054" s="3">
        <v>227</v>
      </c>
      <c r="D5054" s="3">
        <v>13</v>
      </c>
      <c r="E5054" s="3" t="s">
        <v>9</v>
      </c>
      <c r="F5054" s="4">
        <v>63</v>
      </c>
      <c r="G5054" s="4"/>
      <c r="H5054" s="4">
        <f t="shared" ref="H5054:H5069" si="515">F5054+G5054</f>
        <v>63</v>
      </c>
    </row>
    <row r="5055" ht="14.25" spans="1:8">
      <c r="A5055" s="3" t="str">
        <f>"22001522714"</f>
        <v>22001522714</v>
      </c>
      <c r="B5055" s="3">
        <v>5</v>
      </c>
      <c r="C5055" s="3">
        <v>227</v>
      </c>
      <c r="D5055" s="3">
        <v>14</v>
      </c>
      <c r="E5055" s="3" t="s">
        <v>9</v>
      </c>
      <c r="F5055" s="4">
        <v>74</v>
      </c>
      <c r="G5055" s="4"/>
      <c r="H5055" s="4">
        <f t="shared" si="515"/>
        <v>74</v>
      </c>
    </row>
    <row r="5056" ht="14.25" spans="1:8">
      <c r="A5056" s="3" t="str">
        <f>"22001522715"</f>
        <v>22001522715</v>
      </c>
      <c r="B5056" s="3">
        <v>5</v>
      </c>
      <c r="C5056" s="3">
        <v>227</v>
      </c>
      <c r="D5056" s="3">
        <v>15</v>
      </c>
      <c r="E5056" s="3" t="s">
        <v>9</v>
      </c>
      <c r="F5056" s="4">
        <v>66</v>
      </c>
      <c r="G5056" s="4"/>
      <c r="H5056" s="4">
        <f t="shared" si="515"/>
        <v>66</v>
      </c>
    </row>
    <row r="5057" ht="14.25" spans="1:8">
      <c r="A5057" s="3" t="str">
        <f>"22001522716"</f>
        <v>22001522716</v>
      </c>
      <c r="B5057" s="3">
        <v>5</v>
      </c>
      <c r="C5057" s="3">
        <v>227</v>
      </c>
      <c r="D5057" s="3">
        <v>16</v>
      </c>
      <c r="E5057" s="3" t="s">
        <v>9</v>
      </c>
      <c r="F5057" s="4">
        <v>66</v>
      </c>
      <c r="G5057" s="4"/>
      <c r="H5057" s="4">
        <f t="shared" si="515"/>
        <v>66</v>
      </c>
    </row>
    <row r="5058" ht="14.25" spans="1:8">
      <c r="A5058" s="3" t="str">
        <f>"22001522717"</f>
        <v>22001522717</v>
      </c>
      <c r="B5058" s="3">
        <v>5</v>
      </c>
      <c r="C5058" s="3">
        <v>227</v>
      </c>
      <c r="D5058" s="3">
        <v>17</v>
      </c>
      <c r="E5058" s="3" t="s">
        <v>9</v>
      </c>
      <c r="F5058" s="4">
        <v>65</v>
      </c>
      <c r="G5058" s="4"/>
      <c r="H5058" s="4">
        <f t="shared" si="515"/>
        <v>65</v>
      </c>
    </row>
    <row r="5059" ht="14.25" spans="1:8">
      <c r="A5059" s="3" t="str">
        <f>"22001522718"</f>
        <v>22001522718</v>
      </c>
      <c r="B5059" s="3">
        <v>5</v>
      </c>
      <c r="C5059" s="3">
        <v>227</v>
      </c>
      <c r="D5059" s="3">
        <v>18</v>
      </c>
      <c r="E5059" s="3" t="s">
        <v>9</v>
      </c>
      <c r="F5059" s="4">
        <v>70.5</v>
      </c>
      <c r="G5059" s="4"/>
      <c r="H5059" s="4">
        <f t="shared" si="515"/>
        <v>70.5</v>
      </c>
    </row>
    <row r="5060" ht="14.25" spans="1:8">
      <c r="A5060" s="3" t="str">
        <f>"22101522719"</f>
        <v>22101522719</v>
      </c>
      <c r="B5060" s="3">
        <v>5</v>
      </c>
      <c r="C5060" s="3">
        <v>227</v>
      </c>
      <c r="D5060" s="3">
        <v>19</v>
      </c>
      <c r="E5060" s="3" t="s">
        <v>9</v>
      </c>
      <c r="F5060" s="4">
        <v>80</v>
      </c>
      <c r="G5060" s="4"/>
      <c r="H5060" s="4">
        <f t="shared" si="515"/>
        <v>80</v>
      </c>
    </row>
    <row r="5061" ht="14.25" spans="1:8">
      <c r="A5061" s="3" t="str">
        <f>"22101522720"</f>
        <v>22101522720</v>
      </c>
      <c r="B5061" s="3">
        <v>5</v>
      </c>
      <c r="C5061" s="3">
        <v>227</v>
      </c>
      <c r="D5061" s="3">
        <v>20</v>
      </c>
      <c r="E5061" s="3" t="s">
        <v>9</v>
      </c>
      <c r="F5061" s="4">
        <v>67.5</v>
      </c>
      <c r="G5061" s="4"/>
      <c r="H5061" s="4">
        <f t="shared" si="515"/>
        <v>67.5</v>
      </c>
    </row>
    <row r="5062" ht="14.25" spans="1:8">
      <c r="A5062" s="3" t="str">
        <f>"22101522721"</f>
        <v>22101522721</v>
      </c>
      <c r="B5062" s="3">
        <v>5</v>
      </c>
      <c r="C5062" s="3">
        <v>227</v>
      </c>
      <c r="D5062" s="3">
        <v>21</v>
      </c>
      <c r="E5062" s="3" t="s">
        <v>9</v>
      </c>
      <c r="F5062" s="4">
        <v>49.5</v>
      </c>
      <c r="G5062" s="4"/>
      <c r="H5062" s="4">
        <f t="shared" si="515"/>
        <v>49.5</v>
      </c>
    </row>
    <row r="5063" ht="14.25" spans="1:8">
      <c r="A5063" s="3" t="str">
        <f>"22101522722"</f>
        <v>22101522722</v>
      </c>
      <c r="B5063" s="3">
        <v>5</v>
      </c>
      <c r="C5063" s="3">
        <v>227</v>
      </c>
      <c r="D5063" s="3">
        <v>22</v>
      </c>
      <c r="E5063" s="3" t="s">
        <v>9</v>
      </c>
      <c r="F5063" s="4">
        <v>68.5</v>
      </c>
      <c r="G5063" s="4"/>
      <c r="H5063" s="4">
        <f t="shared" si="515"/>
        <v>68.5</v>
      </c>
    </row>
    <row r="5064" ht="14.25" spans="1:8">
      <c r="A5064" s="3" t="str">
        <f>"22101522723"</f>
        <v>22101522723</v>
      </c>
      <c r="B5064" s="3">
        <v>5</v>
      </c>
      <c r="C5064" s="3">
        <v>227</v>
      </c>
      <c r="D5064" s="3">
        <v>23</v>
      </c>
      <c r="E5064" s="3" t="s">
        <v>9</v>
      </c>
      <c r="F5064" s="4">
        <v>50</v>
      </c>
      <c r="G5064" s="4"/>
      <c r="H5064" s="4">
        <f t="shared" si="515"/>
        <v>50</v>
      </c>
    </row>
    <row r="5065" ht="14.25" spans="1:8">
      <c r="A5065" s="3" t="str">
        <f>"22101522724"</f>
        <v>22101522724</v>
      </c>
      <c r="B5065" s="3">
        <v>5</v>
      </c>
      <c r="C5065" s="3">
        <v>227</v>
      </c>
      <c r="D5065" s="3">
        <v>24</v>
      </c>
      <c r="E5065" s="3" t="s">
        <v>9</v>
      </c>
      <c r="F5065" s="4">
        <v>53</v>
      </c>
      <c r="G5065" s="4"/>
      <c r="H5065" s="4">
        <f t="shared" si="515"/>
        <v>53</v>
      </c>
    </row>
    <row r="5066" ht="14.25" spans="1:8">
      <c r="A5066" s="3" t="str">
        <f>"22101522725"</f>
        <v>22101522725</v>
      </c>
      <c r="B5066" s="3">
        <v>5</v>
      </c>
      <c r="C5066" s="3">
        <v>227</v>
      </c>
      <c r="D5066" s="3">
        <v>25</v>
      </c>
      <c r="E5066" s="3" t="s">
        <v>9</v>
      </c>
      <c r="F5066" s="4">
        <v>68.5</v>
      </c>
      <c r="G5066" s="4"/>
      <c r="H5066" s="4">
        <f t="shared" si="515"/>
        <v>68.5</v>
      </c>
    </row>
    <row r="5067" ht="14.25" spans="1:8">
      <c r="A5067" s="3" t="str">
        <f>"22101522726"</f>
        <v>22101522726</v>
      </c>
      <c r="B5067" s="3">
        <v>5</v>
      </c>
      <c r="C5067" s="3">
        <v>227</v>
      </c>
      <c r="D5067" s="3">
        <v>26</v>
      </c>
      <c r="E5067" s="3" t="s">
        <v>9</v>
      </c>
      <c r="F5067" s="4">
        <v>51</v>
      </c>
      <c r="G5067" s="4"/>
      <c r="H5067" s="4">
        <f t="shared" si="515"/>
        <v>51</v>
      </c>
    </row>
    <row r="5068" ht="14.25" spans="1:8">
      <c r="A5068" s="3" t="str">
        <f>"22101522727"</f>
        <v>22101522727</v>
      </c>
      <c r="B5068" s="3">
        <v>5</v>
      </c>
      <c r="C5068" s="3">
        <v>227</v>
      </c>
      <c r="D5068" s="3">
        <v>27</v>
      </c>
      <c r="E5068" s="3" t="s">
        <v>9</v>
      </c>
      <c r="F5068" s="4">
        <v>84</v>
      </c>
      <c r="G5068" s="4"/>
      <c r="H5068" s="4">
        <f t="shared" si="515"/>
        <v>84</v>
      </c>
    </row>
    <row r="5069" ht="14.25" spans="1:8">
      <c r="A5069" s="3" t="str">
        <f>"22101522728"</f>
        <v>22101522728</v>
      </c>
      <c r="B5069" s="3">
        <v>5</v>
      </c>
      <c r="C5069" s="3">
        <v>227</v>
      </c>
      <c r="D5069" s="3">
        <v>28</v>
      </c>
      <c r="E5069" s="3" t="s">
        <v>9</v>
      </c>
      <c r="F5069" s="4">
        <v>80.5</v>
      </c>
      <c r="G5069" s="4"/>
      <c r="H5069" s="4">
        <f t="shared" si="515"/>
        <v>80.5</v>
      </c>
    </row>
    <row r="5070" ht="14.25" spans="1:8">
      <c r="A5070" s="3" t="str">
        <f>"22101522729"</f>
        <v>22101522729</v>
      </c>
      <c r="B5070" s="3">
        <v>5</v>
      </c>
      <c r="C5070" s="3">
        <v>227</v>
      </c>
      <c r="D5070" s="3">
        <v>29</v>
      </c>
      <c r="E5070" s="3" t="s">
        <v>9</v>
      </c>
      <c r="F5070" s="3">
        <v>0</v>
      </c>
      <c r="G5070" s="4"/>
      <c r="H5070" s="3">
        <v>0</v>
      </c>
    </row>
    <row r="5071" ht="14.25" spans="1:8">
      <c r="A5071" s="3" t="str">
        <f>"22101522730"</f>
        <v>22101522730</v>
      </c>
      <c r="B5071" s="3">
        <v>5</v>
      </c>
      <c r="C5071" s="3">
        <v>227</v>
      </c>
      <c r="D5071" s="3">
        <v>30</v>
      </c>
      <c r="E5071" s="3" t="s">
        <v>9</v>
      </c>
      <c r="F5071" s="4">
        <v>52.5</v>
      </c>
      <c r="G5071" s="4"/>
      <c r="H5071" s="4">
        <f t="shared" ref="H5071:H5087" si="516">F5071+G5071</f>
        <v>52.5</v>
      </c>
    </row>
    <row r="5072" ht="14.25" spans="1:8">
      <c r="A5072" s="3" t="str">
        <f>"22101522801"</f>
        <v>22101522801</v>
      </c>
      <c r="B5072" s="3">
        <v>5</v>
      </c>
      <c r="C5072" s="3">
        <v>228</v>
      </c>
      <c r="D5072" s="3">
        <v>1</v>
      </c>
      <c r="E5072" s="3" t="s">
        <v>9</v>
      </c>
      <c r="F5072" s="4">
        <v>82</v>
      </c>
      <c r="G5072" s="4"/>
      <c r="H5072" s="4">
        <f t="shared" si="516"/>
        <v>82</v>
      </c>
    </row>
    <row r="5073" ht="14.25" spans="1:8">
      <c r="A5073" s="3" t="str">
        <f>"22101522802"</f>
        <v>22101522802</v>
      </c>
      <c r="B5073" s="3">
        <v>5</v>
      </c>
      <c r="C5073" s="3">
        <v>228</v>
      </c>
      <c r="D5073" s="3">
        <v>2</v>
      </c>
      <c r="E5073" s="3" t="s">
        <v>9</v>
      </c>
      <c r="F5073" s="4">
        <v>62.5</v>
      </c>
      <c r="G5073" s="4"/>
      <c r="H5073" s="4">
        <f t="shared" si="516"/>
        <v>62.5</v>
      </c>
    </row>
    <row r="5074" ht="14.25" spans="1:8">
      <c r="A5074" s="3" t="str">
        <f>"22101522803"</f>
        <v>22101522803</v>
      </c>
      <c r="B5074" s="3">
        <v>5</v>
      </c>
      <c r="C5074" s="3">
        <v>228</v>
      </c>
      <c r="D5074" s="3">
        <v>3</v>
      </c>
      <c r="E5074" s="3" t="s">
        <v>9</v>
      </c>
      <c r="F5074" s="4">
        <v>65.5</v>
      </c>
      <c r="G5074" s="4"/>
      <c r="H5074" s="4">
        <f t="shared" si="516"/>
        <v>65.5</v>
      </c>
    </row>
    <row r="5075" ht="14.25" spans="1:8">
      <c r="A5075" s="3" t="str">
        <f>"22101522804"</f>
        <v>22101522804</v>
      </c>
      <c r="B5075" s="3">
        <v>5</v>
      </c>
      <c r="C5075" s="3">
        <v>228</v>
      </c>
      <c r="D5075" s="3">
        <v>4</v>
      </c>
      <c r="E5075" s="3" t="s">
        <v>9</v>
      </c>
      <c r="F5075" s="4">
        <v>49.5</v>
      </c>
      <c r="G5075" s="4"/>
      <c r="H5075" s="4">
        <f t="shared" si="516"/>
        <v>49.5</v>
      </c>
    </row>
    <row r="5076" ht="14.25" spans="1:8">
      <c r="A5076" s="3" t="str">
        <f>"22101522805"</f>
        <v>22101522805</v>
      </c>
      <c r="B5076" s="3">
        <v>5</v>
      </c>
      <c r="C5076" s="3">
        <v>228</v>
      </c>
      <c r="D5076" s="3">
        <v>5</v>
      </c>
      <c r="E5076" s="3" t="s">
        <v>9</v>
      </c>
      <c r="F5076" s="4">
        <v>59</v>
      </c>
      <c r="G5076" s="4"/>
      <c r="H5076" s="4">
        <f t="shared" si="516"/>
        <v>59</v>
      </c>
    </row>
    <row r="5077" ht="14.25" spans="1:8">
      <c r="A5077" s="3" t="str">
        <f>"22101522806"</f>
        <v>22101522806</v>
      </c>
      <c r="B5077" s="3">
        <v>5</v>
      </c>
      <c r="C5077" s="3">
        <v>228</v>
      </c>
      <c r="D5077" s="3">
        <v>6</v>
      </c>
      <c r="E5077" s="3" t="s">
        <v>9</v>
      </c>
      <c r="F5077" s="4">
        <v>67.5</v>
      </c>
      <c r="G5077" s="4"/>
      <c r="H5077" s="4">
        <f t="shared" si="516"/>
        <v>67.5</v>
      </c>
    </row>
    <row r="5078" ht="14.25" spans="1:8">
      <c r="A5078" s="3" t="str">
        <f>"22101522807"</f>
        <v>22101522807</v>
      </c>
      <c r="B5078" s="3">
        <v>5</v>
      </c>
      <c r="C5078" s="3">
        <v>228</v>
      </c>
      <c r="D5078" s="3">
        <v>7</v>
      </c>
      <c r="E5078" s="3" t="s">
        <v>9</v>
      </c>
      <c r="F5078" s="4">
        <v>63</v>
      </c>
      <c r="G5078" s="4"/>
      <c r="H5078" s="4">
        <f t="shared" si="516"/>
        <v>63</v>
      </c>
    </row>
    <row r="5079" ht="14.25" spans="1:8">
      <c r="A5079" s="3" t="str">
        <f>"22101522808"</f>
        <v>22101522808</v>
      </c>
      <c r="B5079" s="3">
        <v>5</v>
      </c>
      <c r="C5079" s="3">
        <v>228</v>
      </c>
      <c r="D5079" s="3">
        <v>8</v>
      </c>
      <c r="E5079" s="3" t="s">
        <v>9</v>
      </c>
      <c r="F5079" s="4">
        <v>76.5</v>
      </c>
      <c r="G5079" s="4"/>
      <c r="H5079" s="4">
        <f t="shared" si="516"/>
        <v>76.5</v>
      </c>
    </row>
    <row r="5080" ht="14.25" spans="1:8">
      <c r="A5080" s="3" t="str">
        <f>"22101522809"</f>
        <v>22101522809</v>
      </c>
      <c r="B5080" s="3">
        <v>5</v>
      </c>
      <c r="C5080" s="3">
        <v>228</v>
      </c>
      <c r="D5080" s="3">
        <v>9</v>
      </c>
      <c r="E5080" s="3" t="s">
        <v>9</v>
      </c>
      <c r="F5080" s="4">
        <v>50.5</v>
      </c>
      <c r="G5080" s="4"/>
      <c r="H5080" s="4">
        <f t="shared" si="516"/>
        <v>50.5</v>
      </c>
    </row>
    <row r="5081" ht="14.25" spans="1:8">
      <c r="A5081" s="3" t="str">
        <f>"22101522810"</f>
        <v>22101522810</v>
      </c>
      <c r="B5081" s="3">
        <v>5</v>
      </c>
      <c r="C5081" s="3">
        <v>228</v>
      </c>
      <c r="D5081" s="3">
        <v>10</v>
      </c>
      <c r="E5081" s="3" t="s">
        <v>9</v>
      </c>
      <c r="F5081" s="4">
        <v>55</v>
      </c>
      <c r="G5081" s="4"/>
      <c r="H5081" s="4">
        <f t="shared" si="516"/>
        <v>55</v>
      </c>
    </row>
    <row r="5082" ht="14.25" spans="1:8">
      <c r="A5082" s="3" t="str">
        <f>"22101522811"</f>
        <v>22101522811</v>
      </c>
      <c r="B5082" s="3">
        <v>5</v>
      </c>
      <c r="C5082" s="3">
        <v>228</v>
      </c>
      <c r="D5082" s="3">
        <v>11</v>
      </c>
      <c r="E5082" s="3" t="s">
        <v>9</v>
      </c>
      <c r="F5082" s="4">
        <v>83</v>
      </c>
      <c r="G5082" s="4"/>
      <c r="H5082" s="4">
        <f t="shared" si="516"/>
        <v>83</v>
      </c>
    </row>
    <row r="5083" ht="14.25" spans="1:8">
      <c r="A5083" s="3" t="str">
        <f>"22101522812"</f>
        <v>22101522812</v>
      </c>
      <c r="B5083" s="3">
        <v>5</v>
      </c>
      <c r="C5083" s="3">
        <v>228</v>
      </c>
      <c r="D5083" s="3">
        <v>12</v>
      </c>
      <c r="E5083" s="3" t="s">
        <v>9</v>
      </c>
      <c r="F5083" s="4">
        <v>65</v>
      </c>
      <c r="G5083" s="4"/>
      <c r="H5083" s="4">
        <f t="shared" si="516"/>
        <v>65</v>
      </c>
    </row>
    <row r="5084" ht="14.25" spans="1:8">
      <c r="A5084" s="3" t="str">
        <f>"30101416601"</f>
        <v>30101416601</v>
      </c>
      <c r="B5084" s="3">
        <v>4</v>
      </c>
      <c r="C5084" s="3">
        <v>166</v>
      </c>
      <c r="D5084" s="3">
        <v>1</v>
      </c>
      <c r="E5084" s="3" t="s">
        <v>12</v>
      </c>
      <c r="F5084" s="4">
        <v>65</v>
      </c>
      <c r="G5084" s="4"/>
      <c r="H5084" s="4">
        <f t="shared" si="516"/>
        <v>65</v>
      </c>
    </row>
    <row r="5085" ht="14.25" spans="1:8">
      <c r="A5085" s="3" t="str">
        <f>"30101416602"</f>
        <v>30101416602</v>
      </c>
      <c r="B5085" s="3">
        <v>4</v>
      </c>
      <c r="C5085" s="3">
        <v>166</v>
      </c>
      <c r="D5085" s="3">
        <v>2</v>
      </c>
      <c r="E5085" s="3" t="s">
        <v>12</v>
      </c>
      <c r="F5085" s="4">
        <v>73</v>
      </c>
      <c r="G5085" s="4"/>
      <c r="H5085" s="4">
        <f t="shared" si="516"/>
        <v>73</v>
      </c>
    </row>
    <row r="5086" ht="14.25" spans="1:8">
      <c r="A5086" s="3" t="str">
        <f>"30101416603"</f>
        <v>30101416603</v>
      </c>
      <c r="B5086" s="3">
        <v>4</v>
      </c>
      <c r="C5086" s="3">
        <v>166</v>
      </c>
      <c r="D5086" s="3">
        <v>3</v>
      </c>
      <c r="E5086" s="3" t="s">
        <v>12</v>
      </c>
      <c r="F5086" s="4">
        <v>74.5</v>
      </c>
      <c r="G5086" s="4"/>
      <c r="H5086" s="4">
        <f t="shared" si="516"/>
        <v>74.5</v>
      </c>
    </row>
    <row r="5087" ht="14.25" spans="1:8">
      <c r="A5087" s="3" t="str">
        <f>"30101416604"</f>
        <v>30101416604</v>
      </c>
      <c r="B5087" s="3">
        <v>4</v>
      </c>
      <c r="C5087" s="3">
        <v>166</v>
      </c>
      <c r="D5087" s="3">
        <v>4</v>
      </c>
      <c r="E5087" s="3" t="s">
        <v>12</v>
      </c>
      <c r="F5087" s="4">
        <v>52.5</v>
      </c>
      <c r="G5087" s="4"/>
      <c r="H5087" s="4">
        <f t="shared" si="516"/>
        <v>52.5</v>
      </c>
    </row>
    <row r="5088" ht="14.25" spans="1:8">
      <c r="A5088" s="3" t="str">
        <f>"30101416605"</f>
        <v>30101416605</v>
      </c>
      <c r="B5088" s="3">
        <v>4</v>
      </c>
      <c r="C5088" s="3">
        <v>166</v>
      </c>
      <c r="D5088" s="3">
        <v>5</v>
      </c>
      <c r="E5088" s="3" t="s">
        <v>12</v>
      </c>
      <c r="F5088" s="3">
        <v>0</v>
      </c>
      <c r="G5088" s="4"/>
      <c r="H5088" s="3">
        <v>0</v>
      </c>
    </row>
    <row r="5089" ht="14.25" spans="1:8">
      <c r="A5089" s="3" t="str">
        <f>"30101416606"</f>
        <v>30101416606</v>
      </c>
      <c r="B5089" s="3">
        <v>4</v>
      </c>
      <c r="C5089" s="3">
        <v>166</v>
      </c>
      <c r="D5089" s="3">
        <v>6</v>
      </c>
      <c r="E5089" s="3" t="s">
        <v>12</v>
      </c>
      <c r="F5089" s="4">
        <v>76.5</v>
      </c>
      <c r="G5089" s="4"/>
      <c r="H5089" s="4">
        <f t="shared" ref="H5089:H5095" si="517">F5089+G5089</f>
        <v>76.5</v>
      </c>
    </row>
    <row r="5090" ht="14.25" spans="1:8">
      <c r="A5090" s="3" t="str">
        <f>"30101416607"</f>
        <v>30101416607</v>
      </c>
      <c r="B5090" s="3">
        <v>4</v>
      </c>
      <c r="C5090" s="3">
        <v>166</v>
      </c>
      <c r="D5090" s="3">
        <v>7</v>
      </c>
      <c r="E5090" s="3" t="s">
        <v>12</v>
      </c>
      <c r="F5090" s="4">
        <v>63</v>
      </c>
      <c r="G5090" s="4"/>
      <c r="H5090" s="4">
        <f t="shared" si="517"/>
        <v>63</v>
      </c>
    </row>
    <row r="5091" ht="14.25" spans="1:8">
      <c r="A5091" s="3" t="str">
        <f>"30101416608"</f>
        <v>30101416608</v>
      </c>
      <c r="B5091" s="3">
        <v>4</v>
      </c>
      <c r="C5091" s="3">
        <v>166</v>
      </c>
      <c r="D5091" s="3">
        <v>8</v>
      </c>
      <c r="E5091" s="3" t="s">
        <v>12</v>
      </c>
      <c r="F5091" s="4">
        <v>47</v>
      </c>
      <c r="G5091" s="4"/>
      <c r="H5091" s="4">
        <f t="shared" si="517"/>
        <v>47</v>
      </c>
    </row>
    <row r="5092" ht="14.25" spans="1:8">
      <c r="A5092" s="3" t="str">
        <f>"30101416609"</f>
        <v>30101416609</v>
      </c>
      <c r="B5092" s="3">
        <v>4</v>
      </c>
      <c r="C5092" s="3">
        <v>166</v>
      </c>
      <c r="D5092" s="3">
        <v>9</v>
      </c>
      <c r="E5092" s="3" t="s">
        <v>12</v>
      </c>
      <c r="F5092" s="4">
        <v>83</v>
      </c>
      <c r="G5092" s="4"/>
      <c r="H5092" s="4">
        <f t="shared" si="517"/>
        <v>83</v>
      </c>
    </row>
    <row r="5093" ht="14.25" spans="1:8">
      <c r="A5093" s="3" t="str">
        <f>"30101416610"</f>
        <v>30101416610</v>
      </c>
      <c r="B5093" s="3">
        <v>4</v>
      </c>
      <c r="C5093" s="3">
        <v>166</v>
      </c>
      <c r="D5093" s="3">
        <v>10</v>
      </c>
      <c r="E5093" s="3" t="s">
        <v>12</v>
      </c>
      <c r="F5093" s="4">
        <v>82.5</v>
      </c>
      <c r="G5093" s="4"/>
      <c r="H5093" s="4">
        <f t="shared" si="517"/>
        <v>82.5</v>
      </c>
    </row>
    <row r="5094" ht="14.25" spans="1:8">
      <c r="A5094" s="3" t="str">
        <f>"30101416611"</f>
        <v>30101416611</v>
      </c>
      <c r="B5094" s="3">
        <v>4</v>
      </c>
      <c r="C5094" s="3">
        <v>166</v>
      </c>
      <c r="D5094" s="3">
        <v>11</v>
      </c>
      <c r="E5094" s="3" t="s">
        <v>12</v>
      </c>
      <c r="F5094" s="4">
        <v>56</v>
      </c>
      <c r="G5094" s="4"/>
      <c r="H5094" s="4">
        <f t="shared" si="517"/>
        <v>56</v>
      </c>
    </row>
    <row r="5095" ht="14.25" spans="1:8">
      <c r="A5095" s="3" t="str">
        <f>"30101416612"</f>
        <v>30101416612</v>
      </c>
      <c r="B5095" s="3">
        <v>4</v>
      </c>
      <c r="C5095" s="3">
        <v>166</v>
      </c>
      <c r="D5095" s="3">
        <v>12</v>
      </c>
      <c r="E5095" s="3" t="s">
        <v>12</v>
      </c>
      <c r="F5095" s="4">
        <v>68.5</v>
      </c>
      <c r="G5095" s="4"/>
      <c r="H5095" s="4">
        <f t="shared" si="517"/>
        <v>68.5</v>
      </c>
    </row>
    <row r="5096" ht="14.25" spans="1:8">
      <c r="A5096" s="3" t="str">
        <f>"30101416613"</f>
        <v>30101416613</v>
      </c>
      <c r="B5096" s="3">
        <v>4</v>
      </c>
      <c r="C5096" s="3">
        <v>166</v>
      </c>
      <c r="D5096" s="3">
        <v>13</v>
      </c>
      <c r="E5096" s="3" t="s">
        <v>12</v>
      </c>
      <c r="F5096" s="3">
        <v>0</v>
      </c>
      <c r="G5096" s="4"/>
      <c r="H5096" s="3">
        <v>0</v>
      </c>
    </row>
    <row r="5097" ht="14.25" spans="1:8">
      <c r="A5097" s="3" t="str">
        <f>"30101416614"</f>
        <v>30101416614</v>
      </c>
      <c r="B5097" s="3">
        <v>4</v>
      </c>
      <c r="C5097" s="3">
        <v>166</v>
      </c>
      <c r="D5097" s="3">
        <v>14</v>
      </c>
      <c r="E5097" s="3" t="s">
        <v>12</v>
      </c>
      <c r="F5097" s="4">
        <v>59</v>
      </c>
      <c r="G5097" s="4"/>
      <c r="H5097" s="4">
        <f t="shared" ref="H5097:H5102" si="518">F5097+G5097</f>
        <v>59</v>
      </c>
    </row>
    <row r="5098" ht="14.25" spans="1:8">
      <c r="A5098" s="3" t="str">
        <f>"30101416615"</f>
        <v>30101416615</v>
      </c>
      <c r="B5098" s="3">
        <v>4</v>
      </c>
      <c r="C5098" s="3">
        <v>166</v>
      </c>
      <c r="D5098" s="3">
        <v>15</v>
      </c>
      <c r="E5098" s="3" t="s">
        <v>12</v>
      </c>
      <c r="F5098" s="4">
        <v>61</v>
      </c>
      <c r="G5098" s="4"/>
      <c r="H5098" s="4">
        <f t="shared" si="518"/>
        <v>61</v>
      </c>
    </row>
    <row r="5099" ht="14.25" spans="1:8">
      <c r="A5099" s="3" t="str">
        <f>"30101416616"</f>
        <v>30101416616</v>
      </c>
      <c r="B5099" s="3">
        <v>4</v>
      </c>
      <c r="C5099" s="3">
        <v>166</v>
      </c>
      <c r="D5099" s="3">
        <v>16</v>
      </c>
      <c r="E5099" s="3" t="s">
        <v>12</v>
      </c>
      <c r="F5099" s="4">
        <v>46.5</v>
      </c>
      <c r="G5099" s="4"/>
      <c r="H5099" s="4">
        <f t="shared" si="518"/>
        <v>46.5</v>
      </c>
    </row>
    <row r="5100" ht="14.25" spans="1:8">
      <c r="A5100" s="3" t="str">
        <f>"30101416617"</f>
        <v>30101416617</v>
      </c>
      <c r="B5100" s="3">
        <v>4</v>
      </c>
      <c r="C5100" s="3">
        <v>166</v>
      </c>
      <c r="D5100" s="3">
        <v>17</v>
      </c>
      <c r="E5100" s="3" t="s">
        <v>12</v>
      </c>
      <c r="F5100" s="4">
        <v>77</v>
      </c>
      <c r="G5100" s="4"/>
      <c r="H5100" s="4">
        <f t="shared" si="518"/>
        <v>77</v>
      </c>
    </row>
    <row r="5101" ht="14.25" spans="1:8">
      <c r="A5101" s="3" t="str">
        <f>"30101416618"</f>
        <v>30101416618</v>
      </c>
      <c r="B5101" s="3">
        <v>4</v>
      </c>
      <c r="C5101" s="3">
        <v>166</v>
      </c>
      <c r="D5101" s="3">
        <v>18</v>
      </c>
      <c r="E5101" s="3" t="s">
        <v>12</v>
      </c>
      <c r="F5101" s="4">
        <v>60</v>
      </c>
      <c r="G5101" s="4"/>
      <c r="H5101" s="4">
        <f t="shared" si="518"/>
        <v>60</v>
      </c>
    </row>
    <row r="5102" ht="14.25" spans="1:8">
      <c r="A5102" s="3" t="str">
        <f>"30101416619"</f>
        <v>30101416619</v>
      </c>
      <c r="B5102" s="3">
        <v>4</v>
      </c>
      <c r="C5102" s="3">
        <v>166</v>
      </c>
      <c r="D5102" s="3">
        <v>19</v>
      </c>
      <c r="E5102" s="3" t="s">
        <v>12</v>
      </c>
      <c r="F5102" s="4">
        <v>84.5</v>
      </c>
      <c r="G5102" s="4"/>
      <c r="H5102" s="4">
        <f t="shared" si="518"/>
        <v>84.5</v>
      </c>
    </row>
    <row r="5103" ht="14.25" spans="1:8">
      <c r="A5103" s="3" t="str">
        <f>"30101416620"</f>
        <v>30101416620</v>
      </c>
      <c r="B5103" s="3">
        <v>4</v>
      </c>
      <c r="C5103" s="3">
        <v>166</v>
      </c>
      <c r="D5103" s="3">
        <v>20</v>
      </c>
      <c r="E5103" s="3" t="s">
        <v>12</v>
      </c>
      <c r="F5103" s="3">
        <v>0</v>
      </c>
      <c r="G5103" s="4"/>
      <c r="H5103" s="3">
        <v>0</v>
      </c>
    </row>
    <row r="5104" ht="14.25" spans="1:8">
      <c r="A5104" s="3" t="str">
        <f>"30101416621"</f>
        <v>30101416621</v>
      </c>
      <c r="B5104" s="3">
        <v>4</v>
      </c>
      <c r="C5104" s="3">
        <v>166</v>
      </c>
      <c r="D5104" s="3">
        <v>21</v>
      </c>
      <c r="E5104" s="3" t="s">
        <v>12</v>
      </c>
      <c r="F5104" s="4">
        <v>51</v>
      </c>
      <c r="G5104" s="4"/>
      <c r="H5104" s="4">
        <f t="shared" ref="H5104:H5110" si="519">F5104+G5104</f>
        <v>51</v>
      </c>
    </row>
    <row r="5105" ht="14.25" spans="1:8">
      <c r="A5105" s="3" t="str">
        <f>"30101416622"</f>
        <v>30101416622</v>
      </c>
      <c r="B5105" s="3">
        <v>4</v>
      </c>
      <c r="C5105" s="3">
        <v>166</v>
      </c>
      <c r="D5105" s="3">
        <v>22</v>
      </c>
      <c r="E5105" s="3" t="s">
        <v>12</v>
      </c>
      <c r="F5105" s="4">
        <v>73</v>
      </c>
      <c r="G5105" s="4"/>
      <c r="H5105" s="4">
        <f t="shared" si="519"/>
        <v>73</v>
      </c>
    </row>
    <row r="5106" ht="14.25" spans="1:8">
      <c r="A5106" s="3" t="str">
        <f>"30101416623"</f>
        <v>30101416623</v>
      </c>
      <c r="B5106" s="3">
        <v>4</v>
      </c>
      <c r="C5106" s="3">
        <v>166</v>
      </c>
      <c r="D5106" s="3">
        <v>23</v>
      </c>
      <c r="E5106" s="3" t="s">
        <v>12</v>
      </c>
      <c r="F5106" s="4">
        <v>83.5</v>
      </c>
      <c r="G5106" s="4"/>
      <c r="H5106" s="4">
        <f t="shared" si="519"/>
        <v>83.5</v>
      </c>
    </row>
    <row r="5107" ht="14.25" spans="1:8">
      <c r="A5107" s="3" t="str">
        <f>"30101416624"</f>
        <v>30101416624</v>
      </c>
      <c r="B5107" s="3">
        <v>4</v>
      </c>
      <c r="C5107" s="3">
        <v>166</v>
      </c>
      <c r="D5107" s="3">
        <v>24</v>
      </c>
      <c r="E5107" s="3" t="s">
        <v>12</v>
      </c>
      <c r="F5107" s="4">
        <v>79.5</v>
      </c>
      <c r="G5107" s="4"/>
      <c r="H5107" s="4">
        <f t="shared" si="519"/>
        <v>79.5</v>
      </c>
    </row>
    <row r="5108" ht="14.25" spans="1:8">
      <c r="A5108" s="3" t="str">
        <f>"30101416625"</f>
        <v>30101416625</v>
      </c>
      <c r="B5108" s="3">
        <v>4</v>
      </c>
      <c r="C5108" s="3">
        <v>166</v>
      </c>
      <c r="D5108" s="3">
        <v>25</v>
      </c>
      <c r="E5108" s="3" t="s">
        <v>12</v>
      </c>
      <c r="F5108" s="4">
        <v>85</v>
      </c>
      <c r="G5108" s="4"/>
      <c r="H5108" s="4">
        <f t="shared" si="519"/>
        <v>85</v>
      </c>
    </row>
    <row r="5109" ht="14.25" spans="1:8">
      <c r="A5109" s="3" t="str">
        <f>"30101416626"</f>
        <v>30101416626</v>
      </c>
      <c r="B5109" s="3">
        <v>4</v>
      </c>
      <c r="C5109" s="3">
        <v>166</v>
      </c>
      <c r="D5109" s="3">
        <v>26</v>
      </c>
      <c r="E5109" s="3" t="s">
        <v>12</v>
      </c>
      <c r="F5109" s="4">
        <v>67.5</v>
      </c>
      <c r="G5109" s="4"/>
      <c r="H5109" s="4">
        <f t="shared" si="519"/>
        <v>67.5</v>
      </c>
    </row>
    <row r="5110" ht="14.25" spans="1:8">
      <c r="A5110" s="3" t="str">
        <f>"30101416627"</f>
        <v>30101416627</v>
      </c>
      <c r="B5110" s="3">
        <v>4</v>
      </c>
      <c r="C5110" s="3">
        <v>166</v>
      </c>
      <c r="D5110" s="3">
        <v>27</v>
      </c>
      <c r="E5110" s="3" t="s">
        <v>12</v>
      </c>
      <c r="F5110" s="4">
        <v>78.5</v>
      </c>
      <c r="G5110" s="4"/>
      <c r="H5110" s="4">
        <f t="shared" si="519"/>
        <v>78.5</v>
      </c>
    </row>
    <row r="5111" ht="14.25" spans="1:8">
      <c r="A5111" s="3" t="str">
        <f>"30101416628"</f>
        <v>30101416628</v>
      </c>
      <c r="B5111" s="3">
        <v>4</v>
      </c>
      <c r="C5111" s="3">
        <v>166</v>
      </c>
      <c r="D5111" s="3">
        <v>28</v>
      </c>
      <c r="E5111" s="3" t="s">
        <v>12</v>
      </c>
      <c r="F5111" s="3">
        <v>0</v>
      </c>
      <c r="G5111" s="4"/>
      <c r="H5111" s="3">
        <v>0</v>
      </c>
    </row>
    <row r="5112" ht="14.25" spans="1:8">
      <c r="A5112" s="3" t="str">
        <f>"30101416629"</f>
        <v>30101416629</v>
      </c>
      <c r="B5112" s="3">
        <v>4</v>
      </c>
      <c r="C5112" s="3">
        <v>166</v>
      </c>
      <c r="D5112" s="3">
        <v>29</v>
      </c>
      <c r="E5112" s="3" t="s">
        <v>12</v>
      </c>
      <c r="F5112" s="4">
        <v>68.5</v>
      </c>
      <c r="G5112" s="4"/>
      <c r="H5112" s="4">
        <f t="shared" ref="H5112:H5116" si="520">F5112+G5112</f>
        <v>68.5</v>
      </c>
    </row>
    <row r="5113" ht="14.25" spans="1:8">
      <c r="A5113" s="3" t="str">
        <f>"30101416630"</f>
        <v>30101416630</v>
      </c>
      <c r="B5113" s="3">
        <v>4</v>
      </c>
      <c r="C5113" s="3">
        <v>166</v>
      </c>
      <c r="D5113" s="3">
        <v>30</v>
      </c>
      <c r="E5113" s="3" t="s">
        <v>12</v>
      </c>
      <c r="F5113" s="3">
        <v>0</v>
      </c>
      <c r="G5113" s="4"/>
      <c r="H5113" s="3">
        <v>0</v>
      </c>
    </row>
    <row r="5114" ht="14.25" spans="1:8">
      <c r="A5114" s="3" t="str">
        <f>"30101416701"</f>
        <v>30101416701</v>
      </c>
      <c r="B5114" s="3">
        <v>4</v>
      </c>
      <c r="C5114" s="3">
        <v>167</v>
      </c>
      <c r="D5114" s="3">
        <v>1</v>
      </c>
      <c r="E5114" s="3" t="s">
        <v>12</v>
      </c>
      <c r="F5114" s="4">
        <v>45</v>
      </c>
      <c r="G5114" s="4"/>
      <c r="H5114" s="4">
        <f t="shared" si="520"/>
        <v>45</v>
      </c>
    </row>
    <row r="5115" ht="14.25" spans="1:8">
      <c r="A5115" s="3" t="str">
        <f>"30101416702"</f>
        <v>30101416702</v>
      </c>
      <c r="B5115" s="3">
        <v>4</v>
      </c>
      <c r="C5115" s="3">
        <v>167</v>
      </c>
      <c r="D5115" s="3">
        <v>2</v>
      </c>
      <c r="E5115" s="3" t="s">
        <v>12</v>
      </c>
      <c r="F5115" s="4">
        <v>44.5</v>
      </c>
      <c r="G5115" s="4"/>
      <c r="H5115" s="4">
        <f t="shared" si="520"/>
        <v>44.5</v>
      </c>
    </row>
    <row r="5116" ht="14.25" spans="1:8">
      <c r="A5116" s="3" t="str">
        <f>"30101416703"</f>
        <v>30101416703</v>
      </c>
      <c r="B5116" s="3">
        <v>4</v>
      </c>
      <c r="C5116" s="3">
        <v>167</v>
      </c>
      <c r="D5116" s="3">
        <v>3</v>
      </c>
      <c r="E5116" s="3" t="s">
        <v>12</v>
      </c>
      <c r="F5116" s="4">
        <v>69</v>
      </c>
      <c r="G5116" s="4"/>
      <c r="H5116" s="4">
        <f t="shared" si="520"/>
        <v>69</v>
      </c>
    </row>
    <row r="5117" ht="14.25" spans="1:8">
      <c r="A5117" s="3" t="str">
        <f>"30101416704"</f>
        <v>30101416704</v>
      </c>
      <c r="B5117" s="3">
        <v>4</v>
      </c>
      <c r="C5117" s="3">
        <v>167</v>
      </c>
      <c r="D5117" s="3">
        <v>4</v>
      </c>
      <c r="E5117" s="3" t="s">
        <v>12</v>
      </c>
      <c r="F5117" s="3">
        <v>0</v>
      </c>
      <c r="G5117" s="4"/>
      <c r="H5117" s="3">
        <v>0</v>
      </c>
    </row>
    <row r="5118" ht="14.25" spans="1:8">
      <c r="A5118" s="3" t="str">
        <f>"30101416705"</f>
        <v>30101416705</v>
      </c>
      <c r="B5118" s="3">
        <v>4</v>
      </c>
      <c r="C5118" s="3">
        <v>167</v>
      </c>
      <c r="D5118" s="3">
        <v>5</v>
      </c>
      <c r="E5118" s="3" t="s">
        <v>12</v>
      </c>
      <c r="F5118" s="4">
        <v>79.5</v>
      </c>
      <c r="G5118" s="4"/>
      <c r="H5118" s="4">
        <f t="shared" ref="H5118:H5131" si="521">F5118+G5118</f>
        <v>79.5</v>
      </c>
    </row>
    <row r="5119" ht="14.25" spans="1:8">
      <c r="A5119" s="3" t="str">
        <f>"30101416706"</f>
        <v>30101416706</v>
      </c>
      <c r="B5119" s="3">
        <v>4</v>
      </c>
      <c r="C5119" s="3">
        <v>167</v>
      </c>
      <c r="D5119" s="3">
        <v>6</v>
      </c>
      <c r="E5119" s="3" t="s">
        <v>12</v>
      </c>
      <c r="F5119" s="4">
        <v>81</v>
      </c>
      <c r="G5119" s="4"/>
      <c r="H5119" s="4">
        <f t="shared" si="521"/>
        <v>81</v>
      </c>
    </row>
    <row r="5120" ht="14.25" spans="1:8">
      <c r="A5120" s="3" t="str">
        <f>"30101416707"</f>
        <v>30101416707</v>
      </c>
      <c r="B5120" s="3">
        <v>4</v>
      </c>
      <c r="C5120" s="3">
        <v>167</v>
      </c>
      <c r="D5120" s="3">
        <v>7</v>
      </c>
      <c r="E5120" s="3" t="s">
        <v>12</v>
      </c>
      <c r="F5120" s="4">
        <v>74</v>
      </c>
      <c r="G5120" s="4"/>
      <c r="H5120" s="4">
        <f t="shared" si="521"/>
        <v>74</v>
      </c>
    </row>
    <row r="5121" ht="14.25" spans="1:8">
      <c r="A5121" s="3" t="str">
        <f>"30101416708"</f>
        <v>30101416708</v>
      </c>
      <c r="B5121" s="3">
        <v>4</v>
      </c>
      <c r="C5121" s="3">
        <v>167</v>
      </c>
      <c r="D5121" s="3">
        <v>8</v>
      </c>
      <c r="E5121" s="3" t="s">
        <v>12</v>
      </c>
      <c r="F5121" s="4">
        <v>78</v>
      </c>
      <c r="G5121" s="4"/>
      <c r="H5121" s="4">
        <f t="shared" si="521"/>
        <v>78</v>
      </c>
    </row>
    <row r="5122" ht="14.25" spans="1:8">
      <c r="A5122" s="3" t="str">
        <f>"30101416709"</f>
        <v>30101416709</v>
      </c>
      <c r="B5122" s="3">
        <v>4</v>
      </c>
      <c r="C5122" s="3">
        <v>167</v>
      </c>
      <c r="D5122" s="3">
        <v>9</v>
      </c>
      <c r="E5122" s="3" t="s">
        <v>12</v>
      </c>
      <c r="F5122" s="4">
        <v>67</v>
      </c>
      <c r="G5122" s="4"/>
      <c r="H5122" s="4">
        <f t="shared" si="521"/>
        <v>67</v>
      </c>
    </row>
    <row r="5123" ht="14.25" spans="1:8">
      <c r="A5123" s="3" t="str">
        <f>"30101416710"</f>
        <v>30101416710</v>
      </c>
      <c r="B5123" s="3">
        <v>4</v>
      </c>
      <c r="C5123" s="3">
        <v>167</v>
      </c>
      <c r="D5123" s="3">
        <v>10</v>
      </c>
      <c r="E5123" s="3" t="s">
        <v>12</v>
      </c>
      <c r="F5123" s="4">
        <v>62.5</v>
      </c>
      <c r="G5123" s="4"/>
      <c r="H5123" s="4">
        <f t="shared" si="521"/>
        <v>62.5</v>
      </c>
    </row>
    <row r="5124" ht="14.25" spans="1:8">
      <c r="A5124" s="3" t="str">
        <f>"30101416711"</f>
        <v>30101416711</v>
      </c>
      <c r="B5124" s="3">
        <v>4</v>
      </c>
      <c r="C5124" s="3">
        <v>167</v>
      </c>
      <c r="D5124" s="3">
        <v>11</v>
      </c>
      <c r="E5124" s="3" t="s">
        <v>12</v>
      </c>
      <c r="F5124" s="4">
        <v>66</v>
      </c>
      <c r="G5124" s="4"/>
      <c r="H5124" s="4">
        <f t="shared" si="521"/>
        <v>66</v>
      </c>
    </row>
    <row r="5125" ht="14.25" spans="1:8">
      <c r="A5125" s="3" t="str">
        <f>"30101416712"</f>
        <v>30101416712</v>
      </c>
      <c r="B5125" s="3">
        <v>4</v>
      </c>
      <c r="C5125" s="3">
        <v>167</v>
      </c>
      <c r="D5125" s="3">
        <v>12</v>
      </c>
      <c r="E5125" s="3" t="s">
        <v>12</v>
      </c>
      <c r="F5125" s="4">
        <v>66</v>
      </c>
      <c r="G5125" s="4"/>
      <c r="H5125" s="4">
        <f t="shared" si="521"/>
        <v>66</v>
      </c>
    </row>
    <row r="5126" ht="14.25" spans="1:8">
      <c r="A5126" s="3" t="str">
        <f>"30101416713"</f>
        <v>30101416713</v>
      </c>
      <c r="B5126" s="3">
        <v>4</v>
      </c>
      <c r="C5126" s="3">
        <v>167</v>
      </c>
      <c r="D5126" s="3">
        <v>13</v>
      </c>
      <c r="E5126" s="3" t="s">
        <v>12</v>
      </c>
      <c r="F5126" s="4">
        <v>78</v>
      </c>
      <c r="G5126" s="4"/>
      <c r="H5126" s="4">
        <f t="shared" si="521"/>
        <v>78</v>
      </c>
    </row>
    <row r="5127" ht="14.25" spans="1:8">
      <c r="A5127" s="3" t="str">
        <f>"30101416714"</f>
        <v>30101416714</v>
      </c>
      <c r="B5127" s="3">
        <v>4</v>
      </c>
      <c r="C5127" s="3">
        <v>167</v>
      </c>
      <c r="D5127" s="3">
        <v>14</v>
      </c>
      <c r="E5127" s="3" t="s">
        <v>12</v>
      </c>
      <c r="F5127" s="4">
        <v>53.5</v>
      </c>
      <c r="G5127" s="4"/>
      <c r="H5127" s="4">
        <f t="shared" si="521"/>
        <v>53.5</v>
      </c>
    </row>
    <row r="5128" ht="14.25" spans="1:8">
      <c r="A5128" s="3" t="str">
        <f>"30101416715"</f>
        <v>30101416715</v>
      </c>
      <c r="B5128" s="3">
        <v>4</v>
      </c>
      <c r="C5128" s="3">
        <v>167</v>
      </c>
      <c r="D5128" s="3">
        <v>15</v>
      </c>
      <c r="E5128" s="3" t="s">
        <v>12</v>
      </c>
      <c r="F5128" s="4">
        <v>76</v>
      </c>
      <c r="G5128" s="4"/>
      <c r="H5128" s="4">
        <f t="shared" si="521"/>
        <v>76</v>
      </c>
    </row>
    <row r="5129" ht="14.25" spans="1:8">
      <c r="A5129" s="3" t="str">
        <f>"30101416716"</f>
        <v>30101416716</v>
      </c>
      <c r="B5129" s="3">
        <v>4</v>
      </c>
      <c r="C5129" s="3">
        <v>167</v>
      </c>
      <c r="D5129" s="3">
        <v>16</v>
      </c>
      <c r="E5129" s="3" t="s">
        <v>12</v>
      </c>
      <c r="F5129" s="4">
        <v>66.5</v>
      </c>
      <c r="G5129" s="4"/>
      <c r="H5129" s="4">
        <f t="shared" si="521"/>
        <v>66.5</v>
      </c>
    </row>
    <row r="5130" ht="14.25" spans="1:8">
      <c r="A5130" s="3" t="str">
        <f>"30101416717"</f>
        <v>30101416717</v>
      </c>
      <c r="B5130" s="3">
        <v>4</v>
      </c>
      <c r="C5130" s="3">
        <v>167</v>
      </c>
      <c r="D5130" s="3">
        <v>17</v>
      </c>
      <c r="E5130" s="3" t="s">
        <v>12</v>
      </c>
      <c r="F5130" s="4">
        <v>68.5</v>
      </c>
      <c r="G5130" s="4"/>
      <c r="H5130" s="4">
        <f t="shared" si="521"/>
        <v>68.5</v>
      </c>
    </row>
    <row r="5131" ht="14.25" spans="1:8">
      <c r="A5131" s="3" t="str">
        <f>"30101416718"</f>
        <v>30101416718</v>
      </c>
      <c r="B5131" s="3">
        <v>4</v>
      </c>
      <c r="C5131" s="3">
        <v>167</v>
      </c>
      <c r="D5131" s="3">
        <v>18</v>
      </c>
      <c r="E5131" s="3" t="s">
        <v>12</v>
      </c>
      <c r="F5131" s="4">
        <v>70.5</v>
      </c>
      <c r="G5131" s="4"/>
      <c r="H5131" s="4">
        <f t="shared" si="521"/>
        <v>70.5</v>
      </c>
    </row>
    <row r="5132" ht="14.25" spans="1:8">
      <c r="A5132" s="3" t="str">
        <f>"30101416719"</f>
        <v>30101416719</v>
      </c>
      <c r="B5132" s="3">
        <v>4</v>
      </c>
      <c r="C5132" s="3">
        <v>167</v>
      </c>
      <c r="D5132" s="3">
        <v>19</v>
      </c>
      <c r="E5132" s="3" t="s">
        <v>12</v>
      </c>
      <c r="F5132" s="3">
        <v>0</v>
      </c>
      <c r="G5132" s="4"/>
      <c r="H5132" s="3">
        <v>0</v>
      </c>
    </row>
    <row r="5133" ht="14.25" spans="1:8">
      <c r="A5133" s="3" t="str">
        <f>"30101416720"</f>
        <v>30101416720</v>
      </c>
      <c r="B5133" s="3">
        <v>4</v>
      </c>
      <c r="C5133" s="3">
        <v>167</v>
      </c>
      <c r="D5133" s="3">
        <v>20</v>
      </c>
      <c r="E5133" s="3" t="s">
        <v>12</v>
      </c>
      <c r="F5133" s="3">
        <v>0</v>
      </c>
      <c r="G5133" s="4"/>
      <c r="H5133" s="3">
        <v>0</v>
      </c>
    </row>
    <row r="5134" ht="14.25" spans="1:8">
      <c r="A5134" s="3" t="str">
        <f>"30101416721"</f>
        <v>30101416721</v>
      </c>
      <c r="B5134" s="3">
        <v>4</v>
      </c>
      <c r="C5134" s="3">
        <v>167</v>
      </c>
      <c r="D5134" s="3">
        <v>21</v>
      </c>
      <c r="E5134" s="3" t="s">
        <v>12</v>
      </c>
      <c r="F5134" s="4">
        <v>80.5</v>
      </c>
      <c r="G5134" s="4"/>
      <c r="H5134" s="4">
        <f t="shared" ref="H5134:H5140" si="522">F5134+G5134</f>
        <v>80.5</v>
      </c>
    </row>
    <row r="5135" ht="14.25" spans="1:8">
      <c r="A5135" s="3" t="str">
        <f>"30101416722"</f>
        <v>30101416722</v>
      </c>
      <c r="B5135" s="3">
        <v>4</v>
      </c>
      <c r="C5135" s="3">
        <v>167</v>
      </c>
      <c r="D5135" s="3">
        <v>22</v>
      </c>
      <c r="E5135" s="3" t="s">
        <v>12</v>
      </c>
      <c r="F5135" s="4">
        <v>66</v>
      </c>
      <c r="G5135" s="4"/>
      <c r="H5135" s="4">
        <f t="shared" si="522"/>
        <v>66</v>
      </c>
    </row>
    <row r="5136" ht="14.25" spans="1:8">
      <c r="A5136" s="3" t="str">
        <f>"30101416723"</f>
        <v>30101416723</v>
      </c>
      <c r="B5136" s="3">
        <v>4</v>
      </c>
      <c r="C5136" s="3">
        <v>167</v>
      </c>
      <c r="D5136" s="3">
        <v>23</v>
      </c>
      <c r="E5136" s="3" t="s">
        <v>12</v>
      </c>
      <c r="F5136" s="3">
        <v>0</v>
      </c>
      <c r="G5136" s="4"/>
      <c r="H5136" s="3">
        <v>0</v>
      </c>
    </row>
    <row r="5137" ht="14.25" spans="1:8">
      <c r="A5137" s="3" t="str">
        <f>"30101416724"</f>
        <v>30101416724</v>
      </c>
      <c r="B5137" s="3">
        <v>4</v>
      </c>
      <c r="C5137" s="3">
        <v>167</v>
      </c>
      <c r="D5137" s="3">
        <v>24</v>
      </c>
      <c r="E5137" s="3" t="s">
        <v>12</v>
      </c>
      <c r="F5137" s="4">
        <v>69.5</v>
      </c>
      <c r="G5137" s="4"/>
      <c r="H5137" s="4">
        <f t="shared" si="522"/>
        <v>69.5</v>
      </c>
    </row>
    <row r="5138" ht="14.25" spans="1:8">
      <c r="A5138" s="3" t="str">
        <f>"30101416725"</f>
        <v>30101416725</v>
      </c>
      <c r="B5138" s="3">
        <v>4</v>
      </c>
      <c r="C5138" s="3">
        <v>167</v>
      </c>
      <c r="D5138" s="3">
        <v>25</v>
      </c>
      <c r="E5138" s="3" t="s">
        <v>12</v>
      </c>
      <c r="F5138" s="4">
        <v>69</v>
      </c>
      <c r="G5138" s="4"/>
      <c r="H5138" s="4">
        <f t="shared" si="522"/>
        <v>69</v>
      </c>
    </row>
    <row r="5139" ht="14.25" spans="1:8">
      <c r="A5139" s="3" t="str">
        <f>"30101416726"</f>
        <v>30101416726</v>
      </c>
      <c r="B5139" s="3">
        <v>4</v>
      </c>
      <c r="C5139" s="3">
        <v>167</v>
      </c>
      <c r="D5139" s="3">
        <v>26</v>
      </c>
      <c r="E5139" s="3" t="s">
        <v>12</v>
      </c>
      <c r="F5139" s="4">
        <v>72</v>
      </c>
      <c r="G5139" s="4"/>
      <c r="H5139" s="4">
        <f t="shared" si="522"/>
        <v>72</v>
      </c>
    </row>
    <row r="5140" ht="14.25" spans="1:8">
      <c r="A5140" s="3" t="str">
        <f>"30101416727"</f>
        <v>30101416727</v>
      </c>
      <c r="B5140" s="3">
        <v>4</v>
      </c>
      <c r="C5140" s="3">
        <v>167</v>
      </c>
      <c r="D5140" s="3">
        <v>27</v>
      </c>
      <c r="E5140" s="3" t="s">
        <v>12</v>
      </c>
      <c r="F5140" s="4">
        <v>85</v>
      </c>
      <c r="G5140" s="4"/>
      <c r="H5140" s="4">
        <f t="shared" si="522"/>
        <v>85</v>
      </c>
    </row>
    <row r="5141" ht="14.25" spans="1:8">
      <c r="A5141" s="3" t="str">
        <f>"30101416728"</f>
        <v>30101416728</v>
      </c>
      <c r="B5141" s="3">
        <v>4</v>
      </c>
      <c r="C5141" s="3">
        <v>167</v>
      </c>
      <c r="D5141" s="3">
        <v>28</v>
      </c>
      <c r="E5141" s="3" t="s">
        <v>12</v>
      </c>
      <c r="F5141" s="3">
        <v>0</v>
      </c>
      <c r="G5141" s="4"/>
      <c r="H5141" s="3">
        <v>0</v>
      </c>
    </row>
    <row r="5142" ht="14.25" spans="1:8">
      <c r="A5142" s="3" t="str">
        <f>"30101416729"</f>
        <v>30101416729</v>
      </c>
      <c r="B5142" s="3">
        <v>4</v>
      </c>
      <c r="C5142" s="3">
        <v>167</v>
      </c>
      <c r="D5142" s="3">
        <v>29</v>
      </c>
      <c r="E5142" s="3" t="s">
        <v>12</v>
      </c>
      <c r="F5142" s="4">
        <v>72</v>
      </c>
      <c r="G5142" s="4"/>
      <c r="H5142" s="4">
        <f t="shared" ref="H5142:H5153" si="523">F5142+G5142</f>
        <v>72</v>
      </c>
    </row>
    <row r="5143" ht="14.25" spans="1:8">
      <c r="A5143" s="3" t="str">
        <f>"30101416730"</f>
        <v>30101416730</v>
      </c>
      <c r="B5143" s="3">
        <v>4</v>
      </c>
      <c r="C5143" s="3">
        <v>167</v>
      </c>
      <c r="D5143" s="3">
        <v>30</v>
      </c>
      <c r="E5143" s="3" t="s">
        <v>12</v>
      </c>
      <c r="F5143" s="3">
        <v>0</v>
      </c>
      <c r="G5143" s="4"/>
      <c r="H5143" s="3">
        <v>0</v>
      </c>
    </row>
    <row r="5144" ht="14.25" spans="1:8">
      <c r="A5144" s="3" t="str">
        <f>"30101416801"</f>
        <v>30101416801</v>
      </c>
      <c r="B5144" s="3">
        <v>4</v>
      </c>
      <c r="C5144" s="3">
        <v>168</v>
      </c>
      <c r="D5144" s="3">
        <v>1</v>
      </c>
      <c r="E5144" s="3" t="s">
        <v>12</v>
      </c>
      <c r="F5144" s="4">
        <v>84.5</v>
      </c>
      <c r="G5144" s="4"/>
      <c r="H5144" s="4">
        <f t="shared" si="523"/>
        <v>84.5</v>
      </c>
    </row>
    <row r="5145" ht="14.25" spans="1:8">
      <c r="A5145" s="3" t="str">
        <f>"30101416802"</f>
        <v>30101416802</v>
      </c>
      <c r="B5145" s="3">
        <v>4</v>
      </c>
      <c r="C5145" s="3">
        <v>168</v>
      </c>
      <c r="D5145" s="3">
        <v>2</v>
      </c>
      <c r="E5145" s="3" t="s">
        <v>12</v>
      </c>
      <c r="F5145" s="4">
        <v>85</v>
      </c>
      <c r="G5145" s="4"/>
      <c r="H5145" s="4">
        <f t="shared" si="523"/>
        <v>85</v>
      </c>
    </row>
    <row r="5146" ht="14.25" spans="1:8">
      <c r="A5146" s="3" t="str">
        <f>"30101416803"</f>
        <v>30101416803</v>
      </c>
      <c r="B5146" s="3">
        <v>4</v>
      </c>
      <c r="C5146" s="3">
        <v>168</v>
      </c>
      <c r="D5146" s="3">
        <v>3</v>
      </c>
      <c r="E5146" s="3" t="s">
        <v>12</v>
      </c>
      <c r="F5146" s="4">
        <v>92</v>
      </c>
      <c r="G5146" s="4"/>
      <c r="H5146" s="4">
        <f t="shared" si="523"/>
        <v>92</v>
      </c>
    </row>
    <row r="5147" ht="14.25" spans="1:8">
      <c r="A5147" s="3" t="str">
        <f>"30101416804"</f>
        <v>30101416804</v>
      </c>
      <c r="B5147" s="3">
        <v>4</v>
      </c>
      <c r="C5147" s="3">
        <v>168</v>
      </c>
      <c r="D5147" s="3">
        <v>4</v>
      </c>
      <c r="E5147" s="3" t="s">
        <v>12</v>
      </c>
      <c r="F5147" s="4">
        <v>69</v>
      </c>
      <c r="G5147" s="4"/>
      <c r="H5147" s="4">
        <f t="shared" si="523"/>
        <v>69</v>
      </c>
    </row>
    <row r="5148" ht="14.25" spans="1:8">
      <c r="A5148" s="3" t="str">
        <f>"30101416805"</f>
        <v>30101416805</v>
      </c>
      <c r="B5148" s="3">
        <v>4</v>
      </c>
      <c r="C5148" s="3">
        <v>168</v>
      </c>
      <c r="D5148" s="3">
        <v>5</v>
      </c>
      <c r="E5148" s="3" t="s">
        <v>12</v>
      </c>
      <c r="F5148" s="4">
        <v>79.5</v>
      </c>
      <c r="G5148" s="4"/>
      <c r="H5148" s="4">
        <f t="shared" si="523"/>
        <v>79.5</v>
      </c>
    </row>
    <row r="5149" ht="14.25" spans="1:8">
      <c r="A5149" s="3" t="str">
        <f>"30101416806"</f>
        <v>30101416806</v>
      </c>
      <c r="B5149" s="3">
        <v>4</v>
      </c>
      <c r="C5149" s="3">
        <v>168</v>
      </c>
      <c r="D5149" s="3">
        <v>6</v>
      </c>
      <c r="E5149" s="3" t="s">
        <v>12</v>
      </c>
      <c r="F5149" s="4">
        <v>85</v>
      </c>
      <c r="G5149" s="4"/>
      <c r="H5149" s="4">
        <f t="shared" si="523"/>
        <v>85</v>
      </c>
    </row>
    <row r="5150" ht="14.25" spans="1:8">
      <c r="A5150" s="3" t="str">
        <f>"30101416807"</f>
        <v>30101416807</v>
      </c>
      <c r="B5150" s="3">
        <v>4</v>
      </c>
      <c r="C5150" s="3">
        <v>168</v>
      </c>
      <c r="D5150" s="3">
        <v>7</v>
      </c>
      <c r="E5150" s="3" t="s">
        <v>12</v>
      </c>
      <c r="F5150" s="4">
        <v>82.5</v>
      </c>
      <c r="G5150" s="4"/>
      <c r="H5150" s="4">
        <f t="shared" si="523"/>
        <v>82.5</v>
      </c>
    </row>
    <row r="5151" ht="14.25" spans="1:8">
      <c r="A5151" s="3" t="str">
        <f>"30101416808"</f>
        <v>30101416808</v>
      </c>
      <c r="B5151" s="3">
        <v>4</v>
      </c>
      <c r="C5151" s="3">
        <v>168</v>
      </c>
      <c r="D5151" s="3">
        <v>8</v>
      </c>
      <c r="E5151" s="3" t="s">
        <v>12</v>
      </c>
      <c r="F5151" s="4">
        <v>80</v>
      </c>
      <c r="G5151" s="4"/>
      <c r="H5151" s="4">
        <f t="shared" si="523"/>
        <v>80</v>
      </c>
    </row>
    <row r="5152" ht="14.25" spans="1:8">
      <c r="A5152" s="3" t="str">
        <f>"30101416809"</f>
        <v>30101416809</v>
      </c>
      <c r="B5152" s="3">
        <v>4</v>
      </c>
      <c r="C5152" s="3">
        <v>168</v>
      </c>
      <c r="D5152" s="3">
        <v>9</v>
      </c>
      <c r="E5152" s="3" t="s">
        <v>12</v>
      </c>
      <c r="F5152" s="4">
        <v>60</v>
      </c>
      <c r="G5152" s="4"/>
      <c r="H5152" s="4">
        <f t="shared" si="523"/>
        <v>60</v>
      </c>
    </row>
    <row r="5153" ht="14.25" spans="1:8">
      <c r="A5153" s="3" t="str">
        <f>"30101416810"</f>
        <v>30101416810</v>
      </c>
      <c r="B5153" s="3">
        <v>4</v>
      </c>
      <c r="C5153" s="3">
        <v>168</v>
      </c>
      <c r="D5153" s="3">
        <v>10</v>
      </c>
      <c r="E5153" s="3" t="s">
        <v>12</v>
      </c>
      <c r="F5153" s="4">
        <v>85</v>
      </c>
      <c r="G5153" s="4"/>
      <c r="H5153" s="4">
        <f t="shared" si="523"/>
        <v>85</v>
      </c>
    </row>
    <row r="5154" ht="14.25" spans="1:8">
      <c r="A5154" s="3" t="str">
        <f>"30101416811"</f>
        <v>30101416811</v>
      </c>
      <c r="B5154" s="3">
        <v>4</v>
      </c>
      <c r="C5154" s="3">
        <v>168</v>
      </c>
      <c r="D5154" s="3">
        <v>11</v>
      </c>
      <c r="E5154" s="3" t="s">
        <v>12</v>
      </c>
      <c r="F5154" s="3">
        <v>0</v>
      </c>
      <c r="G5154" s="4"/>
      <c r="H5154" s="3">
        <v>0</v>
      </c>
    </row>
    <row r="5155" ht="14.25" spans="1:8">
      <c r="A5155" s="3" t="str">
        <f>"30101416812"</f>
        <v>30101416812</v>
      </c>
      <c r="B5155" s="3">
        <v>4</v>
      </c>
      <c r="C5155" s="3">
        <v>168</v>
      </c>
      <c r="D5155" s="3">
        <v>12</v>
      </c>
      <c r="E5155" s="3" t="s">
        <v>12</v>
      </c>
      <c r="F5155" s="4">
        <v>78</v>
      </c>
      <c r="G5155" s="4"/>
      <c r="H5155" s="4">
        <f t="shared" ref="H5155:H5162" si="524">F5155+G5155</f>
        <v>78</v>
      </c>
    </row>
    <row r="5156" ht="14.25" spans="1:8">
      <c r="A5156" s="3" t="str">
        <f>"30101416813"</f>
        <v>30101416813</v>
      </c>
      <c r="B5156" s="3">
        <v>4</v>
      </c>
      <c r="C5156" s="3">
        <v>168</v>
      </c>
      <c r="D5156" s="3">
        <v>13</v>
      </c>
      <c r="E5156" s="3" t="s">
        <v>12</v>
      </c>
      <c r="F5156" s="4">
        <v>83</v>
      </c>
      <c r="G5156" s="4"/>
      <c r="H5156" s="4">
        <f t="shared" si="524"/>
        <v>83</v>
      </c>
    </row>
    <row r="5157" ht="14.25" spans="1:8">
      <c r="A5157" s="3" t="str">
        <f>"30101416814"</f>
        <v>30101416814</v>
      </c>
      <c r="B5157" s="3">
        <v>4</v>
      </c>
      <c r="C5157" s="3">
        <v>168</v>
      </c>
      <c r="D5157" s="3">
        <v>14</v>
      </c>
      <c r="E5157" s="3" t="s">
        <v>12</v>
      </c>
      <c r="F5157" s="4">
        <v>64</v>
      </c>
      <c r="G5157" s="4"/>
      <c r="H5157" s="4">
        <f t="shared" si="524"/>
        <v>64</v>
      </c>
    </row>
    <row r="5158" ht="14.25" spans="1:8">
      <c r="A5158" s="3" t="str">
        <f>"30101416815"</f>
        <v>30101416815</v>
      </c>
      <c r="B5158" s="3">
        <v>4</v>
      </c>
      <c r="C5158" s="3">
        <v>168</v>
      </c>
      <c r="D5158" s="3">
        <v>15</v>
      </c>
      <c r="E5158" s="3" t="s">
        <v>12</v>
      </c>
      <c r="F5158" s="4">
        <v>77.5</v>
      </c>
      <c r="G5158" s="4"/>
      <c r="H5158" s="4">
        <f t="shared" si="524"/>
        <v>77.5</v>
      </c>
    </row>
    <row r="5159" ht="14.25" spans="1:8">
      <c r="A5159" s="3" t="str">
        <f>"30101416816"</f>
        <v>30101416816</v>
      </c>
      <c r="B5159" s="3">
        <v>4</v>
      </c>
      <c r="C5159" s="3">
        <v>168</v>
      </c>
      <c r="D5159" s="3">
        <v>16</v>
      </c>
      <c r="E5159" s="3" t="s">
        <v>12</v>
      </c>
      <c r="F5159" s="4">
        <v>70</v>
      </c>
      <c r="G5159" s="4"/>
      <c r="H5159" s="4">
        <f t="shared" si="524"/>
        <v>70</v>
      </c>
    </row>
    <row r="5160" ht="14.25" spans="1:8">
      <c r="A5160" s="3" t="str">
        <f>"30101416817"</f>
        <v>30101416817</v>
      </c>
      <c r="B5160" s="3">
        <v>4</v>
      </c>
      <c r="C5160" s="3">
        <v>168</v>
      </c>
      <c r="D5160" s="3">
        <v>17</v>
      </c>
      <c r="E5160" s="3" t="s">
        <v>12</v>
      </c>
      <c r="F5160" s="4">
        <v>82.5</v>
      </c>
      <c r="G5160" s="4"/>
      <c r="H5160" s="4">
        <f t="shared" si="524"/>
        <v>82.5</v>
      </c>
    </row>
    <row r="5161" ht="14.25" spans="1:8">
      <c r="A5161" s="3" t="str">
        <f>"30101416818"</f>
        <v>30101416818</v>
      </c>
      <c r="B5161" s="3">
        <v>4</v>
      </c>
      <c r="C5161" s="3">
        <v>168</v>
      </c>
      <c r="D5161" s="3">
        <v>18</v>
      </c>
      <c r="E5161" s="3" t="s">
        <v>12</v>
      </c>
      <c r="F5161" s="4">
        <v>71.5</v>
      </c>
      <c r="G5161" s="4"/>
      <c r="H5161" s="4">
        <f t="shared" si="524"/>
        <v>71.5</v>
      </c>
    </row>
    <row r="5162" ht="14.25" spans="1:8">
      <c r="A5162" s="3" t="str">
        <f>"30101416819"</f>
        <v>30101416819</v>
      </c>
      <c r="B5162" s="3">
        <v>4</v>
      </c>
      <c r="C5162" s="3">
        <v>168</v>
      </c>
      <c r="D5162" s="3">
        <v>19</v>
      </c>
      <c r="E5162" s="3" t="s">
        <v>12</v>
      </c>
      <c r="F5162" s="4">
        <v>73</v>
      </c>
      <c r="G5162" s="4"/>
      <c r="H5162" s="4">
        <f t="shared" si="524"/>
        <v>73</v>
      </c>
    </row>
    <row r="5163" ht="14.25" spans="1:8">
      <c r="A5163" s="3" t="str">
        <f>"30101416820"</f>
        <v>30101416820</v>
      </c>
      <c r="B5163" s="3">
        <v>4</v>
      </c>
      <c r="C5163" s="3">
        <v>168</v>
      </c>
      <c r="D5163" s="3">
        <v>20</v>
      </c>
      <c r="E5163" s="3" t="s">
        <v>12</v>
      </c>
      <c r="F5163" s="3">
        <v>0</v>
      </c>
      <c r="G5163" s="4"/>
      <c r="H5163" s="3">
        <v>0</v>
      </c>
    </row>
    <row r="5164" ht="14.25" spans="1:8">
      <c r="A5164" s="3" t="str">
        <f>"30101416821"</f>
        <v>30101416821</v>
      </c>
      <c r="B5164" s="3">
        <v>4</v>
      </c>
      <c r="C5164" s="3">
        <v>168</v>
      </c>
      <c r="D5164" s="3">
        <v>21</v>
      </c>
      <c r="E5164" s="3" t="s">
        <v>12</v>
      </c>
      <c r="F5164" s="4">
        <v>69</v>
      </c>
      <c r="G5164" s="4"/>
      <c r="H5164" s="4">
        <f t="shared" ref="H5164:H5166" si="525">F5164+G5164</f>
        <v>69</v>
      </c>
    </row>
    <row r="5165" ht="14.25" spans="1:8">
      <c r="A5165" s="3" t="str">
        <f>"30101416822"</f>
        <v>30101416822</v>
      </c>
      <c r="B5165" s="3">
        <v>4</v>
      </c>
      <c r="C5165" s="3">
        <v>168</v>
      </c>
      <c r="D5165" s="3">
        <v>22</v>
      </c>
      <c r="E5165" s="3" t="s">
        <v>12</v>
      </c>
      <c r="F5165" s="4">
        <v>43.5</v>
      </c>
      <c r="G5165" s="4"/>
      <c r="H5165" s="4">
        <f t="shared" si="525"/>
        <v>43.5</v>
      </c>
    </row>
    <row r="5166" ht="14.25" spans="1:8">
      <c r="A5166" s="3" t="str">
        <f>"30101416823"</f>
        <v>30101416823</v>
      </c>
      <c r="B5166" s="3">
        <v>4</v>
      </c>
      <c r="C5166" s="3">
        <v>168</v>
      </c>
      <c r="D5166" s="3">
        <v>23</v>
      </c>
      <c r="E5166" s="3" t="s">
        <v>12</v>
      </c>
      <c r="F5166" s="4">
        <v>84.5</v>
      </c>
      <c r="G5166" s="4"/>
      <c r="H5166" s="4">
        <f t="shared" si="525"/>
        <v>84.5</v>
      </c>
    </row>
    <row r="5167" ht="14.25" spans="1:8">
      <c r="A5167" s="3" t="str">
        <f>"30101416824"</f>
        <v>30101416824</v>
      </c>
      <c r="B5167" s="3">
        <v>4</v>
      </c>
      <c r="C5167" s="3">
        <v>168</v>
      </c>
      <c r="D5167" s="3">
        <v>24</v>
      </c>
      <c r="E5167" s="3" t="s">
        <v>12</v>
      </c>
      <c r="F5167" s="3">
        <v>0</v>
      </c>
      <c r="G5167" s="4"/>
      <c r="H5167" s="3">
        <v>0</v>
      </c>
    </row>
    <row r="5168" ht="14.25" spans="1:8">
      <c r="A5168" s="3" t="str">
        <f>"30101416825"</f>
        <v>30101416825</v>
      </c>
      <c r="B5168" s="3">
        <v>4</v>
      </c>
      <c r="C5168" s="3">
        <v>168</v>
      </c>
      <c r="D5168" s="3">
        <v>25</v>
      </c>
      <c r="E5168" s="3" t="s">
        <v>12</v>
      </c>
      <c r="F5168" s="4">
        <v>90.5</v>
      </c>
      <c r="G5168" s="4"/>
      <c r="H5168" s="4">
        <f t="shared" ref="H5168:H5172" si="526">F5168+G5168</f>
        <v>90.5</v>
      </c>
    </row>
    <row r="5169" ht="14.25" spans="1:8">
      <c r="A5169" s="3" t="str">
        <f>"30101416826"</f>
        <v>30101416826</v>
      </c>
      <c r="B5169" s="3">
        <v>4</v>
      </c>
      <c r="C5169" s="3">
        <v>168</v>
      </c>
      <c r="D5169" s="3">
        <v>26</v>
      </c>
      <c r="E5169" s="3" t="s">
        <v>12</v>
      </c>
      <c r="F5169" s="4">
        <v>83</v>
      </c>
      <c r="G5169" s="4"/>
      <c r="H5169" s="4">
        <f t="shared" si="526"/>
        <v>83</v>
      </c>
    </row>
    <row r="5170" ht="14.25" spans="1:8">
      <c r="A5170" s="3" t="str">
        <f>"30101416827"</f>
        <v>30101416827</v>
      </c>
      <c r="B5170" s="3">
        <v>4</v>
      </c>
      <c r="C5170" s="3">
        <v>168</v>
      </c>
      <c r="D5170" s="3">
        <v>27</v>
      </c>
      <c r="E5170" s="3" t="s">
        <v>12</v>
      </c>
      <c r="F5170" s="4">
        <v>77</v>
      </c>
      <c r="G5170" s="4"/>
      <c r="H5170" s="4">
        <f t="shared" si="526"/>
        <v>77</v>
      </c>
    </row>
    <row r="5171" ht="14.25" spans="1:8">
      <c r="A5171" s="3" t="str">
        <f>"30101416828"</f>
        <v>30101416828</v>
      </c>
      <c r="B5171" s="3">
        <v>4</v>
      </c>
      <c r="C5171" s="3">
        <v>168</v>
      </c>
      <c r="D5171" s="3">
        <v>28</v>
      </c>
      <c r="E5171" s="3" t="s">
        <v>12</v>
      </c>
      <c r="F5171" s="4">
        <v>70</v>
      </c>
      <c r="G5171" s="4"/>
      <c r="H5171" s="4">
        <f t="shared" si="526"/>
        <v>70</v>
      </c>
    </row>
    <row r="5172" ht="14.25" spans="1:8">
      <c r="A5172" s="3" t="str">
        <f>"30101416829"</f>
        <v>30101416829</v>
      </c>
      <c r="B5172" s="3">
        <v>4</v>
      </c>
      <c r="C5172" s="3">
        <v>168</v>
      </c>
      <c r="D5172" s="3">
        <v>29</v>
      </c>
      <c r="E5172" s="3" t="s">
        <v>12</v>
      </c>
      <c r="F5172" s="4">
        <v>85</v>
      </c>
      <c r="G5172" s="4"/>
      <c r="H5172" s="4">
        <f t="shared" si="526"/>
        <v>85</v>
      </c>
    </row>
    <row r="5173" ht="14.25" spans="1:8">
      <c r="A5173" s="3" t="str">
        <f>"30101416830"</f>
        <v>30101416830</v>
      </c>
      <c r="B5173" s="3">
        <v>4</v>
      </c>
      <c r="C5173" s="3">
        <v>168</v>
      </c>
      <c r="D5173" s="3">
        <v>30</v>
      </c>
      <c r="E5173" s="3" t="s">
        <v>12</v>
      </c>
      <c r="F5173" s="3">
        <v>0</v>
      </c>
      <c r="G5173" s="4"/>
      <c r="H5173" s="3">
        <v>0</v>
      </c>
    </row>
    <row r="5174" ht="14.25" spans="1:8">
      <c r="A5174" s="3" t="str">
        <f>"30101416901"</f>
        <v>30101416901</v>
      </c>
      <c r="B5174" s="3">
        <v>4</v>
      </c>
      <c r="C5174" s="3">
        <v>169</v>
      </c>
      <c r="D5174" s="3">
        <v>1</v>
      </c>
      <c r="E5174" s="3" t="s">
        <v>12</v>
      </c>
      <c r="F5174" s="4">
        <v>87</v>
      </c>
      <c r="G5174" s="4"/>
      <c r="H5174" s="4">
        <f t="shared" ref="H5174:H5179" si="527">F5174+G5174</f>
        <v>87</v>
      </c>
    </row>
    <row r="5175" ht="14.25" spans="1:8">
      <c r="A5175" s="3" t="str">
        <f>"30101416902"</f>
        <v>30101416902</v>
      </c>
      <c r="B5175" s="3">
        <v>4</v>
      </c>
      <c r="C5175" s="3">
        <v>169</v>
      </c>
      <c r="D5175" s="3">
        <v>2</v>
      </c>
      <c r="E5175" s="3" t="s">
        <v>12</v>
      </c>
      <c r="F5175" s="4">
        <v>79</v>
      </c>
      <c r="G5175" s="4"/>
      <c r="H5175" s="4">
        <f t="shared" si="527"/>
        <v>79</v>
      </c>
    </row>
    <row r="5176" ht="14.25" spans="1:8">
      <c r="A5176" s="3" t="str">
        <f>"30101416903"</f>
        <v>30101416903</v>
      </c>
      <c r="B5176" s="3">
        <v>4</v>
      </c>
      <c r="C5176" s="3">
        <v>169</v>
      </c>
      <c r="D5176" s="3">
        <v>3</v>
      </c>
      <c r="E5176" s="3" t="s">
        <v>12</v>
      </c>
      <c r="F5176" s="3">
        <v>0</v>
      </c>
      <c r="G5176" s="4"/>
      <c r="H5176" s="3">
        <v>0</v>
      </c>
    </row>
    <row r="5177" ht="14.25" spans="1:8">
      <c r="A5177" s="3" t="str">
        <f>"30101416904"</f>
        <v>30101416904</v>
      </c>
      <c r="B5177" s="3">
        <v>4</v>
      </c>
      <c r="C5177" s="3">
        <v>169</v>
      </c>
      <c r="D5177" s="3">
        <v>4</v>
      </c>
      <c r="E5177" s="3" t="s">
        <v>12</v>
      </c>
      <c r="F5177" s="4">
        <v>79.5</v>
      </c>
      <c r="G5177" s="4"/>
      <c r="H5177" s="4">
        <f t="shared" si="527"/>
        <v>79.5</v>
      </c>
    </row>
    <row r="5178" ht="14.25" spans="1:8">
      <c r="A5178" s="3" t="str">
        <f>"30101416905"</f>
        <v>30101416905</v>
      </c>
      <c r="B5178" s="3">
        <v>4</v>
      </c>
      <c r="C5178" s="3">
        <v>169</v>
      </c>
      <c r="D5178" s="3">
        <v>5</v>
      </c>
      <c r="E5178" s="3" t="s">
        <v>12</v>
      </c>
      <c r="F5178" s="4">
        <v>65</v>
      </c>
      <c r="G5178" s="4"/>
      <c r="H5178" s="4">
        <f t="shared" si="527"/>
        <v>65</v>
      </c>
    </row>
    <row r="5179" ht="14.25" spans="1:8">
      <c r="A5179" s="3" t="str">
        <f>"30101416906"</f>
        <v>30101416906</v>
      </c>
      <c r="B5179" s="3">
        <v>4</v>
      </c>
      <c r="C5179" s="3">
        <v>169</v>
      </c>
      <c r="D5179" s="3">
        <v>6</v>
      </c>
      <c r="E5179" s="3" t="s">
        <v>12</v>
      </c>
      <c r="F5179" s="4">
        <v>69.5</v>
      </c>
      <c r="G5179" s="4"/>
      <c r="H5179" s="4">
        <f t="shared" si="527"/>
        <v>69.5</v>
      </c>
    </row>
    <row r="5180" ht="14.25" spans="1:8">
      <c r="A5180" s="3" t="str">
        <f>"30101416907"</f>
        <v>30101416907</v>
      </c>
      <c r="B5180" s="3">
        <v>4</v>
      </c>
      <c r="C5180" s="3">
        <v>169</v>
      </c>
      <c r="D5180" s="3">
        <v>7</v>
      </c>
      <c r="E5180" s="3" t="s">
        <v>12</v>
      </c>
      <c r="F5180" s="3">
        <v>0</v>
      </c>
      <c r="G5180" s="4"/>
      <c r="H5180" s="3">
        <v>0</v>
      </c>
    </row>
    <row r="5181" ht="14.25" spans="1:8">
      <c r="A5181" s="3" t="str">
        <f>"30101416908"</f>
        <v>30101416908</v>
      </c>
      <c r="B5181" s="3">
        <v>4</v>
      </c>
      <c r="C5181" s="3">
        <v>169</v>
      </c>
      <c r="D5181" s="3">
        <v>8</v>
      </c>
      <c r="E5181" s="3" t="s">
        <v>12</v>
      </c>
      <c r="F5181" s="4">
        <v>72.5</v>
      </c>
      <c r="G5181" s="4"/>
      <c r="H5181" s="4">
        <f t="shared" ref="H5181:H5188" si="528">F5181+G5181</f>
        <v>72.5</v>
      </c>
    </row>
    <row r="5182" ht="14.25" spans="1:8">
      <c r="A5182" s="3" t="str">
        <f>"30101416909"</f>
        <v>30101416909</v>
      </c>
      <c r="B5182" s="3">
        <v>4</v>
      </c>
      <c r="C5182" s="3">
        <v>169</v>
      </c>
      <c r="D5182" s="3">
        <v>9</v>
      </c>
      <c r="E5182" s="3" t="s">
        <v>12</v>
      </c>
      <c r="F5182" s="4">
        <v>52</v>
      </c>
      <c r="G5182" s="4"/>
      <c r="H5182" s="4">
        <f t="shared" si="528"/>
        <v>52</v>
      </c>
    </row>
    <row r="5183" ht="14.25" spans="1:8">
      <c r="A5183" s="3" t="str">
        <f>"30101416910"</f>
        <v>30101416910</v>
      </c>
      <c r="B5183" s="3">
        <v>4</v>
      </c>
      <c r="C5183" s="3">
        <v>169</v>
      </c>
      <c r="D5183" s="3">
        <v>10</v>
      </c>
      <c r="E5183" s="3" t="s">
        <v>12</v>
      </c>
      <c r="F5183" s="4">
        <v>67</v>
      </c>
      <c r="G5183" s="4"/>
      <c r="H5183" s="4">
        <f t="shared" si="528"/>
        <v>67</v>
      </c>
    </row>
    <row r="5184" ht="14.25" spans="1:8">
      <c r="A5184" s="3" t="str">
        <f>"30101416911"</f>
        <v>30101416911</v>
      </c>
      <c r="B5184" s="3">
        <v>4</v>
      </c>
      <c r="C5184" s="3">
        <v>169</v>
      </c>
      <c r="D5184" s="3">
        <v>11</v>
      </c>
      <c r="E5184" s="3" t="s">
        <v>12</v>
      </c>
      <c r="F5184" s="4">
        <v>62.5</v>
      </c>
      <c r="G5184" s="4"/>
      <c r="H5184" s="4">
        <f t="shared" si="528"/>
        <v>62.5</v>
      </c>
    </row>
    <row r="5185" ht="14.25" spans="1:8">
      <c r="A5185" s="3" t="str">
        <f>"30101416912"</f>
        <v>30101416912</v>
      </c>
      <c r="B5185" s="3">
        <v>4</v>
      </c>
      <c r="C5185" s="3">
        <v>169</v>
      </c>
      <c r="D5185" s="3">
        <v>12</v>
      </c>
      <c r="E5185" s="3" t="s">
        <v>12</v>
      </c>
      <c r="F5185" s="4">
        <v>67</v>
      </c>
      <c r="G5185" s="4"/>
      <c r="H5185" s="4">
        <f t="shared" si="528"/>
        <v>67</v>
      </c>
    </row>
    <row r="5186" ht="14.25" spans="1:8">
      <c r="A5186" s="3" t="str">
        <f>"30101416913"</f>
        <v>30101416913</v>
      </c>
      <c r="B5186" s="3">
        <v>4</v>
      </c>
      <c r="C5186" s="3">
        <v>169</v>
      </c>
      <c r="D5186" s="3">
        <v>13</v>
      </c>
      <c r="E5186" s="3" t="s">
        <v>12</v>
      </c>
      <c r="F5186" s="4">
        <v>81</v>
      </c>
      <c r="G5186" s="4"/>
      <c r="H5186" s="4">
        <f t="shared" si="528"/>
        <v>81</v>
      </c>
    </row>
    <row r="5187" ht="14.25" spans="1:8">
      <c r="A5187" s="3" t="str">
        <f>"30101416914"</f>
        <v>30101416914</v>
      </c>
      <c r="B5187" s="3">
        <v>4</v>
      </c>
      <c r="C5187" s="3">
        <v>169</v>
      </c>
      <c r="D5187" s="3">
        <v>14</v>
      </c>
      <c r="E5187" s="3" t="s">
        <v>12</v>
      </c>
      <c r="F5187" s="4">
        <v>71</v>
      </c>
      <c r="G5187" s="4"/>
      <c r="H5187" s="4">
        <f t="shared" si="528"/>
        <v>71</v>
      </c>
    </row>
    <row r="5188" ht="14.25" spans="1:8">
      <c r="A5188" s="3" t="str">
        <f>"30101416915"</f>
        <v>30101416915</v>
      </c>
      <c r="B5188" s="3">
        <v>4</v>
      </c>
      <c r="C5188" s="3">
        <v>169</v>
      </c>
      <c r="D5188" s="3">
        <v>15</v>
      </c>
      <c r="E5188" s="3" t="s">
        <v>12</v>
      </c>
      <c r="F5188" s="4">
        <v>50.5</v>
      </c>
      <c r="G5188" s="4"/>
      <c r="H5188" s="4">
        <f t="shared" si="528"/>
        <v>50.5</v>
      </c>
    </row>
    <row r="5189" ht="14.25" spans="1:8">
      <c r="A5189" s="3" t="str">
        <f>"30101416916"</f>
        <v>30101416916</v>
      </c>
      <c r="B5189" s="3">
        <v>4</v>
      </c>
      <c r="C5189" s="3">
        <v>169</v>
      </c>
      <c r="D5189" s="3">
        <v>16</v>
      </c>
      <c r="E5189" s="3" t="s">
        <v>12</v>
      </c>
      <c r="F5189" s="3">
        <v>0</v>
      </c>
      <c r="G5189" s="4"/>
      <c r="H5189" s="3">
        <v>0</v>
      </c>
    </row>
    <row r="5190" ht="14.25" spans="1:8">
      <c r="A5190" s="3" t="str">
        <f>"30101416917"</f>
        <v>30101416917</v>
      </c>
      <c r="B5190" s="3">
        <v>4</v>
      </c>
      <c r="C5190" s="3">
        <v>169</v>
      </c>
      <c r="D5190" s="3">
        <v>17</v>
      </c>
      <c r="E5190" s="3" t="s">
        <v>12</v>
      </c>
      <c r="F5190" s="3">
        <v>0</v>
      </c>
      <c r="G5190" s="4"/>
      <c r="H5190" s="3">
        <v>0</v>
      </c>
    </row>
    <row r="5191" ht="14.25" spans="1:8">
      <c r="A5191" s="3" t="str">
        <f>"30101416918"</f>
        <v>30101416918</v>
      </c>
      <c r="B5191" s="3">
        <v>4</v>
      </c>
      <c r="C5191" s="3">
        <v>169</v>
      </c>
      <c r="D5191" s="3">
        <v>18</v>
      </c>
      <c r="E5191" s="3" t="s">
        <v>12</v>
      </c>
      <c r="F5191" s="3">
        <v>0</v>
      </c>
      <c r="G5191" s="4"/>
      <c r="H5191" s="3">
        <v>0</v>
      </c>
    </row>
    <row r="5192" ht="14.25" spans="1:8">
      <c r="A5192" s="3" t="str">
        <f>"30101416919"</f>
        <v>30101416919</v>
      </c>
      <c r="B5192" s="3">
        <v>4</v>
      </c>
      <c r="C5192" s="3">
        <v>169</v>
      </c>
      <c r="D5192" s="3">
        <v>19</v>
      </c>
      <c r="E5192" s="3" t="s">
        <v>12</v>
      </c>
      <c r="F5192" s="4">
        <v>76</v>
      </c>
      <c r="G5192" s="4"/>
      <c r="H5192" s="4">
        <f t="shared" ref="H5192:H5194" si="529">F5192+G5192</f>
        <v>76</v>
      </c>
    </row>
    <row r="5193" ht="14.25" spans="1:8">
      <c r="A5193" s="3" t="str">
        <f>"30101416920"</f>
        <v>30101416920</v>
      </c>
      <c r="B5193" s="3">
        <v>4</v>
      </c>
      <c r="C5193" s="3">
        <v>169</v>
      </c>
      <c r="D5193" s="3">
        <v>20</v>
      </c>
      <c r="E5193" s="3" t="s">
        <v>12</v>
      </c>
      <c r="F5193" s="4">
        <v>69.5</v>
      </c>
      <c r="G5193" s="4"/>
      <c r="H5193" s="4">
        <f t="shared" si="529"/>
        <v>69.5</v>
      </c>
    </row>
    <row r="5194" ht="14.25" spans="1:8">
      <c r="A5194" s="3" t="str">
        <f>"30101416921"</f>
        <v>30101416921</v>
      </c>
      <c r="B5194" s="3">
        <v>4</v>
      </c>
      <c r="C5194" s="3">
        <v>169</v>
      </c>
      <c r="D5194" s="3">
        <v>21</v>
      </c>
      <c r="E5194" s="3" t="s">
        <v>12</v>
      </c>
      <c r="F5194" s="4">
        <v>75.5</v>
      </c>
      <c r="G5194" s="4"/>
      <c r="H5194" s="4">
        <f t="shared" si="529"/>
        <v>75.5</v>
      </c>
    </row>
    <row r="5195" ht="14.25" spans="1:8">
      <c r="A5195" s="3" t="str">
        <f>"30101416922"</f>
        <v>30101416922</v>
      </c>
      <c r="B5195" s="3">
        <v>4</v>
      </c>
      <c r="C5195" s="3">
        <v>169</v>
      </c>
      <c r="D5195" s="3">
        <v>22</v>
      </c>
      <c r="E5195" s="3" t="s">
        <v>12</v>
      </c>
      <c r="F5195" s="3">
        <v>0</v>
      </c>
      <c r="G5195" s="4"/>
      <c r="H5195" s="3">
        <v>0</v>
      </c>
    </row>
    <row r="5196" ht="14.25" spans="1:8">
      <c r="A5196" s="3" t="str">
        <f>"30101416923"</f>
        <v>30101416923</v>
      </c>
      <c r="B5196" s="3">
        <v>4</v>
      </c>
      <c r="C5196" s="3">
        <v>169</v>
      </c>
      <c r="D5196" s="3">
        <v>23</v>
      </c>
      <c r="E5196" s="3" t="s">
        <v>12</v>
      </c>
      <c r="F5196" s="4">
        <v>85.5</v>
      </c>
      <c r="G5196" s="4"/>
      <c r="H5196" s="4">
        <f t="shared" ref="H5196:H5201" si="530">F5196+G5196</f>
        <v>85.5</v>
      </c>
    </row>
    <row r="5197" ht="14.25" spans="1:8">
      <c r="A5197" s="3" t="str">
        <f>"30101416924"</f>
        <v>30101416924</v>
      </c>
      <c r="B5197" s="3">
        <v>4</v>
      </c>
      <c r="C5197" s="3">
        <v>169</v>
      </c>
      <c r="D5197" s="3">
        <v>24</v>
      </c>
      <c r="E5197" s="3" t="s">
        <v>12</v>
      </c>
      <c r="F5197" s="4">
        <v>79</v>
      </c>
      <c r="G5197" s="4"/>
      <c r="H5197" s="4">
        <f t="shared" si="530"/>
        <v>79</v>
      </c>
    </row>
    <row r="5198" ht="14.25" spans="1:8">
      <c r="A5198" s="3" t="str">
        <f>"30101416925"</f>
        <v>30101416925</v>
      </c>
      <c r="B5198" s="3">
        <v>4</v>
      </c>
      <c r="C5198" s="3">
        <v>169</v>
      </c>
      <c r="D5198" s="3">
        <v>25</v>
      </c>
      <c r="E5198" s="3" t="s">
        <v>12</v>
      </c>
      <c r="F5198" s="4">
        <v>47.5</v>
      </c>
      <c r="G5198" s="4"/>
      <c r="H5198" s="4">
        <f t="shared" si="530"/>
        <v>47.5</v>
      </c>
    </row>
    <row r="5199" ht="14.25" spans="1:8">
      <c r="A5199" s="3" t="str">
        <f>"30101416926"</f>
        <v>30101416926</v>
      </c>
      <c r="B5199" s="3">
        <v>4</v>
      </c>
      <c r="C5199" s="3">
        <v>169</v>
      </c>
      <c r="D5199" s="3">
        <v>26</v>
      </c>
      <c r="E5199" s="3" t="s">
        <v>12</v>
      </c>
      <c r="F5199" s="4">
        <v>59.5</v>
      </c>
      <c r="G5199" s="4"/>
      <c r="H5199" s="4">
        <f t="shared" si="530"/>
        <v>59.5</v>
      </c>
    </row>
    <row r="5200" ht="14.25" spans="1:8">
      <c r="A5200" s="3" t="str">
        <f>"30101416927"</f>
        <v>30101416927</v>
      </c>
      <c r="B5200" s="3">
        <v>4</v>
      </c>
      <c r="C5200" s="3">
        <v>169</v>
      </c>
      <c r="D5200" s="3">
        <v>27</v>
      </c>
      <c r="E5200" s="3" t="s">
        <v>12</v>
      </c>
      <c r="F5200" s="4">
        <v>55.5</v>
      </c>
      <c r="G5200" s="4"/>
      <c r="H5200" s="4">
        <f t="shared" si="530"/>
        <v>55.5</v>
      </c>
    </row>
    <row r="5201" ht="14.25" spans="1:8">
      <c r="A5201" s="3" t="str">
        <f>"30101416928"</f>
        <v>30101416928</v>
      </c>
      <c r="B5201" s="3">
        <v>4</v>
      </c>
      <c r="C5201" s="3">
        <v>169</v>
      </c>
      <c r="D5201" s="3">
        <v>28</v>
      </c>
      <c r="E5201" s="3" t="s">
        <v>12</v>
      </c>
      <c r="F5201" s="4">
        <v>72</v>
      </c>
      <c r="G5201" s="4"/>
      <c r="H5201" s="4">
        <f t="shared" si="530"/>
        <v>72</v>
      </c>
    </row>
    <row r="5202" ht="14.25" spans="1:8">
      <c r="A5202" s="3" t="str">
        <f>"30101416929"</f>
        <v>30101416929</v>
      </c>
      <c r="B5202" s="3">
        <v>4</v>
      </c>
      <c r="C5202" s="3">
        <v>169</v>
      </c>
      <c r="D5202" s="3">
        <v>29</v>
      </c>
      <c r="E5202" s="3" t="s">
        <v>12</v>
      </c>
      <c r="F5202" s="3">
        <v>0</v>
      </c>
      <c r="G5202" s="4"/>
      <c r="H5202" s="3">
        <v>0</v>
      </c>
    </row>
    <row r="5203" ht="14.25" spans="1:8">
      <c r="A5203" s="3" t="str">
        <f>"30101416930"</f>
        <v>30101416930</v>
      </c>
      <c r="B5203" s="3">
        <v>4</v>
      </c>
      <c r="C5203" s="3">
        <v>169</v>
      </c>
      <c r="D5203" s="3">
        <v>30</v>
      </c>
      <c r="E5203" s="3" t="s">
        <v>12</v>
      </c>
      <c r="F5203" s="4">
        <v>82.5</v>
      </c>
      <c r="G5203" s="4"/>
      <c r="H5203" s="4">
        <f t="shared" ref="H5203:H5208" si="531">F5203+G5203</f>
        <v>82.5</v>
      </c>
    </row>
    <row r="5204" ht="14.25" spans="1:8">
      <c r="A5204" s="3" t="str">
        <f>"30101417001"</f>
        <v>30101417001</v>
      </c>
      <c r="B5204" s="3">
        <v>4</v>
      </c>
      <c r="C5204" s="3">
        <v>170</v>
      </c>
      <c r="D5204" s="3">
        <v>1</v>
      </c>
      <c r="E5204" s="3" t="s">
        <v>12</v>
      </c>
      <c r="F5204" s="4">
        <v>64.5</v>
      </c>
      <c r="G5204" s="4"/>
      <c r="H5204" s="4">
        <f t="shared" si="531"/>
        <v>64.5</v>
      </c>
    </row>
    <row r="5205" ht="14.25" spans="1:8">
      <c r="A5205" s="3" t="str">
        <f>"30101417002"</f>
        <v>30101417002</v>
      </c>
      <c r="B5205" s="3">
        <v>4</v>
      </c>
      <c r="C5205" s="3">
        <v>170</v>
      </c>
      <c r="D5205" s="3">
        <v>2</v>
      </c>
      <c r="E5205" s="3" t="s">
        <v>12</v>
      </c>
      <c r="F5205" s="4">
        <v>54.5</v>
      </c>
      <c r="G5205" s="4"/>
      <c r="H5205" s="4">
        <f t="shared" si="531"/>
        <v>54.5</v>
      </c>
    </row>
    <row r="5206" ht="14.25" spans="1:8">
      <c r="A5206" s="3" t="str">
        <f>"30101417003"</f>
        <v>30101417003</v>
      </c>
      <c r="B5206" s="3">
        <v>4</v>
      </c>
      <c r="C5206" s="3">
        <v>170</v>
      </c>
      <c r="D5206" s="3">
        <v>3</v>
      </c>
      <c r="E5206" s="3" t="s">
        <v>12</v>
      </c>
      <c r="F5206" s="4">
        <v>82</v>
      </c>
      <c r="G5206" s="4"/>
      <c r="H5206" s="4">
        <f t="shared" si="531"/>
        <v>82</v>
      </c>
    </row>
    <row r="5207" ht="14.25" spans="1:8">
      <c r="A5207" s="3" t="str">
        <f>"30101417004"</f>
        <v>30101417004</v>
      </c>
      <c r="B5207" s="3">
        <v>4</v>
      </c>
      <c r="C5207" s="3">
        <v>170</v>
      </c>
      <c r="D5207" s="3">
        <v>4</v>
      </c>
      <c r="E5207" s="3" t="s">
        <v>12</v>
      </c>
      <c r="F5207" s="4">
        <v>82.5</v>
      </c>
      <c r="G5207" s="4"/>
      <c r="H5207" s="4">
        <f t="shared" si="531"/>
        <v>82.5</v>
      </c>
    </row>
    <row r="5208" ht="14.25" spans="1:8">
      <c r="A5208" s="3" t="str">
        <f>"30101417005"</f>
        <v>30101417005</v>
      </c>
      <c r="B5208" s="3">
        <v>4</v>
      </c>
      <c r="C5208" s="3">
        <v>170</v>
      </c>
      <c r="D5208" s="3">
        <v>5</v>
      </c>
      <c r="E5208" s="3" t="s">
        <v>12</v>
      </c>
      <c r="F5208" s="4">
        <v>77</v>
      </c>
      <c r="G5208" s="4"/>
      <c r="H5208" s="4">
        <f t="shared" si="531"/>
        <v>77</v>
      </c>
    </row>
    <row r="5209" ht="14.25" spans="1:8">
      <c r="A5209" s="3" t="str">
        <f>"30101417006"</f>
        <v>30101417006</v>
      </c>
      <c r="B5209" s="3">
        <v>4</v>
      </c>
      <c r="C5209" s="3">
        <v>170</v>
      </c>
      <c r="D5209" s="3">
        <v>6</v>
      </c>
      <c r="E5209" s="3" t="s">
        <v>12</v>
      </c>
      <c r="F5209" s="3">
        <v>0</v>
      </c>
      <c r="G5209" s="4"/>
      <c r="H5209" s="3">
        <v>0</v>
      </c>
    </row>
    <row r="5210" ht="14.25" spans="1:8">
      <c r="A5210" s="3" t="str">
        <f>"30101417007"</f>
        <v>30101417007</v>
      </c>
      <c r="B5210" s="3">
        <v>4</v>
      </c>
      <c r="C5210" s="3">
        <v>170</v>
      </c>
      <c r="D5210" s="3">
        <v>7</v>
      </c>
      <c r="E5210" s="3" t="s">
        <v>12</v>
      </c>
      <c r="F5210" s="4">
        <v>57</v>
      </c>
      <c r="G5210" s="4"/>
      <c r="H5210" s="4">
        <f t="shared" ref="H5210:H5212" si="532">F5210+G5210</f>
        <v>57</v>
      </c>
    </row>
    <row r="5211" ht="14.25" spans="1:8">
      <c r="A5211" s="3" t="str">
        <f>"30101417008"</f>
        <v>30101417008</v>
      </c>
      <c r="B5211" s="3">
        <v>4</v>
      </c>
      <c r="C5211" s="3">
        <v>170</v>
      </c>
      <c r="D5211" s="3">
        <v>8</v>
      </c>
      <c r="E5211" s="3" t="s">
        <v>12</v>
      </c>
      <c r="F5211" s="4">
        <v>59</v>
      </c>
      <c r="G5211" s="4"/>
      <c r="H5211" s="4">
        <f t="shared" si="532"/>
        <v>59</v>
      </c>
    </row>
    <row r="5212" ht="14.25" spans="1:8">
      <c r="A5212" s="3" t="str">
        <f>"30101417009"</f>
        <v>30101417009</v>
      </c>
      <c r="B5212" s="3">
        <v>4</v>
      </c>
      <c r="C5212" s="3">
        <v>170</v>
      </c>
      <c r="D5212" s="3">
        <v>9</v>
      </c>
      <c r="E5212" s="3" t="s">
        <v>12</v>
      </c>
      <c r="F5212" s="4">
        <v>63</v>
      </c>
      <c r="G5212" s="4"/>
      <c r="H5212" s="4">
        <f t="shared" si="532"/>
        <v>63</v>
      </c>
    </row>
    <row r="5213" ht="14.25" spans="1:8">
      <c r="A5213" s="3" t="str">
        <f>"30101417010"</f>
        <v>30101417010</v>
      </c>
      <c r="B5213" s="3">
        <v>4</v>
      </c>
      <c r="C5213" s="3">
        <v>170</v>
      </c>
      <c r="D5213" s="3">
        <v>10</v>
      </c>
      <c r="E5213" s="3" t="s">
        <v>12</v>
      </c>
      <c r="F5213" s="3">
        <v>0</v>
      </c>
      <c r="G5213" s="4"/>
      <c r="H5213" s="3">
        <v>0</v>
      </c>
    </row>
    <row r="5214" ht="14.25" spans="1:8">
      <c r="A5214" s="3" t="str">
        <f>"30102417011"</f>
        <v>30102417011</v>
      </c>
      <c r="B5214" s="3">
        <v>4</v>
      </c>
      <c r="C5214" s="3">
        <v>170</v>
      </c>
      <c r="D5214" s="3">
        <v>11</v>
      </c>
      <c r="E5214" s="3" t="s">
        <v>12</v>
      </c>
      <c r="F5214" s="4">
        <v>52.5</v>
      </c>
      <c r="G5214" s="4"/>
      <c r="H5214" s="4">
        <f t="shared" ref="H5214:H5222" si="533">F5214+G5214</f>
        <v>52.5</v>
      </c>
    </row>
    <row r="5215" ht="14.25" spans="1:8">
      <c r="A5215" s="3" t="str">
        <f>"30102417012"</f>
        <v>30102417012</v>
      </c>
      <c r="B5215" s="3">
        <v>4</v>
      </c>
      <c r="C5215" s="3">
        <v>170</v>
      </c>
      <c r="D5215" s="3">
        <v>12</v>
      </c>
      <c r="E5215" s="3" t="s">
        <v>12</v>
      </c>
      <c r="F5215" s="4">
        <v>51</v>
      </c>
      <c r="G5215" s="4"/>
      <c r="H5215" s="4">
        <f t="shared" si="533"/>
        <v>51</v>
      </c>
    </row>
    <row r="5216" ht="14.25" spans="1:8">
      <c r="A5216" s="3" t="str">
        <f>"30102417013"</f>
        <v>30102417013</v>
      </c>
      <c r="B5216" s="3">
        <v>4</v>
      </c>
      <c r="C5216" s="3">
        <v>170</v>
      </c>
      <c r="D5216" s="3">
        <v>13</v>
      </c>
      <c r="E5216" s="3" t="s">
        <v>12</v>
      </c>
      <c r="F5216" s="4">
        <v>50.5</v>
      </c>
      <c r="G5216" s="4"/>
      <c r="H5216" s="4">
        <f t="shared" si="533"/>
        <v>50.5</v>
      </c>
    </row>
    <row r="5217" ht="14.25" spans="1:8">
      <c r="A5217" s="3" t="str">
        <f>"30102417014"</f>
        <v>30102417014</v>
      </c>
      <c r="B5217" s="3">
        <v>4</v>
      </c>
      <c r="C5217" s="3">
        <v>170</v>
      </c>
      <c r="D5217" s="3">
        <v>14</v>
      </c>
      <c r="E5217" s="3" t="s">
        <v>12</v>
      </c>
      <c r="F5217" s="4">
        <v>87</v>
      </c>
      <c r="G5217" s="4"/>
      <c r="H5217" s="4">
        <f t="shared" si="533"/>
        <v>87</v>
      </c>
    </row>
    <row r="5218" ht="14.25" spans="1:8">
      <c r="A5218" s="3" t="str">
        <f>"30102417015"</f>
        <v>30102417015</v>
      </c>
      <c r="B5218" s="3">
        <v>4</v>
      </c>
      <c r="C5218" s="3">
        <v>170</v>
      </c>
      <c r="D5218" s="3">
        <v>15</v>
      </c>
      <c r="E5218" s="3" t="s">
        <v>12</v>
      </c>
      <c r="F5218" s="4">
        <v>74</v>
      </c>
      <c r="G5218" s="4"/>
      <c r="H5218" s="4">
        <f t="shared" si="533"/>
        <v>74</v>
      </c>
    </row>
    <row r="5219" ht="14.25" spans="1:8">
      <c r="A5219" s="3" t="str">
        <f>"30102417016"</f>
        <v>30102417016</v>
      </c>
      <c r="B5219" s="3">
        <v>4</v>
      </c>
      <c r="C5219" s="3">
        <v>170</v>
      </c>
      <c r="D5219" s="3">
        <v>16</v>
      </c>
      <c r="E5219" s="3" t="s">
        <v>12</v>
      </c>
      <c r="F5219" s="4">
        <v>80</v>
      </c>
      <c r="G5219" s="4"/>
      <c r="H5219" s="4">
        <f t="shared" si="533"/>
        <v>80</v>
      </c>
    </row>
    <row r="5220" ht="14.25" spans="1:8">
      <c r="A5220" s="3" t="str">
        <f>"30102417017"</f>
        <v>30102417017</v>
      </c>
      <c r="B5220" s="3">
        <v>4</v>
      </c>
      <c r="C5220" s="3">
        <v>170</v>
      </c>
      <c r="D5220" s="3">
        <v>17</v>
      </c>
      <c r="E5220" s="3" t="s">
        <v>12</v>
      </c>
      <c r="F5220" s="4">
        <v>53</v>
      </c>
      <c r="G5220" s="4"/>
      <c r="H5220" s="4">
        <f t="shared" si="533"/>
        <v>53</v>
      </c>
    </row>
    <row r="5221" ht="14.25" spans="1:8">
      <c r="A5221" s="3" t="str">
        <f>"30102417018"</f>
        <v>30102417018</v>
      </c>
      <c r="B5221" s="3">
        <v>4</v>
      </c>
      <c r="C5221" s="3">
        <v>170</v>
      </c>
      <c r="D5221" s="3">
        <v>18</v>
      </c>
      <c r="E5221" s="3" t="s">
        <v>12</v>
      </c>
      <c r="F5221" s="4">
        <v>60</v>
      </c>
      <c r="G5221" s="4"/>
      <c r="H5221" s="4">
        <f t="shared" si="533"/>
        <v>60</v>
      </c>
    </row>
    <row r="5222" ht="14.25" spans="1:8">
      <c r="A5222" s="3" t="str">
        <f>"30102417019"</f>
        <v>30102417019</v>
      </c>
      <c r="B5222" s="3">
        <v>4</v>
      </c>
      <c r="C5222" s="3">
        <v>170</v>
      </c>
      <c r="D5222" s="3">
        <v>19</v>
      </c>
      <c r="E5222" s="3" t="s">
        <v>12</v>
      </c>
      <c r="F5222" s="4">
        <v>82.5</v>
      </c>
      <c r="G5222" s="4"/>
      <c r="H5222" s="4">
        <f t="shared" si="533"/>
        <v>82.5</v>
      </c>
    </row>
    <row r="5223" ht="14.25" spans="1:8">
      <c r="A5223" s="3" t="str">
        <f>"30102417020"</f>
        <v>30102417020</v>
      </c>
      <c r="B5223" s="3">
        <v>4</v>
      </c>
      <c r="C5223" s="3">
        <v>170</v>
      </c>
      <c r="D5223" s="3">
        <v>20</v>
      </c>
      <c r="E5223" s="3" t="s">
        <v>12</v>
      </c>
      <c r="F5223" s="3">
        <v>0</v>
      </c>
      <c r="G5223" s="4"/>
      <c r="H5223" s="3">
        <v>0</v>
      </c>
    </row>
    <row r="5224" ht="14.25" spans="1:8">
      <c r="A5224" s="3" t="str">
        <f>"30102417021"</f>
        <v>30102417021</v>
      </c>
      <c r="B5224" s="3">
        <v>4</v>
      </c>
      <c r="C5224" s="3">
        <v>170</v>
      </c>
      <c r="D5224" s="3">
        <v>21</v>
      </c>
      <c r="E5224" s="3" t="s">
        <v>12</v>
      </c>
      <c r="F5224" s="4">
        <v>65</v>
      </c>
      <c r="G5224" s="4"/>
      <c r="H5224" s="4">
        <f t="shared" ref="H5224:H5230" si="534">F5224+G5224</f>
        <v>65</v>
      </c>
    </row>
    <row r="5225" ht="14.25" spans="1:8">
      <c r="A5225" s="3" t="str">
        <f>"30102417022"</f>
        <v>30102417022</v>
      </c>
      <c r="B5225" s="3">
        <v>4</v>
      </c>
      <c r="C5225" s="3">
        <v>170</v>
      </c>
      <c r="D5225" s="3">
        <v>22</v>
      </c>
      <c r="E5225" s="3" t="s">
        <v>12</v>
      </c>
      <c r="F5225" s="4">
        <v>70.5</v>
      </c>
      <c r="G5225" s="4"/>
      <c r="H5225" s="4">
        <f t="shared" si="534"/>
        <v>70.5</v>
      </c>
    </row>
    <row r="5226" ht="14.25" spans="1:8">
      <c r="A5226" s="3" t="str">
        <f>"30102417023"</f>
        <v>30102417023</v>
      </c>
      <c r="B5226" s="3">
        <v>4</v>
      </c>
      <c r="C5226" s="3">
        <v>170</v>
      </c>
      <c r="D5226" s="3">
        <v>23</v>
      </c>
      <c r="E5226" s="3" t="s">
        <v>12</v>
      </c>
      <c r="F5226" s="4">
        <v>77.5</v>
      </c>
      <c r="G5226" s="4"/>
      <c r="H5226" s="4">
        <f t="shared" si="534"/>
        <v>77.5</v>
      </c>
    </row>
    <row r="5227" ht="14.25" spans="1:8">
      <c r="A5227" s="3" t="str">
        <f>"30102417024"</f>
        <v>30102417024</v>
      </c>
      <c r="B5227" s="3">
        <v>4</v>
      </c>
      <c r="C5227" s="3">
        <v>170</v>
      </c>
      <c r="D5227" s="3">
        <v>24</v>
      </c>
      <c r="E5227" s="3" t="s">
        <v>12</v>
      </c>
      <c r="F5227" s="4">
        <v>75</v>
      </c>
      <c r="G5227" s="4"/>
      <c r="H5227" s="4">
        <f t="shared" si="534"/>
        <v>75</v>
      </c>
    </row>
    <row r="5228" ht="14.25" spans="1:8">
      <c r="A5228" s="3" t="str">
        <f>"30102417025"</f>
        <v>30102417025</v>
      </c>
      <c r="B5228" s="3">
        <v>4</v>
      </c>
      <c r="C5228" s="3">
        <v>170</v>
      </c>
      <c r="D5228" s="3">
        <v>25</v>
      </c>
      <c r="E5228" s="3" t="s">
        <v>12</v>
      </c>
      <c r="F5228" s="4">
        <v>82</v>
      </c>
      <c r="G5228" s="4"/>
      <c r="H5228" s="4">
        <f t="shared" si="534"/>
        <v>82</v>
      </c>
    </row>
    <row r="5229" ht="14.25" spans="1:8">
      <c r="A5229" s="3" t="str">
        <f>"30102417026"</f>
        <v>30102417026</v>
      </c>
      <c r="B5229" s="3">
        <v>4</v>
      </c>
      <c r="C5229" s="3">
        <v>170</v>
      </c>
      <c r="D5229" s="3">
        <v>26</v>
      </c>
      <c r="E5229" s="3" t="s">
        <v>12</v>
      </c>
      <c r="F5229" s="4">
        <v>84.5</v>
      </c>
      <c r="G5229" s="4"/>
      <c r="H5229" s="4">
        <f t="shared" si="534"/>
        <v>84.5</v>
      </c>
    </row>
    <row r="5230" ht="14.25" spans="1:8">
      <c r="A5230" s="3" t="str">
        <f>"30102417027"</f>
        <v>30102417027</v>
      </c>
      <c r="B5230" s="3">
        <v>4</v>
      </c>
      <c r="C5230" s="3">
        <v>170</v>
      </c>
      <c r="D5230" s="3">
        <v>27</v>
      </c>
      <c r="E5230" s="3" t="s">
        <v>12</v>
      </c>
      <c r="F5230" s="4">
        <v>79.5</v>
      </c>
      <c r="G5230" s="4"/>
      <c r="H5230" s="4">
        <f t="shared" si="534"/>
        <v>79.5</v>
      </c>
    </row>
    <row r="5231" ht="14.25" spans="1:8">
      <c r="A5231" s="3" t="str">
        <f>"30102417028"</f>
        <v>30102417028</v>
      </c>
      <c r="B5231" s="3">
        <v>4</v>
      </c>
      <c r="C5231" s="3">
        <v>170</v>
      </c>
      <c r="D5231" s="3">
        <v>28</v>
      </c>
      <c r="E5231" s="3" t="s">
        <v>12</v>
      </c>
      <c r="F5231" s="3">
        <v>0</v>
      </c>
      <c r="G5231" s="4"/>
      <c r="H5231" s="3">
        <v>0</v>
      </c>
    </row>
    <row r="5232" ht="14.25" spans="1:8">
      <c r="A5232" s="3" t="str">
        <f>"30102417029"</f>
        <v>30102417029</v>
      </c>
      <c r="B5232" s="3">
        <v>4</v>
      </c>
      <c r="C5232" s="3">
        <v>170</v>
      </c>
      <c r="D5232" s="3">
        <v>29</v>
      </c>
      <c r="E5232" s="3" t="s">
        <v>12</v>
      </c>
      <c r="F5232" s="4">
        <v>81.5</v>
      </c>
      <c r="G5232" s="4"/>
      <c r="H5232" s="4">
        <f t="shared" ref="H5232:H5234" si="535">F5232+G5232</f>
        <v>81.5</v>
      </c>
    </row>
    <row r="5233" ht="14.25" spans="1:8">
      <c r="A5233" s="3" t="str">
        <f>"30102417030"</f>
        <v>30102417030</v>
      </c>
      <c r="B5233" s="3">
        <v>4</v>
      </c>
      <c r="C5233" s="3">
        <v>170</v>
      </c>
      <c r="D5233" s="3">
        <v>30</v>
      </c>
      <c r="E5233" s="3" t="s">
        <v>12</v>
      </c>
      <c r="F5233" s="4">
        <v>75.5</v>
      </c>
      <c r="G5233" s="4"/>
      <c r="H5233" s="4">
        <f t="shared" si="535"/>
        <v>75.5</v>
      </c>
    </row>
    <row r="5234" ht="14.25" spans="1:8">
      <c r="A5234" s="3" t="str">
        <f>"30102417101"</f>
        <v>30102417101</v>
      </c>
      <c r="B5234" s="3">
        <v>4</v>
      </c>
      <c r="C5234" s="3">
        <v>171</v>
      </c>
      <c r="D5234" s="3">
        <v>1</v>
      </c>
      <c r="E5234" s="3" t="s">
        <v>12</v>
      </c>
      <c r="F5234" s="4">
        <v>71</v>
      </c>
      <c r="G5234" s="4"/>
      <c r="H5234" s="4">
        <f t="shared" si="535"/>
        <v>71</v>
      </c>
    </row>
    <row r="5235" ht="14.25" spans="1:8">
      <c r="A5235" s="3" t="str">
        <f>"30102417102"</f>
        <v>30102417102</v>
      </c>
      <c r="B5235" s="3">
        <v>4</v>
      </c>
      <c r="C5235" s="3">
        <v>171</v>
      </c>
      <c r="D5235" s="3">
        <v>2</v>
      </c>
      <c r="E5235" s="3" t="s">
        <v>12</v>
      </c>
      <c r="F5235" s="3">
        <v>0</v>
      </c>
      <c r="G5235" s="4"/>
      <c r="H5235" s="3">
        <v>0</v>
      </c>
    </row>
    <row r="5236" ht="14.25" spans="1:8">
      <c r="A5236" s="3" t="str">
        <f>"30102417103"</f>
        <v>30102417103</v>
      </c>
      <c r="B5236" s="3">
        <v>4</v>
      </c>
      <c r="C5236" s="3">
        <v>171</v>
      </c>
      <c r="D5236" s="3">
        <v>3</v>
      </c>
      <c r="E5236" s="3" t="s">
        <v>12</v>
      </c>
      <c r="F5236" s="4">
        <v>57</v>
      </c>
      <c r="G5236" s="4"/>
      <c r="H5236" s="4">
        <f t="shared" ref="H5236:H5239" si="536">F5236+G5236</f>
        <v>57</v>
      </c>
    </row>
    <row r="5237" ht="14.25" spans="1:8">
      <c r="A5237" s="3" t="str">
        <f>"30102417104"</f>
        <v>30102417104</v>
      </c>
      <c r="B5237" s="3">
        <v>4</v>
      </c>
      <c r="C5237" s="3">
        <v>171</v>
      </c>
      <c r="D5237" s="3">
        <v>4</v>
      </c>
      <c r="E5237" s="3" t="s">
        <v>12</v>
      </c>
      <c r="F5237" s="4">
        <v>52.5</v>
      </c>
      <c r="G5237" s="4"/>
      <c r="H5237" s="4">
        <f t="shared" si="536"/>
        <v>52.5</v>
      </c>
    </row>
    <row r="5238" ht="14.25" spans="1:8">
      <c r="A5238" s="3" t="str">
        <f>"30102417105"</f>
        <v>30102417105</v>
      </c>
      <c r="B5238" s="3">
        <v>4</v>
      </c>
      <c r="C5238" s="3">
        <v>171</v>
      </c>
      <c r="D5238" s="3">
        <v>5</v>
      </c>
      <c r="E5238" s="3" t="s">
        <v>12</v>
      </c>
      <c r="F5238" s="4">
        <v>78.5</v>
      </c>
      <c r="G5238" s="4"/>
      <c r="H5238" s="4">
        <f t="shared" si="536"/>
        <v>78.5</v>
      </c>
    </row>
    <row r="5239" ht="14.25" spans="1:8">
      <c r="A5239" s="3" t="str">
        <f>"30102417106"</f>
        <v>30102417106</v>
      </c>
      <c r="B5239" s="3">
        <v>4</v>
      </c>
      <c r="C5239" s="3">
        <v>171</v>
      </c>
      <c r="D5239" s="3">
        <v>6</v>
      </c>
      <c r="E5239" s="3" t="s">
        <v>12</v>
      </c>
      <c r="F5239" s="4">
        <v>61</v>
      </c>
      <c r="G5239" s="4"/>
      <c r="H5239" s="4">
        <f t="shared" si="536"/>
        <v>61</v>
      </c>
    </row>
    <row r="5240" ht="14.25" spans="1:8">
      <c r="A5240" s="3" t="str">
        <f>"30102417107"</f>
        <v>30102417107</v>
      </c>
      <c r="B5240" s="3">
        <v>4</v>
      </c>
      <c r="C5240" s="3">
        <v>171</v>
      </c>
      <c r="D5240" s="3">
        <v>7</v>
      </c>
      <c r="E5240" s="3" t="s">
        <v>12</v>
      </c>
      <c r="F5240" s="3">
        <v>0</v>
      </c>
      <c r="G5240" s="4"/>
      <c r="H5240" s="3">
        <v>0</v>
      </c>
    </row>
    <row r="5241" ht="14.25" spans="1:8">
      <c r="A5241" s="3" t="str">
        <f>"30102417108"</f>
        <v>30102417108</v>
      </c>
      <c r="B5241" s="3">
        <v>4</v>
      </c>
      <c r="C5241" s="3">
        <v>171</v>
      </c>
      <c r="D5241" s="3">
        <v>8</v>
      </c>
      <c r="E5241" s="3" t="s">
        <v>12</v>
      </c>
      <c r="F5241" s="4">
        <v>84.5</v>
      </c>
      <c r="G5241" s="4"/>
      <c r="H5241" s="4">
        <f t="shared" ref="H5241:H5262" si="537">F5241+G5241</f>
        <v>84.5</v>
      </c>
    </row>
    <row r="5242" ht="14.25" spans="1:8">
      <c r="A5242" s="3" t="str">
        <f>"30102417109"</f>
        <v>30102417109</v>
      </c>
      <c r="B5242" s="3">
        <v>4</v>
      </c>
      <c r="C5242" s="3">
        <v>171</v>
      </c>
      <c r="D5242" s="3">
        <v>9</v>
      </c>
      <c r="E5242" s="3" t="s">
        <v>12</v>
      </c>
      <c r="F5242" s="4">
        <v>85</v>
      </c>
      <c r="G5242" s="4"/>
      <c r="H5242" s="4">
        <f t="shared" si="537"/>
        <v>85</v>
      </c>
    </row>
    <row r="5243" ht="14.25" spans="1:8">
      <c r="A5243" s="3" t="str">
        <f>"30102417110"</f>
        <v>30102417110</v>
      </c>
      <c r="B5243" s="3">
        <v>4</v>
      </c>
      <c r="C5243" s="3">
        <v>171</v>
      </c>
      <c r="D5243" s="3">
        <v>10</v>
      </c>
      <c r="E5243" s="3" t="s">
        <v>12</v>
      </c>
      <c r="F5243" s="4">
        <v>60.5</v>
      </c>
      <c r="G5243" s="4"/>
      <c r="H5243" s="4">
        <f t="shared" si="537"/>
        <v>60.5</v>
      </c>
    </row>
    <row r="5244" ht="14.25" spans="1:8">
      <c r="A5244" s="3" t="str">
        <f>"30102417111"</f>
        <v>30102417111</v>
      </c>
      <c r="B5244" s="3">
        <v>4</v>
      </c>
      <c r="C5244" s="3">
        <v>171</v>
      </c>
      <c r="D5244" s="3">
        <v>11</v>
      </c>
      <c r="E5244" s="3" t="s">
        <v>12</v>
      </c>
      <c r="F5244" s="4">
        <v>78</v>
      </c>
      <c r="G5244" s="4"/>
      <c r="H5244" s="4">
        <f t="shared" si="537"/>
        <v>78</v>
      </c>
    </row>
    <row r="5245" ht="14.25" spans="1:8">
      <c r="A5245" s="3" t="str">
        <f>"30102417112"</f>
        <v>30102417112</v>
      </c>
      <c r="B5245" s="3">
        <v>4</v>
      </c>
      <c r="C5245" s="3">
        <v>171</v>
      </c>
      <c r="D5245" s="3">
        <v>12</v>
      </c>
      <c r="E5245" s="3" t="s">
        <v>12</v>
      </c>
      <c r="F5245" s="4">
        <v>70</v>
      </c>
      <c r="G5245" s="4"/>
      <c r="H5245" s="4">
        <f t="shared" si="537"/>
        <v>70</v>
      </c>
    </row>
    <row r="5246" ht="14.25" spans="1:8">
      <c r="A5246" s="3" t="str">
        <f>"30102417113"</f>
        <v>30102417113</v>
      </c>
      <c r="B5246" s="3">
        <v>4</v>
      </c>
      <c r="C5246" s="3">
        <v>171</v>
      </c>
      <c r="D5246" s="3">
        <v>13</v>
      </c>
      <c r="E5246" s="3" t="s">
        <v>12</v>
      </c>
      <c r="F5246" s="4">
        <v>87.5</v>
      </c>
      <c r="G5246" s="4"/>
      <c r="H5246" s="4">
        <f t="shared" si="537"/>
        <v>87.5</v>
      </c>
    </row>
    <row r="5247" ht="14.25" spans="1:8">
      <c r="A5247" s="3" t="str">
        <f>"30102417114"</f>
        <v>30102417114</v>
      </c>
      <c r="B5247" s="3">
        <v>4</v>
      </c>
      <c r="C5247" s="3">
        <v>171</v>
      </c>
      <c r="D5247" s="3">
        <v>14</v>
      </c>
      <c r="E5247" s="3" t="s">
        <v>12</v>
      </c>
      <c r="F5247" s="4">
        <v>60</v>
      </c>
      <c r="G5247" s="4"/>
      <c r="H5247" s="4">
        <f t="shared" si="537"/>
        <v>60</v>
      </c>
    </row>
    <row r="5248" ht="14.25" spans="1:8">
      <c r="A5248" s="3" t="str">
        <f>"30102417115"</f>
        <v>30102417115</v>
      </c>
      <c r="B5248" s="3">
        <v>4</v>
      </c>
      <c r="C5248" s="3">
        <v>171</v>
      </c>
      <c r="D5248" s="3">
        <v>15</v>
      </c>
      <c r="E5248" s="3" t="s">
        <v>12</v>
      </c>
      <c r="F5248" s="4">
        <v>67.5</v>
      </c>
      <c r="G5248" s="4"/>
      <c r="H5248" s="4">
        <f t="shared" si="537"/>
        <v>67.5</v>
      </c>
    </row>
    <row r="5249" ht="14.25" spans="1:8">
      <c r="A5249" s="3" t="str">
        <f>"30102417116"</f>
        <v>30102417116</v>
      </c>
      <c r="B5249" s="3">
        <v>4</v>
      </c>
      <c r="C5249" s="3">
        <v>171</v>
      </c>
      <c r="D5249" s="3">
        <v>16</v>
      </c>
      <c r="E5249" s="3" t="s">
        <v>12</v>
      </c>
      <c r="F5249" s="4">
        <v>70</v>
      </c>
      <c r="G5249" s="4"/>
      <c r="H5249" s="4">
        <f t="shared" si="537"/>
        <v>70</v>
      </c>
    </row>
    <row r="5250" ht="14.25" spans="1:8">
      <c r="A5250" s="3" t="str">
        <f>"30102417117"</f>
        <v>30102417117</v>
      </c>
      <c r="B5250" s="3">
        <v>4</v>
      </c>
      <c r="C5250" s="3">
        <v>171</v>
      </c>
      <c r="D5250" s="3">
        <v>17</v>
      </c>
      <c r="E5250" s="3" t="s">
        <v>12</v>
      </c>
      <c r="F5250" s="4">
        <v>47</v>
      </c>
      <c r="G5250" s="4"/>
      <c r="H5250" s="4">
        <f t="shared" si="537"/>
        <v>47</v>
      </c>
    </row>
    <row r="5251" ht="14.25" spans="1:8">
      <c r="A5251" s="3" t="str">
        <f>"30102417118"</f>
        <v>30102417118</v>
      </c>
      <c r="B5251" s="3">
        <v>4</v>
      </c>
      <c r="C5251" s="3">
        <v>171</v>
      </c>
      <c r="D5251" s="3">
        <v>18</v>
      </c>
      <c r="E5251" s="3" t="s">
        <v>12</v>
      </c>
      <c r="F5251" s="4">
        <v>78.5</v>
      </c>
      <c r="G5251" s="4"/>
      <c r="H5251" s="4">
        <f t="shared" si="537"/>
        <v>78.5</v>
      </c>
    </row>
    <row r="5252" ht="14.25" spans="1:8">
      <c r="A5252" s="3" t="str">
        <f>"30102417119"</f>
        <v>30102417119</v>
      </c>
      <c r="B5252" s="3">
        <v>4</v>
      </c>
      <c r="C5252" s="3">
        <v>171</v>
      </c>
      <c r="D5252" s="3">
        <v>19</v>
      </c>
      <c r="E5252" s="3" t="s">
        <v>12</v>
      </c>
      <c r="F5252" s="4">
        <v>80</v>
      </c>
      <c r="G5252" s="4"/>
      <c r="H5252" s="4">
        <f t="shared" si="537"/>
        <v>80</v>
      </c>
    </row>
    <row r="5253" ht="14.25" spans="1:8">
      <c r="A5253" s="3" t="str">
        <f>"30102417120"</f>
        <v>30102417120</v>
      </c>
      <c r="B5253" s="3">
        <v>4</v>
      </c>
      <c r="C5253" s="3">
        <v>171</v>
      </c>
      <c r="D5253" s="3">
        <v>20</v>
      </c>
      <c r="E5253" s="3" t="s">
        <v>12</v>
      </c>
      <c r="F5253" s="4">
        <v>78</v>
      </c>
      <c r="G5253" s="4"/>
      <c r="H5253" s="4">
        <f t="shared" si="537"/>
        <v>78</v>
      </c>
    </row>
    <row r="5254" ht="14.25" spans="1:8">
      <c r="A5254" s="3" t="str">
        <f>"30102417121"</f>
        <v>30102417121</v>
      </c>
      <c r="B5254" s="3">
        <v>4</v>
      </c>
      <c r="C5254" s="3">
        <v>171</v>
      </c>
      <c r="D5254" s="3">
        <v>21</v>
      </c>
      <c r="E5254" s="3" t="s">
        <v>12</v>
      </c>
      <c r="F5254" s="4">
        <v>83</v>
      </c>
      <c r="G5254" s="4"/>
      <c r="H5254" s="4">
        <f t="shared" si="537"/>
        <v>83</v>
      </c>
    </row>
    <row r="5255" ht="14.25" spans="1:8">
      <c r="A5255" s="3" t="str">
        <f>"30102417122"</f>
        <v>30102417122</v>
      </c>
      <c r="B5255" s="3">
        <v>4</v>
      </c>
      <c r="C5255" s="3">
        <v>171</v>
      </c>
      <c r="D5255" s="3">
        <v>22</v>
      </c>
      <c r="E5255" s="3" t="s">
        <v>12</v>
      </c>
      <c r="F5255" s="4">
        <v>69.5</v>
      </c>
      <c r="G5255" s="4"/>
      <c r="H5255" s="4">
        <f t="shared" si="537"/>
        <v>69.5</v>
      </c>
    </row>
    <row r="5256" ht="14.25" spans="1:8">
      <c r="A5256" s="3" t="str">
        <f>"30102417123"</f>
        <v>30102417123</v>
      </c>
      <c r="B5256" s="3">
        <v>4</v>
      </c>
      <c r="C5256" s="3">
        <v>171</v>
      </c>
      <c r="D5256" s="3">
        <v>23</v>
      </c>
      <c r="E5256" s="3" t="s">
        <v>12</v>
      </c>
      <c r="F5256" s="4">
        <v>59.5</v>
      </c>
      <c r="G5256" s="4"/>
      <c r="H5256" s="4">
        <f t="shared" si="537"/>
        <v>59.5</v>
      </c>
    </row>
    <row r="5257" ht="14.25" spans="1:8">
      <c r="A5257" s="3" t="str">
        <f>"30102417124"</f>
        <v>30102417124</v>
      </c>
      <c r="B5257" s="3">
        <v>4</v>
      </c>
      <c r="C5257" s="3">
        <v>171</v>
      </c>
      <c r="D5257" s="3">
        <v>24</v>
      </c>
      <c r="E5257" s="3" t="s">
        <v>12</v>
      </c>
      <c r="F5257" s="4">
        <v>62.5</v>
      </c>
      <c r="G5257" s="4"/>
      <c r="H5257" s="4">
        <f t="shared" si="537"/>
        <v>62.5</v>
      </c>
    </row>
    <row r="5258" ht="14.25" spans="1:8">
      <c r="A5258" s="3" t="str">
        <f>"30102417125"</f>
        <v>30102417125</v>
      </c>
      <c r="B5258" s="3">
        <v>4</v>
      </c>
      <c r="C5258" s="3">
        <v>171</v>
      </c>
      <c r="D5258" s="3">
        <v>25</v>
      </c>
      <c r="E5258" s="3" t="s">
        <v>12</v>
      </c>
      <c r="F5258" s="4">
        <v>61</v>
      </c>
      <c r="G5258" s="4"/>
      <c r="H5258" s="4">
        <f t="shared" si="537"/>
        <v>61</v>
      </c>
    </row>
    <row r="5259" ht="14.25" spans="1:8">
      <c r="A5259" s="3" t="str">
        <f>"30102417126"</f>
        <v>30102417126</v>
      </c>
      <c r="B5259" s="3">
        <v>4</v>
      </c>
      <c r="C5259" s="3">
        <v>171</v>
      </c>
      <c r="D5259" s="3">
        <v>26</v>
      </c>
      <c r="E5259" s="3" t="s">
        <v>12</v>
      </c>
      <c r="F5259" s="4">
        <v>60.5</v>
      </c>
      <c r="G5259" s="4"/>
      <c r="H5259" s="4">
        <f t="shared" si="537"/>
        <v>60.5</v>
      </c>
    </row>
    <row r="5260" ht="14.25" spans="1:8">
      <c r="A5260" s="3" t="str">
        <f>"30102417127"</f>
        <v>30102417127</v>
      </c>
      <c r="B5260" s="3">
        <v>4</v>
      </c>
      <c r="C5260" s="3">
        <v>171</v>
      </c>
      <c r="D5260" s="3">
        <v>27</v>
      </c>
      <c r="E5260" s="3" t="s">
        <v>12</v>
      </c>
      <c r="F5260" s="4">
        <v>82</v>
      </c>
      <c r="G5260" s="4"/>
      <c r="H5260" s="4">
        <f t="shared" si="537"/>
        <v>82</v>
      </c>
    </row>
    <row r="5261" ht="14.25" spans="1:8">
      <c r="A5261" s="3" t="str">
        <f>"30102417128"</f>
        <v>30102417128</v>
      </c>
      <c r="B5261" s="3">
        <v>4</v>
      </c>
      <c r="C5261" s="3">
        <v>171</v>
      </c>
      <c r="D5261" s="3">
        <v>28</v>
      </c>
      <c r="E5261" s="3" t="s">
        <v>12</v>
      </c>
      <c r="F5261" s="4">
        <v>84</v>
      </c>
      <c r="G5261" s="4"/>
      <c r="H5261" s="4">
        <f t="shared" si="537"/>
        <v>84</v>
      </c>
    </row>
    <row r="5262" ht="14.25" spans="1:8">
      <c r="A5262" s="3" t="str">
        <f>"30102417129"</f>
        <v>30102417129</v>
      </c>
      <c r="B5262" s="3">
        <v>4</v>
      </c>
      <c r="C5262" s="3">
        <v>171</v>
      </c>
      <c r="D5262" s="3">
        <v>29</v>
      </c>
      <c r="E5262" s="3" t="s">
        <v>12</v>
      </c>
      <c r="F5262" s="4">
        <v>74.5</v>
      </c>
      <c r="G5262" s="4"/>
      <c r="H5262" s="4">
        <f t="shared" si="537"/>
        <v>74.5</v>
      </c>
    </row>
    <row r="5263" ht="14.25" spans="1:8">
      <c r="A5263" s="3" t="str">
        <f>"30102417130"</f>
        <v>30102417130</v>
      </c>
      <c r="B5263" s="3">
        <v>4</v>
      </c>
      <c r="C5263" s="3">
        <v>171</v>
      </c>
      <c r="D5263" s="3">
        <v>30</v>
      </c>
      <c r="E5263" s="3" t="s">
        <v>12</v>
      </c>
      <c r="F5263" s="3">
        <v>0</v>
      </c>
      <c r="G5263" s="4"/>
      <c r="H5263" s="3">
        <v>0</v>
      </c>
    </row>
    <row r="5264" ht="14.25" spans="1:8">
      <c r="A5264" s="3" t="str">
        <f>"30102417201"</f>
        <v>30102417201</v>
      </c>
      <c r="B5264" s="3">
        <v>4</v>
      </c>
      <c r="C5264" s="3">
        <v>172</v>
      </c>
      <c r="D5264" s="3">
        <v>1</v>
      </c>
      <c r="E5264" s="3" t="s">
        <v>12</v>
      </c>
      <c r="F5264" s="3">
        <v>0</v>
      </c>
      <c r="G5264" s="4"/>
      <c r="H5264" s="3">
        <v>0</v>
      </c>
    </row>
    <row r="5265" ht="14.25" spans="1:8">
      <c r="A5265" s="3" t="str">
        <f>"30102417202"</f>
        <v>30102417202</v>
      </c>
      <c r="B5265" s="3">
        <v>4</v>
      </c>
      <c r="C5265" s="3">
        <v>172</v>
      </c>
      <c r="D5265" s="3">
        <v>2</v>
      </c>
      <c r="E5265" s="3" t="s">
        <v>12</v>
      </c>
      <c r="F5265" s="4">
        <v>77.5</v>
      </c>
      <c r="G5265" s="4"/>
      <c r="H5265" s="4">
        <f t="shared" ref="H5265:H5274" si="538">F5265+G5265</f>
        <v>77.5</v>
      </c>
    </row>
    <row r="5266" ht="14.25" spans="1:8">
      <c r="A5266" s="3" t="str">
        <f>"30102417203"</f>
        <v>30102417203</v>
      </c>
      <c r="B5266" s="3">
        <v>4</v>
      </c>
      <c r="C5266" s="3">
        <v>172</v>
      </c>
      <c r="D5266" s="3">
        <v>3</v>
      </c>
      <c r="E5266" s="3" t="s">
        <v>12</v>
      </c>
      <c r="F5266" s="4">
        <v>74.5</v>
      </c>
      <c r="G5266" s="4"/>
      <c r="H5266" s="4">
        <f t="shared" si="538"/>
        <v>74.5</v>
      </c>
    </row>
    <row r="5267" ht="14.25" spans="1:8">
      <c r="A5267" s="3" t="str">
        <f>"30102417204"</f>
        <v>30102417204</v>
      </c>
      <c r="B5267" s="3">
        <v>4</v>
      </c>
      <c r="C5267" s="3">
        <v>172</v>
      </c>
      <c r="D5267" s="3">
        <v>4</v>
      </c>
      <c r="E5267" s="3" t="s">
        <v>12</v>
      </c>
      <c r="F5267" s="4">
        <v>72</v>
      </c>
      <c r="G5267" s="4"/>
      <c r="H5267" s="4">
        <f t="shared" si="538"/>
        <v>72</v>
      </c>
    </row>
    <row r="5268" ht="14.25" spans="1:8">
      <c r="A5268" s="3" t="str">
        <f>"30102417205"</f>
        <v>30102417205</v>
      </c>
      <c r="B5268" s="3">
        <v>4</v>
      </c>
      <c r="C5268" s="3">
        <v>172</v>
      </c>
      <c r="D5268" s="3">
        <v>5</v>
      </c>
      <c r="E5268" s="3" t="s">
        <v>12</v>
      </c>
      <c r="F5268" s="4">
        <v>83</v>
      </c>
      <c r="G5268" s="4"/>
      <c r="H5268" s="4">
        <f t="shared" si="538"/>
        <v>83</v>
      </c>
    </row>
    <row r="5269" ht="14.25" spans="1:8">
      <c r="A5269" s="3" t="str">
        <f>"30102417206"</f>
        <v>30102417206</v>
      </c>
      <c r="B5269" s="3">
        <v>4</v>
      </c>
      <c r="C5269" s="3">
        <v>172</v>
      </c>
      <c r="D5269" s="3">
        <v>6</v>
      </c>
      <c r="E5269" s="3" t="s">
        <v>12</v>
      </c>
      <c r="F5269" s="4">
        <v>61.5</v>
      </c>
      <c r="G5269" s="4"/>
      <c r="H5269" s="4">
        <f t="shared" si="538"/>
        <v>61.5</v>
      </c>
    </row>
    <row r="5270" ht="14.25" spans="1:8">
      <c r="A5270" s="3" t="str">
        <f>"30102417207"</f>
        <v>30102417207</v>
      </c>
      <c r="B5270" s="3">
        <v>4</v>
      </c>
      <c r="C5270" s="3">
        <v>172</v>
      </c>
      <c r="D5270" s="3">
        <v>7</v>
      </c>
      <c r="E5270" s="3" t="s">
        <v>12</v>
      </c>
      <c r="F5270" s="4">
        <v>43</v>
      </c>
      <c r="G5270" s="4"/>
      <c r="H5270" s="4">
        <f t="shared" si="538"/>
        <v>43</v>
      </c>
    </row>
    <row r="5271" ht="14.25" spans="1:8">
      <c r="A5271" s="3" t="str">
        <f>"30102417208"</f>
        <v>30102417208</v>
      </c>
      <c r="B5271" s="3">
        <v>4</v>
      </c>
      <c r="C5271" s="3">
        <v>172</v>
      </c>
      <c r="D5271" s="3">
        <v>8</v>
      </c>
      <c r="E5271" s="3" t="s">
        <v>12</v>
      </c>
      <c r="F5271" s="4">
        <v>71.5</v>
      </c>
      <c r="G5271" s="4"/>
      <c r="H5271" s="4">
        <f t="shared" si="538"/>
        <v>71.5</v>
      </c>
    </row>
    <row r="5272" ht="14.25" spans="1:8">
      <c r="A5272" s="3" t="str">
        <f>"30102417209"</f>
        <v>30102417209</v>
      </c>
      <c r="B5272" s="3">
        <v>4</v>
      </c>
      <c r="C5272" s="3">
        <v>172</v>
      </c>
      <c r="D5272" s="3">
        <v>9</v>
      </c>
      <c r="E5272" s="3" t="s">
        <v>12</v>
      </c>
      <c r="F5272" s="4">
        <v>64</v>
      </c>
      <c r="G5272" s="4"/>
      <c r="H5272" s="4">
        <f t="shared" si="538"/>
        <v>64</v>
      </c>
    </row>
    <row r="5273" ht="14.25" spans="1:8">
      <c r="A5273" s="3" t="str">
        <f>"30102417210"</f>
        <v>30102417210</v>
      </c>
      <c r="B5273" s="3">
        <v>4</v>
      </c>
      <c r="C5273" s="3">
        <v>172</v>
      </c>
      <c r="D5273" s="3">
        <v>10</v>
      </c>
      <c r="E5273" s="3" t="s">
        <v>12</v>
      </c>
      <c r="F5273" s="4">
        <v>49</v>
      </c>
      <c r="G5273" s="4"/>
      <c r="H5273" s="4">
        <f t="shared" si="538"/>
        <v>49</v>
      </c>
    </row>
    <row r="5274" ht="14.25" spans="1:8">
      <c r="A5274" s="3" t="str">
        <f>"30102417211"</f>
        <v>30102417211</v>
      </c>
      <c r="B5274" s="3">
        <v>4</v>
      </c>
      <c r="C5274" s="3">
        <v>172</v>
      </c>
      <c r="D5274" s="3">
        <v>11</v>
      </c>
      <c r="E5274" s="3" t="s">
        <v>12</v>
      </c>
      <c r="F5274" s="4">
        <v>61.5</v>
      </c>
      <c r="G5274" s="4"/>
      <c r="H5274" s="4">
        <f t="shared" si="538"/>
        <v>61.5</v>
      </c>
    </row>
    <row r="5275" ht="14.25" spans="1:8">
      <c r="A5275" s="3" t="str">
        <f>"30102417212"</f>
        <v>30102417212</v>
      </c>
      <c r="B5275" s="3">
        <v>4</v>
      </c>
      <c r="C5275" s="3">
        <v>172</v>
      </c>
      <c r="D5275" s="3">
        <v>12</v>
      </c>
      <c r="E5275" s="3" t="s">
        <v>12</v>
      </c>
      <c r="F5275" s="3">
        <v>0</v>
      </c>
      <c r="G5275" s="4"/>
      <c r="H5275" s="3">
        <v>0</v>
      </c>
    </row>
    <row r="5276" ht="14.25" spans="1:8">
      <c r="A5276" s="3" t="str">
        <f>"30102417213"</f>
        <v>30102417213</v>
      </c>
      <c r="B5276" s="3">
        <v>4</v>
      </c>
      <c r="C5276" s="3">
        <v>172</v>
      </c>
      <c r="D5276" s="3">
        <v>13</v>
      </c>
      <c r="E5276" s="3" t="s">
        <v>12</v>
      </c>
      <c r="F5276" s="3">
        <v>0</v>
      </c>
      <c r="G5276" s="4"/>
      <c r="H5276" s="3">
        <v>0</v>
      </c>
    </row>
    <row r="5277" ht="14.25" spans="1:8">
      <c r="A5277" s="3" t="str">
        <f>"30102417214"</f>
        <v>30102417214</v>
      </c>
      <c r="B5277" s="3">
        <v>4</v>
      </c>
      <c r="C5277" s="3">
        <v>172</v>
      </c>
      <c r="D5277" s="3">
        <v>14</v>
      </c>
      <c r="E5277" s="3" t="s">
        <v>12</v>
      </c>
      <c r="F5277" s="4">
        <v>56.5</v>
      </c>
      <c r="G5277" s="4"/>
      <c r="H5277" s="4">
        <f t="shared" ref="H5277:H5282" si="539">F5277+G5277</f>
        <v>56.5</v>
      </c>
    </row>
    <row r="5278" ht="14.25" spans="1:8">
      <c r="A5278" s="3" t="str">
        <f>"30102417215"</f>
        <v>30102417215</v>
      </c>
      <c r="B5278" s="3">
        <v>4</v>
      </c>
      <c r="C5278" s="3">
        <v>172</v>
      </c>
      <c r="D5278" s="3">
        <v>15</v>
      </c>
      <c r="E5278" s="3" t="s">
        <v>12</v>
      </c>
      <c r="F5278" s="4">
        <v>58.5</v>
      </c>
      <c r="G5278" s="4"/>
      <c r="H5278" s="4">
        <f t="shared" si="539"/>
        <v>58.5</v>
      </c>
    </row>
    <row r="5279" ht="14.25" spans="1:8">
      <c r="A5279" s="3" t="str">
        <f>"30102417216"</f>
        <v>30102417216</v>
      </c>
      <c r="B5279" s="3">
        <v>4</v>
      </c>
      <c r="C5279" s="3">
        <v>172</v>
      </c>
      <c r="D5279" s="3">
        <v>16</v>
      </c>
      <c r="E5279" s="3" t="s">
        <v>12</v>
      </c>
      <c r="F5279" s="3">
        <v>0</v>
      </c>
      <c r="G5279" s="4"/>
      <c r="H5279" s="3">
        <v>0</v>
      </c>
    </row>
    <row r="5280" ht="14.25" spans="1:8">
      <c r="A5280" s="3" t="str">
        <f>"30102417217"</f>
        <v>30102417217</v>
      </c>
      <c r="B5280" s="3">
        <v>4</v>
      </c>
      <c r="C5280" s="3">
        <v>172</v>
      </c>
      <c r="D5280" s="3">
        <v>17</v>
      </c>
      <c r="E5280" s="3" t="s">
        <v>12</v>
      </c>
      <c r="F5280" s="4">
        <v>69</v>
      </c>
      <c r="G5280" s="4"/>
      <c r="H5280" s="4">
        <f t="shared" si="539"/>
        <v>69</v>
      </c>
    </row>
    <row r="5281" ht="14.25" spans="1:8">
      <c r="A5281" s="3" t="str">
        <f>"30102417218"</f>
        <v>30102417218</v>
      </c>
      <c r="B5281" s="3">
        <v>4</v>
      </c>
      <c r="C5281" s="3">
        <v>172</v>
      </c>
      <c r="D5281" s="3">
        <v>18</v>
      </c>
      <c r="E5281" s="3" t="s">
        <v>12</v>
      </c>
      <c r="F5281" s="4">
        <v>82.5</v>
      </c>
      <c r="G5281" s="4"/>
      <c r="H5281" s="4">
        <f t="shared" si="539"/>
        <v>82.5</v>
      </c>
    </row>
    <row r="5282" ht="14.25" spans="1:8">
      <c r="A5282" s="3" t="str">
        <f>"30102417219"</f>
        <v>30102417219</v>
      </c>
      <c r="B5282" s="3">
        <v>4</v>
      </c>
      <c r="C5282" s="3">
        <v>172</v>
      </c>
      <c r="D5282" s="3">
        <v>19</v>
      </c>
      <c r="E5282" s="3" t="s">
        <v>12</v>
      </c>
      <c r="F5282" s="4">
        <v>51.5</v>
      </c>
      <c r="G5282" s="4"/>
      <c r="H5282" s="4">
        <f t="shared" si="539"/>
        <v>51.5</v>
      </c>
    </row>
    <row r="5283" ht="14.25" spans="1:8">
      <c r="A5283" s="3" t="str">
        <f>"30102417220"</f>
        <v>30102417220</v>
      </c>
      <c r="B5283" s="3">
        <v>4</v>
      </c>
      <c r="C5283" s="3">
        <v>172</v>
      </c>
      <c r="D5283" s="3">
        <v>20</v>
      </c>
      <c r="E5283" s="3" t="s">
        <v>12</v>
      </c>
      <c r="F5283" s="3">
        <v>0</v>
      </c>
      <c r="G5283" s="4"/>
      <c r="H5283" s="3">
        <v>0</v>
      </c>
    </row>
    <row r="5284" ht="14.25" spans="1:8">
      <c r="A5284" s="3" t="str">
        <f>"30102417221"</f>
        <v>30102417221</v>
      </c>
      <c r="B5284" s="3">
        <v>4</v>
      </c>
      <c r="C5284" s="3">
        <v>172</v>
      </c>
      <c r="D5284" s="3">
        <v>21</v>
      </c>
      <c r="E5284" s="3" t="s">
        <v>12</v>
      </c>
      <c r="F5284" s="4">
        <v>84.5</v>
      </c>
      <c r="G5284" s="4"/>
      <c r="H5284" s="4">
        <f t="shared" ref="H5284:H5292" si="540">F5284+G5284</f>
        <v>84.5</v>
      </c>
    </row>
    <row r="5285" ht="14.25" spans="1:8">
      <c r="A5285" s="3" t="str">
        <f>"30102417222"</f>
        <v>30102417222</v>
      </c>
      <c r="B5285" s="3">
        <v>4</v>
      </c>
      <c r="C5285" s="3">
        <v>172</v>
      </c>
      <c r="D5285" s="3">
        <v>22</v>
      </c>
      <c r="E5285" s="3" t="s">
        <v>12</v>
      </c>
      <c r="F5285" s="4">
        <v>76</v>
      </c>
      <c r="G5285" s="4"/>
      <c r="H5285" s="4">
        <f t="shared" si="540"/>
        <v>76</v>
      </c>
    </row>
    <row r="5286" ht="14.25" spans="1:8">
      <c r="A5286" s="3" t="str">
        <f>"30102417223"</f>
        <v>30102417223</v>
      </c>
      <c r="B5286" s="3">
        <v>4</v>
      </c>
      <c r="C5286" s="3">
        <v>172</v>
      </c>
      <c r="D5286" s="3">
        <v>23</v>
      </c>
      <c r="E5286" s="3" t="s">
        <v>12</v>
      </c>
      <c r="F5286" s="4">
        <v>83</v>
      </c>
      <c r="G5286" s="4"/>
      <c r="H5286" s="4">
        <f t="shared" si="540"/>
        <v>83</v>
      </c>
    </row>
    <row r="5287" ht="14.25" spans="1:8">
      <c r="A5287" s="3" t="str">
        <f>"30102417224"</f>
        <v>30102417224</v>
      </c>
      <c r="B5287" s="3">
        <v>4</v>
      </c>
      <c r="C5287" s="3">
        <v>172</v>
      </c>
      <c r="D5287" s="3">
        <v>24</v>
      </c>
      <c r="E5287" s="3" t="s">
        <v>12</v>
      </c>
      <c r="F5287" s="4">
        <v>78.5</v>
      </c>
      <c r="G5287" s="4"/>
      <c r="H5287" s="4">
        <f t="shared" si="540"/>
        <v>78.5</v>
      </c>
    </row>
    <row r="5288" ht="14.25" spans="1:8">
      <c r="A5288" s="3" t="str">
        <f>"30102417225"</f>
        <v>30102417225</v>
      </c>
      <c r="B5288" s="3">
        <v>4</v>
      </c>
      <c r="C5288" s="3">
        <v>172</v>
      </c>
      <c r="D5288" s="3">
        <v>25</v>
      </c>
      <c r="E5288" s="3" t="s">
        <v>12</v>
      </c>
      <c r="F5288" s="4">
        <v>55.5</v>
      </c>
      <c r="G5288" s="4"/>
      <c r="H5288" s="4">
        <f t="shared" si="540"/>
        <v>55.5</v>
      </c>
    </row>
    <row r="5289" ht="14.25" spans="1:8">
      <c r="A5289" s="3" t="str">
        <f>"30102417226"</f>
        <v>30102417226</v>
      </c>
      <c r="B5289" s="3">
        <v>4</v>
      </c>
      <c r="C5289" s="3">
        <v>172</v>
      </c>
      <c r="D5289" s="3">
        <v>26</v>
      </c>
      <c r="E5289" s="3" t="s">
        <v>12</v>
      </c>
      <c r="F5289" s="4">
        <v>66.5</v>
      </c>
      <c r="G5289" s="4"/>
      <c r="H5289" s="4">
        <f t="shared" si="540"/>
        <v>66.5</v>
      </c>
    </row>
    <row r="5290" ht="14.25" spans="1:8">
      <c r="A5290" s="3" t="str">
        <f>"30102417227"</f>
        <v>30102417227</v>
      </c>
      <c r="B5290" s="3">
        <v>4</v>
      </c>
      <c r="C5290" s="3">
        <v>172</v>
      </c>
      <c r="D5290" s="3">
        <v>27</v>
      </c>
      <c r="E5290" s="3" t="s">
        <v>12</v>
      </c>
      <c r="F5290" s="4">
        <v>81.5</v>
      </c>
      <c r="G5290" s="4"/>
      <c r="H5290" s="4">
        <f t="shared" si="540"/>
        <v>81.5</v>
      </c>
    </row>
    <row r="5291" ht="14.25" spans="1:8">
      <c r="A5291" s="3" t="str">
        <f>"30102417228"</f>
        <v>30102417228</v>
      </c>
      <c r="B5291" s="3">
        <v>4</v>
      </c>
      <c r="C5291" s="3">
        <v>172</v>
      </c>
      <c r="D5291" s="3">
        <v>28</v>
      </c>
      <c r="E5291" s="3" t="s">
        <v>12</v>
      </c>
      <c r="F5291" s="4">
        <v>84.5</v>
      </c>
      <c r="G5291" s="4"/>
      <c r="H5291" s="4">
        <f t="shared" si="540"/>
        <v>84.5</v>
      </c>
    </row>
    <row r="5292" ht="14.25" spans="1:8">
      <c r="A5292" s="3" t="str">
        <f>"30102417229"</f>
        <v>30102417229</v>
      </c>
      <c r="B5292" s="3">
        <v>4</v>
      </c>
      <c r="C5292" s="3">
        <v>172</v>
      </c>
      <c r="D5292" s="3">
        <v>29</v>
      </c>
      <c r="E5292" s="3" t="s">
        <v>12</v>
      </c>
      <c r="F5292" s="4">
        <v>65</v>
      </c>
      <c r="G5292" s="4"/>
      <c r="H5292" s="4">
        <f t="shared" si="540"/>
        <v>65</v>
      </c>
    </row>
    <row r="5293" ht="14.25" spans="1:8">
      <c r="A5293" s="3" t="str">
        <f>"30102417230"</f>
        <v>30102417230</v>
      </c>
      <c r="B5293" s="3">
        <v>4</v>
      </c>
      <c r="C5293" s="3">
        <v>172</v>
      </c>
      <c r="D5293" s="3">
        <v>30</v>
      </c>
      <c r="E5293" s="3" t="s">
        <v>12</v>
      </c>
      <c r="F5293" s="3">
        <v>0</v>
      </c>
      <c r="G5293" s="4"/>
      <c r="H5293" s="3">
        <v>0</v>
      </c>
    </row>
    <row r="5294" ht="14.25" spans="1:8">
      <c r="A5294" s="3" t="str">
        <f>"30102417301"</f>
        <v>30102417301</v>
      </c>
      <c r="B5294" s="3">
        <v>4</v>
      </c>
      <c r="C5294" s="3">
        <v>173</v>
      </c>
      <c r="D5294" s="3">
        <v>1</v>
      </c>
      <c r="E5294" s="3" t="s">
        <v>12</v>
      </c>
      <c r="F5294" s="4">
        <v>73.5</v>
      </c>
      <c r="G5294" s="4"/>
      <c r="H5294" s="4">
        <f t="shared" ref="H5294:H5309" si="541">F5294+G5294</f>
        <v>73.5</v>
      </c>
    </row>
    <row r="5295" ht="14.25" spans="1:8">
      <c r="A5295" s="3" t="str">
        <f>"30102417302"</f>
        <v>30102417302</v>
      </c>
      <c r="B5295" s="3">
        <v>4</v>
      </c>
      <c r="C5295" s="3">
        <v>173</v>
      </c>
      <c r="D5295" s="3">
        <v>2</v>
      </c>
      <c r="E5295" s="3" t="s">
        <v>12</v>
      </c>
      <c r="F5295" s="4">
        <v>81</v>
      </c>
      <c r="G5295" s="4"/>
      <c r="H5295" s="4">
        <f t="shared" si="541"/>
        <v>81</v>
      </c>
    </row>
    <row r="5296" ht="14.25" spans="1:8">
      <c r="A5296" s="3" t="str">
        <f>"30102417303"</f>
        <v>30102417303</v>
      </c>
      <c r="B5296" s="3">
        <v>4</v>
      </c>
      <c r="C5296" s="3">
        <v>173</v>
      </c>
      <c r="D5296" s="3">
        <v>3</v>
      </c>
      <c r="E5296" s="3" t="s">
        <v>12</v>
      </c>
      <c r="F5296" s="4">
        <v>63.5</v>
      </c>
      <c r="G5296" s="4"/>
      <c r="H5296" s="4">
        <f t="shared" si="541"/>
        <v>63.5</v>
      </c>
    </row>
    <row r="5297" ht="14.25" spans="1:8">
      <c r="A5297" s="3" t="str">
        <f>"30102417304"</f>
        <v>30102417304</v>
      </c>
      <c r="B5297" s="3">
        <v>4</v>
      </c>
      <c r="C5297" s="3">
        <v>173</v>
      </c>
      <c r="D5297" s="3">
        <v>4</v>
      </c>
      <c r="E5297" s="3" t="s">
        <v>12</v>
      </c>
      <c r="F5297" s="4">
        <v>84.5</v>
      </c>
      <c r="G5297" s="4"/>
      <c r="H5297" s="4">
        <f t="shared" si="541"/>
        <v>84.5</v>
      </c>
    </row>
    <row r="5298" ht="14.25" spans="1:8">
      <c r="A5298" s="3" t="str">
        <f>"30102417305"</f>
        <v>30102417305</v>
      </c>
      <c r="B5298" s="3">
        <v>4</v>
      </c>
      <c r="C5298" s="3">
        <v>173</v>
      </c>
      <c r="D5298" s="3">
        <v>5</v>
      </c>
      <c r="E5298" s="3" t="s">
        <v>12</v>
      </c>
      <c r="F5298" s="4">
        <v>78.5</v>
      </c>
      <c r="G5298" s="4"/>
      <c r="H5298" s="4">
        <f t="shared" si="541"/>
        <v>78.5</v>
      </c>
    </row>
    <row r="5299" ht="14.25" spans="1:8">
      <c r="A5299" s="3" t="str">
        <f>"30102417306"</f>
        <v>30102417306</v>
      </c>
      <c r="B5299" s="3">
        <v>4</v>
      </c>
      <c r="C5299" s="3">
        <v>173</v>
      </c>
      <c r="D5299" s="3">
        <v>6</v>
      </c>
      <c r="E5299" s="3" t="s">
        <v>12</v>
      </c>
      <c r="F5299" s="4">
        <v>77</v>
      </c>
      <c r="G5299" s="4"/>
      <c r="H5299" s="4">
        <f t="shared" si="541"/>
        <v>77</v>
      </c>
    </row>
    <row r="5300" ht="14.25" spans="1:8">
      <c r="A5300" s="3" t="str">
        <f>"30102417307"</f>
        <v>30102417307</v>
      </c>
      <c r="B5300" s="3">
        <v>4</v>
      </c>
      <c r="C5300" s="3">
        <v>173</v>
      </c>
      <c r="D5300" s="3">
        <v>7</v>
      </c>
      <c r="E5300" s="3" t="s">
        <v>12</v>
      </c>
      <c r="F5300" s="4">
        <v>75.5</v>
      </c>
      <c r="G5300" s="4"/>
      <c r="H5300" s="4">
        <f t="shared" si="541"/>
        <v>75.5</v>
      </c>
    </row>
    <row r="5301" ht="14.25" spans="1:8">
      <c r="A5301" s="3" t="str">
        <f>"30102417308"</f>
        <v>30102417308</v>
      </c>
      <c r="B5301" s="3">
        <v>4</v>
      </c>
      <c r="C5301" s="3">
        <v>173</v>
      </c>
      <c r="D5301" s="3">
        <v>8</v>
      </c>
      <c r="E5301" s="3" t="s">
        <v>12</v>
      </c>
      <c r="F5301" s="4">
        <v>72.5</v>
      </c>
      <c r="G5301" s="4"/>
      <c r="H5301" s="4">
        <f t="shared" si="541"/>
        <v>72.5</v>
      </c>
    </row>
    <row r="5302" ht="14.25" spans="1:8">
      <c r="A5302" s="3" t="str">
        <f>"30102417309"</f>
        <v>30102417309</v>
      </c>
      <c r="B5302" s="3">
        <v>4</v>
      </c>
      <c r="C5302" s="3">
        <v>173</v>
      </c>
      <c r="D5302" s="3">
        <v>9</v>
      </c>
      <c r="E5302" s="3" t="s">
        <v>12</v>
      </c>
      <c r="F5302" s="4">
        <v>81.5</v>
      </c>
      <c r="G5302" s="4"/>
      <c r="H5302" s="4">
        <f t="shared" si="541"/>
        <v>81.5</v>
      </c>
    </row>
    <row r="5303" ht="14.25" spans="1:8">
      <c r="A5303" s="3" t="str">
        <f>"30102417310"</f>
        <v>30102417310</v>
      </c>
      <c r="B5303" s="3">
        <v>4</v>
      </c>
      <c r="C5303" s="3">
        <v>173</v>
      </c>
      <c r="D5303" s="3">
        <v>10</v>
      </c>
      <c r="E5303" s="3" t="s">
        <v>12</v>
      </c>
      <c r="F5303" s="4">
        <v>78</v>
      </c>
      <c r="G5303" s="4"/>
      <c r="H5303" s="4">
        <f t="shared" si="541"/>
        <v>78</v>
      </c>
    </row>
    <row r="5304" ht="14.25" spans="1:8">
      <c r="A5304" s="3" t="str">
        <f>"30102417311"</f>
        <v>30102417311</v>
      </c>
      <c r="B5304" s="3">
        <v>4</v>
      </c>
      <c r="C5304" s="3">
        <v>173</v>
      </c>
      <c r="D5304" s="3">
        <v>11</v>
      </c>
      <c r="E5304" s="3" t="s">
        <v>12</v>
      </c>
      <c r="F5304" s="4">
        <v>69</v>
      </c>
      <c r="G5304" s="4"/>
      <c r="H5304" s="4">
        <f t="shared" si="541"/>
        <v>69</v>
      </c>
    </row>
    <row r="5305" ht="14.25" spans="1:8">
      <c r="A5305" s="3" t="str">
        <f>"30102417312"</f>
        <v>30102417312</v>
      </c>
      <c r="B5305" s="3">
        <v>4</v>
      </c>
      <c r="C5305" s="3">
        <v>173</v>
      </c>
      <c r="D5305" s="3">
        <v>12</v>
      </c>
      <c r="E5305" s="3" t="s">
        <v>12</v>
      </c>
      <c r="F5305" s="4">
        <v>54</v>
      </c>
      <c r="G5305" s="4"/>
      <c r="H5305" s="4">
        <f t="shared" si="541"/>
        <v>54</v>
      </c>
    </row>
    <row r="5306" ht="14.25" spans="1:8">
      <c r="A5306" s="3" t="str">
        <f>"30102417313"</f>
        <v>30102417313</v>
      </c>
      <c r="B5306" s="3">
        <v>4</v>
      </c>
      <c r="C5306" s="3">
        <v>173</v>
      </c>
      <c r="D5306" s="3">
        <v>13</v>
      </c>
      <c r="E5306" s="3" t="s">
        <v>12</v>
      </c>
      <c r="F5306" s="4">
        <v>82.5</v>
      </c>
      <c r="G5306" s="4"/>
      <c r="H5306" s="4">
        <f t="shared" si="541"/>
        <v>82.5</v>
      </c>
    </row>
    <row r="5307" ht="14.25" spans="1:8">
      <c r="A5307" s="3" t="str">
        <f>"30102417314"</f>
        <v>30102417314</v>
      </c>
      <c r="B5307" s="3">
        <v>4</v>
      </c>
      <c r="C5307" s="3">
        <v>173</v>
      </c>
      <c r="D5307" s="3">
        <v>14</v>
      </c>
      <c r="E5307" s="3" t="s">
        <v>12</v>
      </c>
      <c r="F5307" s="4">
        <v>59.5</v>
      </c>
      <c r="G5307" s="4"/>
      <c r="H5307" s="4">
        <f t="shared" si="541"/>
        <v>59.5</v>
      </c>
    </row>
    <row r="5308" ht="14.25" spans="1:8">
      <c r="A5308" s="3" t="str">
        <f>"30102417315"</f>
        <v>30102417315</v>
      </c>
      <c r="B5308" s="3">
        <v>4</v>
      </c>
      <c r="C5308" s="3">
        <v>173</v>
      </c>
      <c r="D5308" s="3">
        <v>15</v>
      </c>
      <c r="E5308" s="3" t="s">
        <v>12</v>
      </c>
      <c r="F5308" s="4">
        <v>85</v>
      </c>
      <c r="G5308" s="4"/>
      <c r="H5308" s="4">
        <f t="shared" si="541"/>
        <v>85</v>
      </c>
    </row>
    <row r="5309" ht="14.25" spans="1:8">
      <c r="A5309" s="3" t="str">
        <f>"30102417316"</f>
        <v>30102417316</v>
      </c>
      <c r="B5309" s="3">
        <v>4</v>
      </c>
      <c r="C5309" s="3">
        <v>173</v>
      </c>
      <c r="D5309" s="3">
        <v>16</v>
      </c>
      <c r="E5309" s="3" t="s">
        <v>12</v>
      </c>
      <c r="F5309" s="4">
        <v>75.5</v>
      </c>
      <c r="G5309" s="4"/>
      <c r="H5309" s="4">
        <f t="shared" si="541"/>
        <v>75.5</v>
      </c>
    </row>
    <row r="5310" ht="14.25" spans="1:8">
      <c r="A5310" s="3" t="str">
        <f>"30102417317"</f>
        <v>30102417317</v>
      </c>
      <c r="B5310" s="3">
        <v>4</v>
      </c>
      <c r="C5310" s="3">
        <v>173</v>
      </c>
      <c r="D5310" s="3">
        <v>17</v>
      </c>
      <c r="E5310" s="3" t="s">
        <v>12</v>
      </c>
      <c r="F5310" s="3">
        <v>0</v>
      </c>
      <c r="G5310" s="4"/>
      <c r="H5310" s="3">
        <v>0</v>
      </c>
    </row>
    <row r="5311" ht="14.25" spans="1:8">
      <c r="A5311" s="3" t="str">
        <f>"30102417318"</f>
        <v>30102417318</v>
      </c>
      <c r="B5311" s="3">
        <v>4</v>
      </c>
      <c r="C5311" s="3">
        <v>173</v>
      </c>
      <c r="D5311" s="3">
        <v>18</v>
      </c>
      <c r="E5311" s="3" t="s">
        <v>12</v>
      </c>
      <c r="F5311" s="4">
        <v>74.5</v>
      </c>
      <c r="G5311" s="4"/>
      <c r="H5311" s="4">
        <f t="shared" ref="H5311:H5313" si="542">F5311+G5311</f>
        <v>74.5</v>
      </c>
    </row>
    <row r="5312" ht="14.25" spans="1:8">
      <c r="A5312" s="3" t="str">
        <f>"30102417319"</f>
        <v>30102417319</v>
      </c>
      <c r="B5312" s="3">
        <v>4</v>
      </c>
      <c r="C5312" s="3">
        <v>173</v>
      </c>
      <c r="D5312" s="3">
        <v>19</v>
      </c>
      <c r="E5312" s="3" t="s">
        <v>12</v>
      </c>
      <c r="F5312" s="4">
        <v>82.5</v>
      </c>
      <c r="G5312" s="4"/>
      <c r="H5312" s="4">
        <f t="shared" si="542"/>
        <v>82.5</v>
      </c>
    </row>
    <row r="5313" ht="14.25" spans="1:8">
      <c r="A5313" s="3" t="str">
        <f>"30102417320"</f>
        <v>30102417320</v>
      </c>
      <c r="B5313" s="3">
        <v>4</v>
      </c>
      <c r="C5313" s="3">
        <v>173</v>
      </c>
      <c r="D5313" s="3">
        <v>20</v>
      </c>
      <c r="E5313" s="3" t="s">
        <v>12</v>
      </c>
      <c r="F5313" s="4">
        <v>81.5</v>
      </c>
      <c r="G5313" s="4"/>
      <c r="H5313" s="4">
        <f t="shared" si="542"/>
        <v>81.5</v>
      </c>
    </row>
    <row r="5314" ht="14.25" spans="1:8">
      <c r="A5314" s="3" t="str">
        <f>"30102417321"</f>
        <v>30102417321</v>
      </c>
      <c r="B5314" s="3">
        <v>4</v>
      </c>
      <c r="C5314" s="3">
        <v>173</v>
      </c>
      <c r="D5314" s="3">
        <v>21</v>
      </c>
      <c r="E5314" s="3" t="s">
        <v>12</v>
      </c>
      <c r="F5314" s="3">
        <v>0</v>
      </c>
      <c r="G5314" s="4"/>
      <c r="H5314" s="3">
        <v>0</v>
      </c>
    </row>
    <row r="5315" ht="14.25" spans="1:8">
      <c r="A5315" s="3" t="str">
        <f>"30102417322"</f>
        <v>30102417322</v>
      </c>
      <c r="B5315" s="3">
        <v>4</v>
      </c>
      <c r="C5315" s="3">
        <v>173</v>
      </c>
      <c r="D5315" s="3">
        <v>22</v>
      </c>
      <c r="E5315" s="3" t="s">
        <v>12</v>
      </c>
      <c r="F5315" s="4">
        <v>81.5</v>
      </c>
      <c r="G5315" s="4"/>
      <c r="H5315" s="4">
        <f t="shared" ref="H5315:H5317" si="543">F5315+G5315</f>
        <v>81.5</v>
      </c>
    </row>
    <row r="5316" ht="14.25" spans="1:8">
      <c r="A5316" s="3" t="str">
        <f>"30102417323"</f>
        <v>30102417323</v>
      </c>
      <c r="B5316" s="3">
        <v>4</v>
      </c>
      <c r="C5316" s="3">
        <v>173</v>
      </c>
      <c r="D5316" s="3">
        <v>23</v>
      </c>
      <c r="E5316" s="3" t="s">
        <v>12</v>
      </c>
      <c r="F5316" s="4">
        <v>63.5</v>
      </c>
      <c r="G5316" s="4"/>
      <c r="H5316" s="4">
        <f t="shared" si="543"/>
        <v>63.5</v>
      </c>
    </row>
    <row r="5317" ht="14.25" spans="1:8">
      <c r="A5317" s="3" t="str">
        <f>"30102417324"</f>
        <v>30102417324</v>
      </c>
      <c r="B5317" s="3">
        <v>4</v>
      </c>
      <c r="C5317" s="3">
        <v>173</v>
      </c>
      <c r="D5317" s="3">
        <v>24</v>
      </c>
      <c r="E5317" s="3" t="s">
        <v>12</v>
      </c>
      <c r="F5317" s="4">
        <v>71</v>
      </c>
      <c r="G5317" s="4"/>
      <c r="H5317" s="4">
        <f t="shared" si="543"/>
        <v>71</v>
      </c>
    </row>
    <row r="5318" ht="14.25" spans="1:8">
      <c r="A5318" s="3" t="str">
        <f>"30102417325"</f>
        <v>30102417325</v>
      </c>
      <c r="B5318" s="3">
        <v>4</v>
      </c>
      <c r="C5318" s="3">
        <v>173</v>
      </c>
      <c r="D5318" s="3">
        <v>25</v>
      </c>
      <c r="E5318" s="3" t="s">
        <v>12</v>
      </c>
      <c r="F5318" s="3">
        <v>0</v>
      </c>
      <c r="G5318" s="4"/>
      <c r="H5318" s="3">
        <v>0</v>
      </c>
    </row>
    <row r="5319" ht="14.25" spans="1:8">
      <c r="A5319" s="3" t="str">
        <f>"30102417326"</f>
        <v>30102417326</v>
      </c>
      <c r="B5319" s="3">
        <v>4</v>
      </c>
      <c r="C5319" s="3">
        <v>173</v>
      </c>
      <c r="D5319" s="3">
        <v>26</v>
      </c>
      <c r="E5319" s="3" t="s">
        <v>12</v>
      </c>
      <c r="F5319" s="4">
        <v>84.5</v>
      </c>
      <c r="G5319" s="4"/>
      <c r="H5319" s="4">
        <f t="shared" ref="H5319:H5330" si="544">F5319+G5319</f>
        <v>84.5</v>
      </c>
    </row>
    <row r="5320" ht="14.25" spans="1:8">
      <c r="A5320" s="3" t="str">
        <f>"30102417327"</f>
        <v>30102417327</v>
      </c>
      <c r="B5320" s="3">
        <v>4</v>
      </c>
      <c r="C5320" s="3">
        <v>173</v>
      </c>
      <c r="D5320" s="3">
        <v>27</v>
      </c>
      <c r="E5320" s="3" t="s">
        <v>12</v>
      </c>
      <c r="F5320" s="4">
        <v>85</v>
      </c>
      <c r="G5320" s="4"/>
      <c r="H5320" s="4">
        <f t="shared" si="544"/>
        <v>85</v>
      </c>
    </row>
    <row r="5321" ht="14.25" spans="1:8">
      <c r="A5321" s="3" t="str">
        <f>"30102417328"</f>
        <v>30102417328</v>
      </c>
      <c r="B5321" s="3">
        <v>4</v>
      </c>
      <c r="C5321" s="3">
        <v>173</v>
      </c>
      <c r="D5321" s="3">
        <v>28</v>
      </c>
      <c r="E5321" s="3" t="s">
        <v>12</v>
      </c>
      <c r="F5321" s="3">
        <v>0</v>
      </c>
      <c r="G5321" s="4"/>
      <c r="H5321" s="3">
        <v>0</v>
      </c>
    </row>
    <row r="5322" ht="14.25" spans="1:8">
      <c r="A5322" s="3" t="str">
        <f>"30102417329"</f>
        <v>30102417329</v>
      </c>
      <c r="B5322" s="3">
        <v>4</v>
      </c>
      <c r="C5322" s="3">
        <v>173</v>
      </c>
      <c r="D5322" s="3">
        <v>29</v>
      </c>
      <c r="E5322" s="3" t="s">
        <v>12</v>
      </c>
      <c r="F5322" s="4">
        <v>76</v>
      </c>
      <c r="G5322" s="4"/>
      <c r="H5322" s="4">
        <f t="shared" si="544"/>
        <v>76</v>
      </c>
    </row>
    <row r="5323" ht="14.25" spans="1:8">
      <c r="A5323" s="3" t="str">
        <f>"30102417330"</f>
        <v>30102417330</v>
      </c>
      <c r="B5323" s="3">
        <v>4</v>
      </c>
      <c r="C5323" s="3">
        <v>173</v>
      </c>
      <c r="D5323" s="3">
        <v>30</v>
      </c>
      <c r="E5323" s="3" t="s">
        <v>12</v>
      </c>
      <c r="F5323" s="4">
        <v>73.5</v>
      </c>
      <c r="G5323" s="4"/>
      <c r="H5323" s="4">
        <f t="shared" si="544"/>
        <v>73.5</v>
      </c>
    </row>
    <row r="5324" ht="14.25" spans="1:8">
      <c r="A5324" s="3" t="str">
        <f>"30102417401"</f>
        <v>30102417401</v>
      </c>
      <c r="B5324" s="3">
        <v>4</v>
      </c>
      <c r="C5324" s="3">
        <v>174</v>
      </c>
      <c r="D5324" s="3">
        <v>1</v>
      </c>
      <c r="E5324" s="3" t="s">
        <v>12</v>
      </c>
      <c r="F5324" s="4">
        <v>58.5</v>
      </c>
      <c r="G5324" s="4"/>
      <c r="H5324" s="4">
        <f t="shared" si="544"/>
        <v>58.5</v>
      </c>
    </row>
    <row r="5325" ht="14.25" spans="1:8">
      <c r="A5325" s="3" t="str">
        <f>"30102417402"</f>
        <v>30102417402</v>
      </c>
      <c r="B5325" s="3">
        <v>4</v>
      </c>
      <c r="C5325" s="3">
        <v>174</v>
      </c>
      <c r="D5325" s="3">
        <v>2</v>
      </c>
      <c r="E5325" s="3" t="s">
        <v>12</v>
      </c>
      <c r="F5325" s="4">
        <v>71</v>
      </c>
      <c r="G5325" s="4"/>
      <c r="H5325" s="4">
        <f t="shared" si="544"/>
        <v>71</v>
      </c>
    </row>
    <row r="5326" ht="14.25" spans="1:8">
      <c r="A5326" s="3" t="str">
        <f>"30102417403"</f>
        <v>30102417403</v>
      </c>
      <c r="B5326" s="3">
        <v>4</v>
      </c>
      <c r="C5326" s="3">
        <v>174</v>
      </c>
      <c r="D5326" s="3">
        <v>3</v>
      </c>
      <c r="E5326" s="3" t="s">
        <v>12</v>
      </c>
      <c r="F5326" s="4">
        <v>83</v>
      </c>
      <c r="G5326" s="4"/>
      <c r="H5326" s="4">
        <f t="shared" si="544"/>
        <v>83</v>
      </c>
    </row>
    <row r="5327" ht="14.25" spans="1:8">
      <c r="A5327" s="3" t="str">
        <f>"30102417404"</f>
        <v>30102417404</v>
      </c>
      <c r="B5327" s="3">
        <v>4</v>
      </c>
      <c r="C5327" s="3">
        <v>174</v>
      </c>
      <c r="D5327" s="3">
        <v>4</v>
      </c>
      <c r="E5327" s="3" t="s">
        <v>12</v>
      </c>
      <c r="F5327" s="4">
        <v>72.5</v>
      </c>
      <c r="G5327" s="4"/>
      <c r="H5327" s="4">
        <f t="shared" si="544"/>
        <v>72.5</v>
      </c>
    </row>
    <row r="5328" ht="14.25" spans="1:8">
      <c r="A5328" s="3" t="str">
        <f>"30102417405"</f>
        <v>30102417405</v>
      </c>
      <c r="B5328" s="3">
        <v>4</v>
      </c>
      <c r="C5328" s="3">
        <v>174</v>
      </c>
      <c r="D5328" s="3">
        <v>5</v>
      </c>
      <c r="E5328" s="3" t="s">
        <v>12</v>
      </c>
      <c r="F5328" s="4">
        <v>69</v>
      </c>
      <c r="G5328" s="4"/>
      <c r="H5328" s="4">
        <f t="shared" si="544"/>
        <v>69</v>
      </c>
    </row>
    <row r="5329" ht="14.25" spans="1:8">
      <c r="A5329" s="3" t="str">
        <f>"30102417406"</f>
        <v>30102417406</v>
      </c>
      <c r="B5329" s="3">
        <v>4</v>
      </c>
      <c r="C5329" s="3">
        <v>174</v>
      </c>
      <c r="D5329" s="3">
        <v>6</v>
      </c>
      <c r="E5329" s="3" t="s">
        <v>12</v>
      </c>
      <c r="F5329" s="4">
        <v>79</v>
      </c>
      <c r="G5329" s="4"/>
      <c r="H5329" s="4">
        <f t="shared" si="544"/>
        <v>79</v>
      </c>
    </row>
    <row r="5330" ht="14.25" spans="1:8">
      <c r="A5330" s="3" t="str">
        <f>"30102417407"</f>
        <v>30102417407</v>
      </c>
      <c r="B5330" s="3">
        <v>4</v>
      </c>
      <c r="C5330" s="3">
        <v>174</v>
      </c>
      <c r="D5330" s="3">
        <v>7</v>
      </c>
      <c r="E5330" s="3" t="s">
        <v>12</v>
      </c>
      <c r="F5330" s="4">
        <v>61.5</v>
      </c>
      <c r="G5330" s="4"/>
      <c r="H5330" s="4">
        <f t="shared" si="544"/>
        <v>61.5</v>
      </c>
    </row>
    <row r="5331" ht="14.25" spans="1:8">
      <c r="A5331" s="3" t="str">
        <f>"30102417408"</f>
        <v>30102417408</v>
      </c>
      <c r="B5331" s="3">
        <v>4</v>
      </c>
      <c r="C5331" s="3">
        <v>174</v>
      </c>
      <c r="D5331" s="3">
        <v>8</v>
      </c>
      <c r="E5331" s="3" t="s">
        <v>12</v>
      </c>
      <c r="F5331" s="3">
        <v>0</v>
      </c>
      <c r="G5331" s="4"/>
      <c r="H5331" s="3">
        <v>0</v>
      </c>
    </row>
    <row r="5332" ht="14.25" spans="1:8">
      <c r="A5332" s="3" t="str">
        <f>"30102417409"</f>
        <v>30102417409</v>
      </c>
      <c r="B5332" s="3">
        <v>4</v>
      </c>
      <c r="C5332" s="3">
        <v>174</v>
      </c>
      <c r="D5332" s="3">
        <v>9</v>
      </c>
      <c r="E5332" s="3" t="s">
        <v>12</v>
      </c>
      <c r="F5332" s="4">
        <v>65.5</v>
      </c>
      <c r="G5332" s="4"/>
      <c r="H5332" s="4">
        <f t="shared" ref="H5332:H5343" si="545">F5332+G5332</f>
        <v>65.5</v>
      </c>
    </row>
    <row r="5333" ht="14.25" spans="1:8">
      <c r="A5333" s="3" t="str">
        <f>"30102417410"</f>
        <v>30102417410</v>
      </c>
      <c r="B5333" s="3">
        <v>4</v>
      </c>
      <c r="C5333" s="3">
        <v>174</v>
      </c>
      <c r="D5333" s="3">
        <v>10</v>
      </c>
      <c r="E5333" s="3" t="s">
        <v>12</v>
      </c>
      <c r="F5333" s="4">
        <v>82</v>
      </c>
      <c r="G5333" s="4"/>
      <c r="H5333" s="4">
        <f t="shared" si="545"/>
        <v>82</v>
      </c>
    </row>
    <row r="5334" ht="14.25" spans="1:8">
      <c r="A5334" s="3" t="str">
        <f>"30102417411"</f>
        <v>30102417411</v>
      </c>
      <c r="B5334" s="3">
        <v>4</v>
      </c>
      <c r="C5334" s="3">
        <v>174</v>
      </c>
      <c r="D5334" s="3">
        <v>11</v>
      </c>
      <c r="E5334" s="3" t="s">
        <v>12</v>
      </c>
      <c r="F5334" s="4">
        <v>69</v>
      </c>
      <c r="G5334" s="4"/>
      <c r="H5334" s="4">
        <f t="shared" si="545"/>
        <v>69</v>
      </c>
    </row>
    <row r="5335" ht="14.25" spans="1:8">
      <c r="A5335" s="3" t="str">
        <f>"30102417412"</f>
        <v>30102417412</v>
      </c>
      <c r="B5335" s="3">
        <v>4</v>
      </c>
      <c r="C5335" s="3">
        <v>174</v>
      </c>
      <c r="D5335" s="3">
        <v>12</v>
      </c>
      <c r="E5335" s="3" t="s">
        <v>12</v>
      </c>
      <c r="F5335" s="4">
        <v>81.5</v>
      </c>
      <c r="G5335" s="4"/>
      <c r="H5335" s="4">
        <f t="shared" si="545"/>
        <v>81.5</v>
      </c>
    </row>
    <row r="5336" ht="14.25" spans="1:8">
      <c r="A5336" s="3" t="str">
        <f>"30102417413"</f>
        <v>30102417413</v>
      </c>
      <c r="B5336" s="3">
        <v>4</v>
      </c>
      <c r="C5336" s="3">
        <v>174</v>
      </c>
      <c r="D5336" s="3">
        <v>13</v>
      </c>
      <c r="E5336" s="3" t="s">
        <v>12</v>
      </c>
      <c r="F5336" s="4">
        <v>79.5</v>
      </c>
      <c r="G5336" s="4"/>
      <c r="H5336" s="4">
        <f t="shared" si="545"/>
        <v>79.5</v>
      </c>
    </row>
    <row r="5337" ht="14.25" spans="1:8">
      <c r="A5337" s="3" t="str">
        <f>"30102417414"</f>
        <v>30102417414</v>
      </c>
      <c r="B5337" s="3">
        <v>4</v>
      </c>
      <c r="C5337" s="3">
        <v>174</v>
      </c>
      <c r="D5337" s="3">
        <v>14</v>
      </c>
      <c r="E5337" s="3" t="s">
        <v>12</v>
      </c>
      <c r="F5337" s="4">
        <v>75</v>
      </c>
      <c r="G5337" s="4"/>
      <c r="H5337" s="4">
        <f t="shared" si="545"/>
        <v>75</v>
      </c>
    </row>
    <row r="5338" ht="14.25" spans="1:8">
      <c r="A5338" s="3" t="str">
        <f>"30201417415"</f>
        <v>30201417415</v>
      </c>
      <c r="B5338" s="3">
        <v>4</v>
      </c>
      <c r="C5338" s="3">
        <v>174</v>
      </c>
      <c r="D5338" s="3">
        <v>15</v>
      </c>
      <c r="E5338" s="3" t="s">
        <v>12</v>
      </c>
      <c r="F5338" s="4">
        <v>83</v>
      </c>
      <c r="G5338" s="4"/>
      <c r="H5338" s="4">
        <f t="shared" si="545"/>
        <v>83</v>
      </c>
    </row>
    <row r="5339" ht="14.25" spans="1:8">
      <c r="A5339" s="3" t="str">
        <f>"30201417416"</f>
        <v>30201417416</v>
      </c>
      <c r="B5339" s="3">
        <v>4</v>
      </c>
      <c r="C5339" s="3">
        <v>174</v>
      </c>
      <c r="D5339" s="3">
        <v>16</v>
      </c>
      <c r="E5339" s="3" t="s">
        <v>12</v>
      </c>
      <c r="F5339" s="4">
        <v>68.5</v>
      </c>
      <c r="G5339" s="4"/>
      <c r="H5339" s="4">
        <f t="shared" si="545"/>
        <v>68.5</v>
      </c>
    </row>
    <row r="5340" ht="14.25" spans="1:8">
      <c r="A5340" s="3" t="str">
        <f>"30201417417"</f>
        <v>30201417417</v>
      </c>
      <c r="B5340" s="3">
        <v>4</v>
      </c>
      <c r="C5340" s="3">
        <v>174</v>
      </c>
      <c r="D5340" s="3">
        <v>17</v>
      </c>
      <c r="E5340" s="3" t="s">
        <v>12</v>
      </c>
      <c r="F5340" s="4">
        <v>67</v>
      </c>
      <c r="G5340" s="4"/>
      <c r="H5340" s="4">
        <f t="shared" si="545"/>
        <v>67</v>
      </c>
    </row>
    <row r="5341" ht="14.25" spans="1:8">
      <c r="A5341" s="3" t="str">
        <f>"30201417418"</f>
        <v>30201417418</v>
      </c>
      <c r="B5341" s="3">
        <v>4</v>
      </c>
      <c r="C5341" s="3">
        <v>174</v>
      </c>
      <c r="D5341" s="3">
        <v>18</v>
      </c>
      <c r="E5341" s="3" t="s">
        <v>12</v>
      </c>
      <c r="F5341" s="4">
        <v>70.5</v>
      </c>
      <c r="G5341" s="4"/>
      <c r="H5341" s="4">
        <f t="shared" si="545"/>
        <v>70.5</v>
      </c>
    </row>
    <row r="5342" ht="14.25" spans="1:8">
      <c r="A5342" s="3" t="str">
        <f>"30201417419"</f>
        <v>30201417419</v>
      </c>
      <c r="B5342" s="3">
        <v>4</v>
      </c>
      <c r="C5342" s="3">
        <v>174</v>
      </c>
      <c r="D5342" s="3">
        <v>19</v>
      </c>
      <c r="E5342" s="3" t="s">
        <v>12</v>
      </c>
      <c r="F5342" s="4">
        <v>55.5</v>
      </c>
      <c r="G5342" s="4"/>
      <c r="H5342" s="4">
        <f t="shared" si="545"/>
        <v>55.5</v>
      </c>
    </row>
    <row r="5343" ht="14.25" spans="1:8">
      <c r="A5343" s="3" t="str">
        <f>"30201417420"</f>
        <v>30201417420</v>
      </c>
      <c r="B5343" s="3">
        <v>4</v>
      </c>
      <c r="C5343" s="3">
        <v>174</v>
      </c>
      <c r="D5343" s="3">
        <v>20</v>
      </c>
      <c r="E5343" s="3" t="s">
        <v>12</v>
      </c>
      <c r="F5343" s="4">
        <v>77</v>
      </c>
      <c r="G5343" s="4"/>
      <c r="H5343" s="4">
        <f t="shared" si="545"/>
        <v>77</v>
      </c>
    </row>
    <row r="5344" ht="14.25" spans="1:8">
      <c r="A5344" s="3" t="str">
        <f>"30201417421"</f>
        <v>30201417421</v>
      </c>
      <c r="B5344" s="3">
        <v>4</v>
      </c>
      <c r="C5344" s="3">
        <v>174</v>
      </c>
      <c r="D5344" s="3">
        <v>21</v>
      </c>
      <c r="E5344" s="3" t="s">
        <v>12</v>
      </c>
      <c r="F5344" s="3">
        <v>0</v>
      </c>
      <c r="G5344" s="4"/>
      <c r="H5344" s="3">
        <v>0</v>
      </c>
    </row>
    <row r="5345" ht="14.25" spans="1:8">
      <c r="A5345" s="3" t="str">
        <f>"30201417422"</f>
        <v>30201417422</v>
      </c>
      <c r="B5345" s="3">
        <v>4</v>
      </c>
      <c r="C5345" s="3">
        <v>174</v>
      </c>
      <c r="D5345" s="3">
        <v>22</v>
      </c>
      <c r="E5345" s="3" t="s">
        <v>12</v>
      </c>
      <c r="F5345" s="4">
        <v>67</v>
      </c>
      <c r="G5345" s="4"/>
      <c r="H5345" s="4">
        <f t="shared" ref="H5345:H5357" si="546">F5345+G5345</f>
        <v>67</v>
      </c>
    </row>
    <row r="5346" ht="14.25" spans="1:8">
      <c r="A5346" s="3" t="str">
        <f>"30201417423"</f>
        <v>30201417423</v>
      </c>
      <c r="B5346" s="3">
        <v>4</v>
      </c>
      <c r="C5346" s="3">
        <v>174</v>
      </c>
      <c r="D5346" s="3">
        <v>23</v>
      </c>
      <c r="E5346" s="3" t="s">
        <v>12</v>
      </c>
      <c r="F5346" s="4">
        <v>53</v>
      </c>
      <c r="G5346" s="4"/>
      <c r="H5346" s="4">
        <f t="shared" si="546"/>
        <v>53</v>
      </c>
    </row>
    <row r="5347" ht="14.25" spans="1:8">
      <c r="A5347" s="3" t="str">
        <f>"30201417424"</f>
        <v>30201417424</v>
      </c>
      <c r="B5347" s="3">
        <v>4</v>
      </c>
      <c r="C5347" s="3">
        <v>174</v>
      </c>
      <c r="D5347" s="3">
        <v>24</v>
      </c>
      <c r="E5347" s="3" t="s">
        <v>12</v>
      </c>
      <c r="F5347" s="4">
        <v>56.5</v>
      </c>
      <c r="G5347" s="4"/>
      <c r="H5347" s="4">
        <f t="shared" si="546"/>
        <v>56.5</v>
      </c>
    </row>
    <row r="5348" ht="14.25" spans="1:8">
      <c r="A5348" s="3" t="str">
        <f>"30201417425"</f>
        <v>30201417425</v>
      </c>
      <c r="B5348" s="3">
        <v>4</v>
      </c>
      <c r="C5348" s="3">
        <v>174</v>
      </c>
      <c r="D5348" s="3">
        <v>25</v>
      </c>
      <c r="E5348" s="3" t="s">
        <v>12</v>
      </c>
      <c r="F5348" s="4">
        <v>67.5</v>
      </c>
      <c r="G5348" s="4"/>
      <c r="H5348" s="4">
        <f t="shared" si="546"/>
        <v>67.5</v>
      </c>
    </row>
    <row r="5349" ht="14.25" spans="1:8">
      <c r="A5349" s="3" t="str">
        <f>"30201417426"</f>
        <v>30201417426</v>
      </c>
      <c r="B5349" s="3">
        <v>4</v>
      </c>
      <c r="C5349" s="3">
        <v>174</v>
      </c>
      <c r="D5349" s="3">
        <v>26</v>
      </c>
      <c r="E5349" s="3" t="s">
        <v>12</v>
      </c>
      <c r="F5349" s="4">
        <v>66.5</v>
      </c>
      <c r="G5349" s="4"/>
      <c r="H5349" s="4">
        <f t="shared" si="546"/>
        <v>66.5</v>
      </c>
    </row>
    <row r="5350" ht="14.25" spans="1:8">
      <c r="A5350" s="3" t="str">
        <f>"30201417427"</f>
        <v>30201417427</v>
      </c>
      <c r="B5350" s="3">
        <v>4</v>
      </c>
      <c r="C5350" s="3">
        <v>174</v>
      </c>
      <c r="D5350" s="3">
        <v>27</v>
      </c>
      <c r="E5350" s="3" t="s">
        <v>12</v>
      </c>
      <c r="F5350" s="4">
        <v>68.5</v>
      </c>
      <c r="G5350" s="4"/>
      <c r="H5350" s="4">
        <f t="shared" si="546"/>
        <v>68.5</v>
      </c>
    </row>
    <row r="5351" ht="14.25" spans="1:8">
      <c r="A5351" s="3" t="str">
        <f>"30201417428"</f>
        <v>30201417428</v>
      </c>
      <c r="B5351" s="3">
        <v>4</v>
      </c>
      <c r="C5351" s="3">
        <v>174</v>
      </c>
      <c r="D5351" s="3">
        <v>28</v>
      </c>
      <c r="E5351" s="3" t="s">
        <v>12</v>
      </c>
      <c r="F5351" s="4">
        <v>69.5</v>
      </c>
      <c r="G5351" s="4"/>
      <c r="H5351" s="4">
        <f t="shared" si="546"/>
        <v>69.5</v>
      </c>
    </row>
    <row r="5352" ht="14.25" spans="1:8">
      <c r="A5352" s="3" t="str">
        <f>"30201417429"</f>
        <v>30201417429</v>
      </c>
      <c r="B5352" s="3">
        <v>4</v>
      </c>
      <c r="C5352" s="3">
        <v>174</v>
      </c>
      <c r="D5352" s="3">
        <v>29</v>
      </c>
      <c r="E5352" s="3" t="s">
        <v>12</v>
      </c>
      <c r="F5352" s="4">
        <v>59</v>
      </c>
      <c r="G5352" s="4"/>
      <c r="H5352" s="4">
        <f t="shared" si="546"/>
        <v>59</v>
      </c>
    </row>
    <row r="5353" ht="14.25" spans="1:8">
      <c r="A5353" s="3" t="str">
        <f>"30201417430"</f>
        <v>30201417430</v>
      </c>
      <c r="B5353" s="3">
        <v>4</v>
      </c>
      <c r="C5353" s="3">
        <v>174</v>
      </c>
      <c r="D5353" s="3">
        <v>30</v>
      </c>
      <c r="E5353" s="3" t="s">
        <v>12</v>
      </c>
      <c r="F5353" s="4">
        <v>53</v>
      </c>
      <c r="G5353" s="4"/>
      <c r="H5353" s="4">
        <f t="shared" si="546"/>
        <v>53</v>
      </c>
    </row>
    <row r="5354" ht="14.25" spans="1:8">
      <c r="A5354" s="3" t="str">
        <f>"30201417501"</f>
        <v>30201417501</v>
      </c>
      <c r="B5354" s="3">
        <v>4</v>
      </c>
      <c r="C5354" s="3">
        <v>175</v>
      </c>
      <c r="D5354" s="3">
        <v>1</v>
      </c>
      <c r="E5354" s="3" t="s">
        <v>12</v>
      </c>
      <c r="F5354" s="4">
        <v>65</v>
      </c>
      <c r="G5354" s="4"/>
      <c r="H5354" s="4">
        <f t="shared" si="546"/>
        <v>65</v>
      </c>
    </row>
    <row r="5355" ht="14.25" spans="1:8">
      <c r="A5355" s="3" t="str">
        <f>"30201417502"</f>
        <v>30201417502</v>
      </c>
      <c r="B5355" s="3">
        <v>4</v>
      </c>
      <c r="C5355" s="3">
        <v>175</v>
      </c>
      <c r="D5355" s="3">
        <v>2</v>
      </c>
      <c r="E5355" s="3" t="s">
        <v>12</v>
      </c>
      <c r="F5355" s="4">
        <v>82.5</v>
      </c>
      <c r="G5355" s="4"/>
      <c r="H5355" s="4">
        <f t="shared" si="546"/>
        <v>82.5</v>
      </c>
    </row>
    <row r="5356" ht="14.25" spans="1:8">
      <c r="A5356" s="3" t="str">
        <f>"30201417503"</f>
        <v>30201417503</v>
      </c>
      <c r="B5356" s="3">
        <v>4</v>
      </c>
      <c r="C5356" s="3">
        <v>175</v>
      </c>
      <c r="D5356" s="3">
        <v>3</v>
      </c>
      <c r="E5356" s="3" t="s">
        <v>12</v>
      </c>
      <c r="F5356" s="4">
        <v>84</v>
      </c>
      <c r="G5356" s="4"/>
      <c r="H5356" s="4">
        <f t="shared" si="546"/>
        <v>84</v>
      </c>
    </row>
    <row r="5357" ht="14.25" spans="1:8">
      <c r="A5357" s="3" t="str">
        <f>"30201417504"</f>
        <v>30201417504</v>
      </c>
      <c r="B5357" s="3">
        <v>4</v>
      </c>
      <c r="C5357" s="3">
        <v>175</v>
      </c>
      <c r="D5357" s="3">
        <v>4</v>
      </c>
      <c r="E5357" s="3" t="s">
        <v>12</v>
      </c>
      <c r="F5357" s="4">
        <v>73.5</v>
      </c>
      <c r="G5357" s="4"/>
      <c r="H5357" s="4">
        <f t="shared" si="546"/>
        <v>73.5</v>
      </c>
    </row>
    <row r="5358" ht="14.25" spans="1:8">
      <c r="A5358" s="3" t="str">
        <f>"30201417505"</f>
        <v>30201417505</v>
      </c>
      <c r="B5358" s="3">
        <v>4</v>
      </c>
      <c r="C5358" s="3">
        <v>175</v>
      </c>
      <c r="D5358" s="3">
        <v>5</v>
      </c>
      <c r="E5358" s="3" t="s">
        <v>12</v>
      </c>
      <c r="F5358" s="3">
        <v>0</v>
      </c>
      <c r="G5358" s="4"/>
      <c r="H5358" s="3">
        <v>0</v>
      </c>
    </row>
    <row r="5359" ht="14.25" spans="1:8">
      <c r="A5359" s="3" t="str">
        <f>"30201417506"</f>
        <v>30201417506</v>
      </c>
      <c r="B5359" s="3">
        <v>4</v>
      </c>
      <c r="C5359" s="3">
        <v>175</v>
      </c>
      <c r="D5359" s="3">
        <v>6</v>
      </c>
      <c r="E5359" s="3" t="s">
        <v>12</v>
      </c>
      <c r="F5359" s="4">
        <v>63</v>
      </c>
      <c r="G5359" s="4"/>
      <c r="H5359" s="4">
        <f t="shared" ref="H5359:H5365" si="547">F5359+G5359</f>
        <v>63</v>
      </c>
    </row>
    <row r="5360" ht="14.25" spans="1:8">
      <c r="A5360" s="3" t="str">
        <f>"30201417507"</f>
        <v>30201417507</v>
      </c>
      <c r="B5360" s="3">
        <v>4</v>
      </c>
      <c r="C5360" s="3">
        <v>175</v>
      </c>
      <c r="D5360" s="3">
        <v>7</v>
      </c>
      <c r="E5360" s="3" t="s">
        <v>12</v>
      </c>
      <c r="F5360" s="4">
        <v>61.5</v>
      </c>
      <c r="G5360" s="4"/>
      <c r="H5360" s="4">
        <f t="shared" si="547"/>
        <v>61.5</v>
      </c>
    </row>
    <row r="5361" ht="14.25" spans="1:8">
      <c r="A5361" s="3" t="str">
        <f>"30201417508"</f>
        <v>30201417508</v>
      </c>
      <c r="B5361" s="3">
        <v>4</v>
      </c>
      <c r="C5361" s="3">
        <v>175</v>
      </c>
      <c r="D5361" s="3">
        <v>8</v>
      </c>
      <c r="E5361" s="3" t="s">
        <v>12</v>
      </c>
      <c r="F5361" s="4">
        <v>83.5</v>
      </c>
      <c r="G5361" s="4"/>
      <c r="H5361" s="4">
        <f t="shared" si="547"/>
        <v>83.5</v>
      </c>
    </row>
    <row r="5362" ht="14.25" spans="1:8">
      <c r="A5362" s="3" t="str">
        <f>"30201417509"</f>
        <v>30201417509</v>
      </c>
      <c r="B5362" s="3">
        <v>4</v>
      </c>
      <c r="C5362" s="3">
        <v>175</v>
      </c>
      <c r="D5362" s="3">
        <v>9</v>
      </c>
      <c r="E5362" s="3" t="s">
        <v>12</v>
      </c>
      <c r="F5362" s="4">
        <v>78</v>
      </c>
      <c r="G5362" s="4"/>
      <c r="H5362" s="4">
        <f t="shared" si="547"/>
        <v>78</v>
      </c>
    </row>
    <row r="5363" ht="14.25" spans="1:8">
      <c r="A5363" s="3" t="str">
        <f>"30201417510"</f>
        <v>30201417510</v>
      </c>
      <c r="B5363" s="3">
        <v>4</v>
      </c>
      <c r="C5363" s="3">
        <v>175</v>
      </c>
      <c r="D5363" s="3">
        <v>10</v>
      </c>
      <c r="E5363" s="3" t="s">
        <v>12</v>
      </c>
      <c r="F5363" s="4">
        <v>68</v>
      </c>
      <c r="G5363" s="4"/>
      <c r="H5363" s="4">
        <f t="shared" si="547"/>
        <v>68</v>
      </c>
    </row>
    <row r="5364" ht="14.25" spans="1:8">
      <c r="A5364" s="3" t="str">
        <f>"30201417511"</f>
        <v>30201417511</v>
      </c>
      <c r="B5364" s="3">
        <v>4</v>
      </c>
      <c r="C5364" s="3">
        <v>175</v>
      </c>
      <c r="D5364" s="3">
        <v>11</v>
      </c>
      <c r="E5364" s="3" t="s">
        <v>12</v>
      </c>
      <c r="F5364" s="4">
        <v>72.5</v>
      </c>
      <c r="G5364" s="4"/>
      <c r="H5364" s="4">
        <f t="shared" si="547"/>
        <v>72.5</v>
      </c>
    </row>
    <row r="5365" ht="14.25" spans="1:8">
      <c r="A5365" s="3" t="str">
        <f>"30201417512"</f>
        <v>30201417512</v>
      </c>
      <c r="B5365" s="3">
        <v>4</v>
      </c>
      <c r="C5365" s="3">
        <v>175</v>
      </c>
      <c r="D5365" s="3">
        <v>12</v>
      </c>
      <c r="E5365" s="3" t="s">
        <v>12</v>
      </c>
      <c r="F5365" s="4">
        <v>60</v>
      </c>
      <c r="G5365" s="4"/>
      <c r="H5365" s="4">
        <f t="shared" si="547"/>
        <v>60</v>
      </c>
    </row>
    <row r="5366" ht="14.25" spans="1:8">
      <c r="A5366" s="3" t="str">
        <f>"30201417513"</f>
        <v>30201417513</v>
      </c>
      <c r="B5366" s="3">
        <v>4</v>
      </c>
      <c r="C5366" s="3">
        <v>175</v>
      </c>
      <c r="D5366" s="3">
        <v>13</v>
      </c>
      <c r="E5366" s="3" t="s">
        <v>12</v>
      </c>
      <c r="F5366" s="3">
        <v>0</v>
      </c>
      <c r="G5366" s="4"/>
      <c r="H5366" s="3">
        <v>0</v>
      </c>
    </row>
    <row r="5367" ht="14.25" spans="1:8">
      <c r="A5367" s="3" t="str">
        <f>"30201417514"</f>
        <v>30201417514</v>
      </c>
      <c r="B5367" s="3">
        <v>4</v>
      </c>
      <c r="C5367" s="3">
        <v>175</v>
      </c>
      <c r="D5367" s="3">
        <v>14</v>
      </c>
      <c r="E5367" s="3" t="s">
        <v>12</v>
      </c>
      <c r="F5367" s="4">
        <v>73</v>
      </c>
      <c r="G5367" s="4"/>
      <c r="H5367" s="4">
        <f t="shared" ref="H5367:H5377" si="548">F5367+G5367</f>
        <v>73</v>
      </c>
    </row>
    <row r="5368" ht="14.25" spans="1:8">
      <c r="A5368" s="3" t="str">
        <f>"30201417515"</f>
        <v>30201417515</v>
      </c>
      <c r="B5368" s="3">
        <v>4</v>
      </c>
      <c r="C5368" s="3">
        <v>175</v>
      </c>
      <c r="D5368" s="3">
        <v>15</v>
      </c>
      <c r="E5368" s="3" t="s">
        <v>12</v>
      </c>
      <c r="F5368" s="4">
        <v>84.5</v>
      </c>
      <c r="G5368" s="4"/>
      <c r="H5368" s="4">
        <f t="shared" si="548"/>
        <v>84.5</v>
      </c>
    </row>
    <row r="5369" ht="14.25" spans="1:8">
      <c r="A5369" s="3" t="str">
        <f>"30201417516"</f>
        <v>30201417516</v>
      </c>
      <c r="B5369" s="3">
        <v>4</v>
      </c>
      <c r="C5369" s="3">
        <v>175</v>
      </c>
      <c r="D5369" s="3">
        <v>16</v>
      </c>
      <c r="E5369" s="3" t="s">
        <v>12</v>
      </c>
      <c r="F5369" s="4">
        <v>84.5</v>
      </c>
      <c r="G5369" s="4"/>
      <c r="H5369" s="4">
        <f t="shared" si="548"/>
        <v>84.5</v>
      </c>
    </row>
    <row r="5370" ht="14.25" spans="1:8">
      <c r="A5370" s="3" t="str">
        <f>"30201417517"</f>
        <v>30201417517</v>
      </c>
      <c r="B5370" s="3">
        <v>4</v>
      </c>
      <c r="C5370" s="3">
        <v>175</v>
      </c>
      <c r="D5370" s="3">
        <v>17</v>
      </c>
      <c r="E5370" s="3" t="s">
        <v>12</v>
      </c>
      <c r="F5370" s="4">
        <v>86.5</v>
      </c>
      <c r="G5370" s="4"/>
      <c r="H5370" s="4">
        <f t="shared" si="548"/>
        <v>86.5</v>
      </c>
    </row>
    <row r="5371" ht="14.25" spans="1:8">
      <c r="A5371" s="3" t="str">
        <f>"30201417518"</f>
        <v>30201417518</v>
      </c>
      <c r="B5371" s="3">
        <v>4</v>
      </c>
      <c r="C5371" s="3">
        <v>175</v>
      </c>
      <c r="D5371" s="3">
        <v>18</v>
      </c>
      <c r="E5371" s="3" t="s">
        <v>12</v>
      </c>
      <c r="F5371" s="4">
        <v>77.5</v>
      </c>
      <c r="G5371" s="4"/>
      <c r="H5371" s="4">
        <f t="shared" si="548"/>
        <v>77.5</v>
      </c>
    </row>
    <row r="5372" ht="14.25" spans="1:8">
      <c r="A5372" s="3" t="str">
        <f>"30201417519"</f>
        <v>30201417519</v>
      </c>
      <c r="B5372" s="3">
        <v>4</v>
      </c>
      <c r="C5372" s="3">
        <v>175</v>
      </c>
      <c r="D5372" s="3">
        <v>19</v>
      </c>
      <c r="E5372" s="3" t="s">
        <v>12</v>
      </c>
      <c r="F5372" s="4">
        <v>70.5</v>
      </c>
      <c r="G5372" s="4"/>
      <c r="H5372" s="4">
        <f t="shared" si="548"/>
        <v>70.5</v>
      </c>
    </row>
    <row r="5373" ht="14.25" spans="1:8">
      <c r="A5373" s="3" t="str">
        <f>"30201417520"</f>
        <v>30201417520</v>
      </c>
      <c r="B5373" s="3">
        <v>4</v>
      </c>
      <c r="C5373" s="3">
        <v>175</v>
      </c>
      <c r="D5373" s="3">
        <v>20</v>
      </c>
      <c r="E5373" s="3" t="s">
        <v>12</v>
      </c>
      <c r="F5373" s="4">
        <v>68.5</v>
      </c>
      <c r="G5373" s="4"/>
      <c r="H5373" s="4">
        <f t="shared" si="548"/>
        <v>68.5</v>
      </c>
    </row>
    <row r="5374" ht="14.25" spans="1:8">
      <c r="A5374" s="3" t="str">
        <f>"30201417521"</f>
        <v>30201417521</v>
      </c>
      <c r="B5374" s="3">
        <v>4</v>
      </c>
      <c r="C5374" s="3">
        <v>175</v>
      </c>
      <c r="D5374" s="3">
        <v>21</v>
      </c>
      <c r="E5374" s="3" t="s">
        <v>12</v>
      </c>
      <c r="F5374" s="4">
        <v>78.5</v>
      </c>
      <c r="G5374" s="4"/>
      <c r="H5374" s="4">
        <f t="shared" si="548"/>
        <v>78.5</v>
      </c>
    </row>
    <row r="5375" ht="14.25" spans="1:8">
      <c r="A5375" s="3" t="str">
        <f>"30201417522"</f>
        <v>30201417522</v>
      </c>
      <c r="B5375" s="3">
        <v>4</v>
      </c>
      <c r="C5375" s="3">
        <v>175</v>
      </c>
      <c r="D5375" s="3">
        <v>22</v>
      </c>
      <c r="E5375" s="3" t="s">
        <v>12</v>
      </c>
      <c r="F5375" s="4">
        <v>86.5</v>
      </c>
      <c r="G5375" s="4"/>
      <c r="H5375" s="4">
        <f t="shared" si="548"/>
        <v>86.5</v>
      </c>
    </row>
    <row r="5376" ht="14.25" spans="1:8">
      <c r="A5376" s="3" t="str">
        <f>"30201417523"</f>
        <v>30201417523</v>
      </c>
      <c r="B5376" s="3">
        <v>4</v>
      </c>
      <c r="C5376" s="3">
        <v>175</v>
      </c>
      <c r="D5376" s="3">
        <v>23</v>
      </c>
      <c r="E5376" s="3" t="s">
        <v>12</v>
      </c>
      <c r="F5376" s="4">
        <v>71</v>
      </c>
      <c r="G5376" s="4"/>
      <c r="H5376" s="4">
        <f t="shared" si="548"/>
        <v>71</v>
      </c>
    </row>
    <row r="5377" ht="14.25" spans="1:8">
      <c r="A5377" s="3" t="str">
        <f>"30201417524"</f>
        <v>30201417524</v>
      </c>
      <c r="B5377" s="3">
        <v>4</v>
      </c>
      <c r="C5377" s="3">
        <v>175</v>
      </c>
      <c r="D5377" s="3">
        <v>24</v>
      </c>
      <c r="E5377" s="3" t="s">
        <v>12</v>
      </c>
      <c r="F5377" s="4">
        <v>66</v>
      </c>
      <c r="G5377" s="4"/>
      <c r="H5377" s="4">
        <f t="shared" si="548"/>
        <v>66</v>
      </c>
    </row>
    <row r="5378" ht="14.25" spans="1:8">
      <c r="A5378" s="3" t="str">
        <f>"30201417525"</f>
        <v>30201417525</v>
      </c>
      <c r="B5378" s="3">
        <v>4</v>
      </c>
      <c r="C5378" s="3">
        <v>175</v>
      </c>
      <c r="D5378" s="3">
        <v>25</v>
      </c>
      <c r="E5378" s="3" t="s">
        <v>12</v>
      </c>
      <c r="F5378" s="3">
        <v>0</v>
      </c>
      <c r="G5378" s="4"/>
      <c r="H5378" s="3">
        <v>0</v>
      </c>
    </row>
    <row r="5379" ht="14.25" spans="1:8">
      <c r="A5379" s="3" t="str">
        <f>"30201417526"</f>
        <v>30201417526</v>
      </c>
      <c r="B5379" s="3">
        <v>4</v>
      </c>
      <c r="C5379" s="3">
        <v>175</v>
      </c>
      <c r="D5379" s="3">
        <v>26</v>
      </c>
      <c r="E5379" s="3" t="s">
        <v>12</v>
      </c>
      <c r="F5379" s="4">
        <v>79</v>
      </c>
      <c r="G5379" s="4"/>
      <c r="H5379" s="4">
        <f t="shared" ref="H5379:H5386" si="549">F5379+G5379</f>
        <v>79</v>
      </c>
    </row>
    <row r="5380" ht="14.25" spans="1:8">
      <c r="A5380" s="3" t="str">
        <f>"30201417527"</f>
        <v>30201417527</v>
      </c>
      <c r="B5380" s="3">
        <v>4</v>
      </c>
      <c r="C5380" s="3">
        <v>175</v>
      </c>
      <c r="D5380" s="3">
        <v>27</v>
      </c>
      <c r="E5380" s="3" t="s">
        <v>12</v>
      </c>
      <c r="F5380" s="4">
        <v>66</v>
      </c>
      <c r="G5380" s="4"/>
      <c r="H5380" s="4">
        <f t="shared" si="549"/>
        <v>66</v>
      </c>
    </row>
    <row r="5381" ht="14.25" spans="1:8">
      <c r="A5381" s="3" t="str">
        <f>"30201417528"</f>
        <v>30201417528</v>
      </c>
      <c r="B5381" s="3">
        <v>4</v>
      </c>
      <c r="C5381" s="3">
        <v>175</v>
      </c>
      <c r="D5381" s="3">
        <v>28</v>
      </c>
      <c r="E5381" s="3" t="s">
        <v>12</v>
      </c>
      <c r="F5381" s="4">
        <v>61</v>
      </c>
      <c r="G5381" s="4"/>
      <c r="H5381" s="4">
        <f t="shared" si="549"/>
        <v>61</v>
      </c>
    </row>
    <row r="5382" ht="14.25" spans="1:8">
      <c r="A5382" s="3" t="str">
        <f>"30201417529"</f>
        <v>30201417529</v>
      </c>
      <c r="B5382" s="3">
        <v>4</v>
      </c>
      <c r="C5382" s="3">
        <v>175</v>
      </c>
      <c r="D5382" s="3">
        <v>29</v>
      </c>
      <c r="E5382" s="3" t="s">
        <v>12</v>
      </c>
      <c r="F5382" s="4">
        <v>68</v>
      </c>
      <c r="G5382" s="4"/>
      <c r="H5382" s="4">
        <f t="shared" si="549"/>
        <v>68</v>
      </c>
    </row>
    <row r="5383" ht="14.25" spans="1:8">
      <c r="A5383" s="3" t="str">
        <f>"30201417530"</f>
        <v>30201417530</v>
      </c>
      <c r="B5383" s="3">
        <v>4</v>
      </c>
      <c r="C5383" s="3">
        <v>175</v>
      </c>
      <c r="D5383" s="3">
        <v>30</v>
      </c>
      <c r="E5383" s="3" t="s">
        <v>12</v>
      </c>
      <c r="F5383" s="4">
        <v>69.5</v>
      </c>
      <c r="G5383" s="4"/>
      <c r="H5383" s="4">
        <f t="shared" si="549"/>
        <v>69.5</v>
      </c>
    </row>
    <row r="5384" ht="14.25" spans="1:8">
      <c r="A5384" s="3" t="str">
        <f>"30201417601"</f>
        <v>30201417601</v>
      </c>
      <c r="B5384" s="3">
        <v>4</v>
      </c>
      <c r="C5384" s="3">
        <v>176</v>
      </c>
      <c r="D5384" s="3">
        <v>1</v>
      </c>
      <c r="E5384" s="3" t="s">
        <v>12</v>
      </c>
      <c r="F5384" s="4">
        <v>51</v>
      </c>
      <c r="G5384" s="4"/>
      <c r="H5384" s="4">
        <f t="shared" si="549"/>
        <v>51</v>
      </c>
    </row>
    <row r="5385" ht="14.25" spans="1:8">
      <c r="A5385" s="3" t="str">
        <f>"30201417602"</f>
        <v>30201417602</v>
      </c>
      <c r="B5385" s="3">
        <v>4</v>
      </c>
      <c r="C5385" s="3">
        <v>176</v>
      </c>
      <c r="D5385" s="3">
        <v>2</v>
      </c>
      <c r="E5385" s="3" t="s">
        <v>12</v>
      </c>
      <c r="F5385" s="4">
        <v>78.5</v>
      </c>
      <c r="G5385" s="4"/>
      <c r="H5385" s="4">
        <f t="shared" si="549"/>
        <v>78.5</v>
      </c>
    </row>
    <row r="5386" ht="14.25" spans="1:8">
      <c r="A5386" s="3" t="str">
        <f>"30202417603"</f>
        <v>30202417603</v>
      </c>
      <c r="B5386" s="3">
        <v>4</v>
      </c>
      <c r="C5386" s="3">
        <v>176</v>
      </c>
      <c r="D5386" s="3">
        <v>3</v>
      </c>
      <c r="E5386" s="3" t="s">
        <v>12</v>
      </c>
      <c r="F5386" s="4">
        <v>74</v>
      </c>
      <c r="G5386" s="4"/>
      <c r="H5386" s="4">
        <f t="shared" si="549"/>
        <v>74</v>
      </c>
    </row>
    <row r="5387" ht="14.25" spans="1:8">
      <c r="A5387" s="3" t="str">
        <f>"30202417604"</f>
        <v>30202417604</v>
      </c>
      <c r="B5387" s="3">
        <v>4</v>
      </c>
      <c r="C5387" s="3">
        <v>176</v>
      </c>
      <c r="D5387" s="3">
        <v>4</v>
      </c>
      <c r="E5387" s="3" t="s">
        <v>12</v>
      </c>
      <c r="F5387" s="3">
        <v>0</v>
      </c>
      <c r="G5387" s="4"/>
      <c r="H5387" s="3">
        <v>0</v>
      </c>
    </row>
    <row r="5388" ht="14.25" spans="1:8">
      <c r="A5388" s="3" t="str">
        <f>"30202417605"</f>
        <v>30202417605</v>
      </c>
      <c r="B5388" s="3">
        <v>4</v>
      </c>
      <c r="C5388" s="3">
        <v>176</v>
      </c>
      <c r="D5388" s="3">
        <v>5</v>
      </c>
      <c r="E5388" s="3" t="s">
        <v>12</v>
      </c>
      <c r="F5388" s="4">
        <v>78.5</v>
      </c>
      <c r="G5388" s="4"/>
      <c r="H5388" s="4">
        <f t="shared" ref="H5388:H5396" si="550">F5388+G5388</f>
        <v>78.5</v>
      </c>
    </row>
    <row r="5389" ht="14.25" spans="1:8">
      <c r="A5389" s="3" t="str">
        <f>"30202417606"</f>
        <v>30202417606</v>
      </c>
      <c r="B5389" s="3">
        <v>4</v>
      </c>
      <c r="C5389" s="3">
        <v>176</v>
      </c>
      <c r="D5389" s="3">
        <v>6</v>
      </c>
      <c r="E5389" s="3" t="s">
        <v>12</v>
      </c>
      <c r="F5389" s="4">
        <v>74.5</v>
      </c>
      <c r="G5389" s="4"/>
      <c r="H5389" s="4">
        <f t="shared" si="550"/>
        <v>74.5</v>
      </c>
    </row>
    <row r="5390" ht="14.25" spans="1:8">
      <c r="A5390" s="3" t="str">
        <f>"30202417607"</f>
        <v>30202417607</v>
      </c>
      <c r="B5390" s="3">
        <v>4</v>
      </c>
      <c r="C5390" s="3">
        <v>176</v>
      </c>
      <c r="D5390" s="3">
        <v>7</v>
      </c>
      <c r="E5390" s="3" t="s">
        <v>12</v>
      </c>
      <c r="F5390" s="4">
        <v>84</v>
      </c>
      <c r="G5390" s="4"/>
      <c r="H5390" s="4">
        <f t="shared" si="550"/>
        <v>84</v>
      </c>
    </row>
    <row r="5391" ht="14.25" spans="1:8">
      <c r="A5391" s="3" t="str">
        <f>"30202417608"</f>
        <v>30202417608</v>
      </c>
      <c r="B5391" s="3">
        <v>4</v>
      </c>
      <c r="C5391" s="3">
        <v>176</v>
      </c>
      <c r="D5391" s="3">
        <v>8</v>
      </c>
      <c r="E5391" s="3" t="s">
        <v>12</v>
      </c>
      <c r="F5391" s="4">
        <v>87</v>
      </c>
      <c r="G5391" s="4"/>
      <c r="H5391" s="4">
        <f t="shared" si="550"/>
        <v>87</v>
      </c>
    </row>
    <row r="5392" ht="14.25" spans="1:8">
      <c r="A5392" s="3" t="str">
        <f>"30202417609"</f>
        <v>30202417609</v>
      </c>
      <c r="B5392" s="3">
        <v>4</v>
      </c>
      <c r="C5392" s="3">
        <v>176</v>
      </c>
      <c r="D5392" s="3">
        <v>9</v>
      </c>
      <c r="E5392" s="3" t="s">
        <v>12</v>
      </c>
      <c r="F5392" s="4">
        <v>84.5</v>
      </c>
      <c r="G5392" s="4"/>
      <c r="H5392" s="4">
        <f t="shared" si="550"/>
        <v>84.5</v>
      </c>
    </row>
    <row r="5393" ht="14.25" spans="1:8">
      <c r="A5393" s="3" t="str">
        <f>"30202417610"</f>
        <v>30202417610</v>
      </c>
      <c r="B5393" s="3">
        <v>4</v>
      </c>
      <c r="C5393" s="3">
        <v>176</v>
      </c>
      <c r="D5393" s="3">
        <v>10</v>
      </c>
      <c r="E5393" s="3" t="s">
        <v>12</v>
      </c>
      <c r="F5393" s="4">
        <v>62.5</v>
      </c>
      <c r="G5393" s="4"/>
      <c r="H5393" s="4">
        <f t="shared" si="550"/>
        <v>62.5</v>
      </c>
    </row>
    <row r="5394" ht="14.25" spans="1:8">
      <c r="A5394" s="3" t="str">
        <f>"30202417611"</f>
        <v>30202417611</v>
      </c>
      <c r="B5394" s="3">
        <v>4</v>
      </c>
      <c r="C5394" s="3">
        <v>176</v>
      </c>
      <c r="D5394" s="3">
        <v>11</v>
      </c>
      <c r="E5394" s="3" t="s">
        <v>12</v>
      </c>
      <c r="F5394" s="4">
        <v>81</v>
      </c>
      <c r="G5394" s="4"/>
      <c r="H5394" s="4">
        <f t="shared" si="550"/>
        <v>81</v>
      </c>
    </row>
    <row r="5395" ht="14.25" spans="1:8">
      <c r="A5395" s="3" t="str">
        <f>"30202417612"</f>
        <v>30202417612</v>
      </c>
      <c r="B5395" s="3">
        <v>4</v>
      </c>
      <c r="C5395" s="3">
        <v>176</v>
      </c>
      <c r="D5395" s="3">
        <v>12</v>
      </c>
      <c r="E5395" s="3" t="s">
        <v>12</v>
      </c>
      <c r="F5395" s="4">
        <v>66.5</v>
      </c>
      <c r="G5395" s="4"/>
      <c r="H5395" s="4">
        <f t="shared" si="550"/>
        <v>66.5</v>
      </c>
    </row>
    <row r="5396" ht="14.25" spans="1:8">
      <c r="A5396" s="3" t="str">
        <f>"30202417613"</f>
        <v>30202417613</v>
      </c>
      <c r="B5396" s="3">
        <v>4</v>
      </c>
      <c r="C5396" s="3">
        <v>176</v>
      </c>
      <c r="D5396" s="3">
        <v>13</v>
      </c>
      <c r="E5396" s="3" t="s">
        <v>12</v>
      </c>
      <c r="F5396" s="4">
        <v>80.5</v>
      </c>
      <c r="G5396" s="4"/>
      <c r="H5396" s="4">
        <f t="shared" si="550"/>
        <v>80.5</v>
      </c>
    </row>
    <row r="5397" ht="14.25" spans="1:8">
      <c r="A5397" s="3" t="str">
        <f>"30202417614"</f>
        <v>30202417614</v>
      </c>
      <c r="B5397" s="3">
        <v>4</v>
      </c>
      <c r="C5397" s="3">
        <v>176</v>
      </c>
      <c r="D5397" s="3">
        <v>14</v>
      </c>
      <c r="E5397" s="3" t="s">
        <v>12</v>
      </c>
      <c r="F5397" s="3">
        <v>0</v>
      </c>
      <c r="G5397" s="4"/>
      <c r="H5397" s="3">
        <v>0</v>
      </c>
    </row>
    <row r="5398" ht="14.25" spans="1:8">
      <c r="A5398" s="3" t="str">
        <f>"30202417615"</f>
        <v>30202417615</v>
      </c>
      <c r="B5398" s="3">
        <v>4</v>
      </c>
      <c r="C5398" s="3">
        <v>176</v>
      </c>
      <c r="D5398" s="3">
        <v>15</v>
      </c>
      <c r="E5398" s="3" t="s">
        <v>12</v>
      </c>
      <c r="F5398" s="4">
        <v>64.5</v>
      </c>
      <c r="G5398" s="4"/>
      <c r="H5398" s="4">
        <f t="shared" ref="H5398:H5414" si="551">F5398+G5398</f>
        <v>64.5</v>
      </c>
    </row>
    <row r="5399" ht="14.25" spans="1:8">
      <c r="A5399" s="3" t="str">
        <f>"30202417616"</f>
        <v>30202417616</v>
      </c>
      <c r="B5399" s="3">
        <v>4</v>
      </c>
      <c r="C5399" s="3">
        <v>176</v>
      </c>
      <c r="D5399" s="3">
        <v>16</v>
      </c>
      <c r="E5399" s="3" t="s">
        <v>12</v>
      </c>
      <c r="F5399" s="4">
        <v>72</v>
      </c>
      <c r="G5399" s="4"/>
      <c r="H5399" s="4">
        <f t="shared" si="551"/>
        <v>72</v>
      </c>
    </row>
    <row r="5400" ht="14.25" spans="1:8">
      <c r="A5400" s="3" t="str">
        <f>"30202417617"</f>
        <v>30202417617</v>
      </c>
      <c r="B5400" s="3">
        <v>4</v>
      </c>
      <c r="C5400" s="3">
        <v>176</v>
      </c>
      <c r="D5400" s="3">
        <v>17</v>
      </c>
      <c r="E5400" s="3" t="s">
        <v>12</v>
      </c>
      <c r="F5400" s="4">
        <v>81.5</v>
      </c>
      <c r="G5400" s="4"/>
      <c r="H5400" s="4">
        <f t="shared" si="551"/>
        <v>81.5</v>
      </c>
    </row>
    <row r="5401" ht="14.25" spans="1:8">
      <c r="A5401" s="3" t="str">
        <f>"30202417618"</f>
        <v>30202417618</v>
      </c>
      <c r="B5401" s="3">
        <v>4</v>
      </c>
      <c r="C5401" s="3">
        <v>176</v>
      </c>
      <c r="D5401" s="3">
        <v>18</v>
      </c>
      <c r="E5401" s="3" t="s">
        <v>12</v>
      </c>
      <c r="F5401" s="4">
        <v>64</v>
      </c>
      <c r="G5401" s="4"/>
      <c r="H5401" s="4">
        <f t="shared" si="551"/>
        <v>64</v>
      </c>
    </row>
    <row r="5402" ht="14.25" spans="1:8">
      <c r="A5402" s="3" t="str">
        <f>"30202417619"</f>
        <v>30202417619</v>
      </c>
      <c r="B5402" s="3">
        <v>4</v>
      </c>
      <c r="C5402" s="3">
        <v>176</v>
      </c>
      <c r="D5402" s="3">
        <v>19</v>
      </c>
      <c r="E5402" s="3" t="s">
        <v>12</v>
      </c>
      <c r="F5402" s="4">
        <v>84</v>
      </c>
      <c r="G5402" s="4"/>
      <c r="H5402" s="4">
        <f t="shared" si="551"/>
        <v>84</v>
      </c>
    </row>
    <row r="5403" ht="14.25" spans="1:8">
      <c r="A5403" s="3" t="str">
        <f>"30202417620"</f>
        <v>30202417620</v>
      </c>
      <c r="B5403" s="3">
        <v>4</v>
      </c>
      <c r="C5403" s="3">
        <v>176</v>
      </c>
      <c r="D5403" s="3">
        <v>20</v>
      </c>
      <c r="E5403" s="3" t="s">
        <v>12</v>
      </c>
      <c r="F5403" s="4">
        <v>58.5</v>
      </c>
      <c r="G5403" s="4"/>
      <c r="H5403" s="4">
        <f t="shared" si="551"/>
        <v>58.5</v>
      </c>
    </row>
    <row r="5404" ht="14.25" spans="1:8">
      <c r="A5404" s="3" t="str">
        <f>"30202417621"</f>
        <v>30202417621</v>
      </c>
      <c r="B5404" s="3">
        <v>4</v>
      </c>
      <c r="C5404" s="3">
        <v>176</v>
      </c>
      <c r="D5404" s="3">
        <v>21</v>
      </c>
      <c r="E5404" s="3" t="s">
        <v>12</v>
      </c>
      <c r="F5404" s="4">
        <v>85</v>
      </c>
      <c r="G5404" s="4"/>
      <c r="H5404" s="4">
        <f t="shared" si="551"/>
        <v>85</v>
      </c>
    </row>
    <row r="5405" ht="14.25" spans="1:8">
      <c r="A5405" s="3" t="str">
        <f>"30202417622"</f>
        <v>30202417622</v>
      </c>
      <c r="B5405" s="3">
        <v>4</v>
      </c>
      <c r="C5405" s="3">
        <v>176</v>
      </c>
      <c r="D5405" s="3">
        <v>22</v>
      </c>
      <c r="E5405" s="3" t="s">
        <v>12</v>
      </c>
      <c r="F5405" s="4">
        <v>59.5</v>
      </c>
      <c r="G5405" s="4"/>
      <c r="H5405" s="4">
        <f t="shared" si="551"/>
        <v>59.5</v>
      </c>
    </row>
    <row r="5406" ht="14.25" spans="1:8">
      <c r="A5406" s="3" t="str">
        <f>"30202417623"</f>
        <v>30202417623</v>
      </c>
      <c r="B5406" s="3">
        <v>4</v>
      </c>
      <c r="C5406" s="3">
        <v>176</v>
      </c>
      <c r="D5406" s="3">
        <v>23</v>
      </c>
      <c r="E5406" s="3" t="s">
        <v>12</v>
      </c>
      <c r="F5406" s="4">
        <v>82.5</v>
      </c>
      <c r="G5406" s="4"/>
      <c r="H5406" s="4">
        <f t="shared" si="551"/>
        <v>82.5</v>
      </c>
    </row>
    <row r="5407" ht="14.25" spans="1:8">
      <c r="A5407" s="3" t="str">
        <f>"30202417624"</f>
        <v>30202417624</v>
      </c>
      <c r="B5407" s="3">
        <v>4</v>
      </c>
      <c r="C5407" s="3">
        <v>176</v>
      </c>
      <c r="D5407" s="3">
        <v>24</v>
      </c>
      <c r="E5407" s="3" t="s">
        <v>12</v>
      </c>
      <c r="F5407" s="4">
        <v>60</v>
      </c>
      <c r="G5407" s="4"/>
      <c r="H5407" s="4">
        <f t="shared" si="551"/>
        <v>60</v>
      </c>
    </row>
    <row r="5408" ht="14.25" spans="1:8">
      <c r="A5408" s="3" t="str">
        <f>"30202417625"</f>
        <v>30202417625</v>
      </c>
      <c r="B5408" s="3">
        <v>4</v>
      </c>
      <c r="C5408" s="3">
        <v>176</v>
      </c>
      <c r="D5408" s="3">
        <v>25</v>
      </c>
      <c r="E5408" s="3" t="s">
        <v>12</v>
      </c>
      <c r="F5408" s="4">
        <v>63</v>
      </c>
      <c r="G5408" s="4"/>
      <c r="H5408" s="4">
        <f t="shared" si="551"/>
        <v>63</v>
      </c>
    </row>
    <row r="5409" ht="14.25" spans="1:8">
      <c r="A5409" s="3" t="str">
        <f>"30202417626"</f>
        <v>30202417626</v>
      </c>
      <c r="B5409" s="3">
        <v>4</v>
      </c>
      <c r="C5409" s="3">
        <v>176</v>
      </c>
      <c r="D5409" s="3">
        <v>26</v>
      </c>
      <c r="E5409" s="3" t="s">
        <v>12</v>
      </c>
      <c r="F5409" s="4">
        <v>79</v>
      </c>
      <c r="G5409" s="4"/>
      <c r="H5409" s="4">
        <f t="shared" si="551"/>
        <v>79</v>
      </c>
    </row>
    <row r="5410" ht="14.25" spans="1:8">
      <c r="A5410" s="3" t="str">
        <f>"30202417627"</f>
        <v>30202417627</v>
      </c>
      <c r="B5410" s="3">
        <v>4</v>
      </c>
      <c r="C5410" s="3">
        <v>176</v>
      </c>
      <c r="D5410" s="3">
        <v>27</v>
      </c>
      <c r="E5410" s="3" t="s">
        <v>12</v>
      </c>
      <c r="F5410" s="4">
        <v>82.5</v>
      </c>
      <c r="G5410" s="4"/>
      <c r="H5410" s="4">
        <f t="shared" si="551"/>
        <v>82.5</v>
      </c>
    </row>
    <row r="5411" ht="14.25" spans="1:8">
      <c r="A5411" s="3" t="str">
        <f>"30202417628"</f>
        <v>30202417628</v>
      </c>
      <c r="B5411" s="3">
        <v>4</v>
      </c>
      <c r="C5411" s="3">
        <v>176</v>
      </c>
      <c r="D5411" s="3">
        <v>28</v>
      </c>
      <c r="E5411" s="3" t="s">
        <v>12</v>
      </c>
      <c r="F5411" s="4">
        <v>75</v>
      </c>
      <c r="G5411" s="4"/>
      <c r="H5411" s="4">
        <f t="shared" si="551"/>
        <v>75</v>
      </c>
    </row>
    <row r="5412" ht="14.25" spans="1:8">
      <c r="A5412" s="3" t="str">
        <f>"30202417629"</f>
        <v>30202417629</v>
      </c>
      <c r="B5412" s="3">
        <v>4</v>
      </c>
      <c r="C5412" s="3">
        <v>176</v>
      </c>
      <c r="D5412" s="3">
        <v>29</v>
      </c>
      <c r="E5412" s="3" t="s">
        <v>12</v>
      </c>
      <c r="F5412" s="4">
        <v>55.5</v>
      </c>
      <c r="G5412" s="4"/>
      <c r="H5412" s="4">
        <f t="shared" si="551"/>
        <v>55.5</v>
      </c>
    </row>
    <row r="5413" ht="14.25" spans="1:8">
      <c r="A5413" s="3" t="str">
        <f>"30202417630"</f>
        <v>30202417630</v>
      </c>
      <c r="B5413" s="3">
        <v>4</v>
      </c>
      <c r="C5413" s="3">
        <v>176</v>
      </c>
      <c r="D5413" s="3">
        <v>30</v>
      </c>
      <c r="E5413" s="3" t="s">
        <v>12</v>
      </c>
      <c r="F5413" s="4">
        <v>80.5</v>
      </c>
      <c r="G5413" s="4"/>
      <c r="H5413" s="4">
        <f t="shared" si="551"/>
        <v>80.5</v>
      </c>
    </row>
    <row r="5414" ht="14.25" spans="1:8">
      <c r="A5414" s="3" t="str">
        <f>"30202417701"</f>
        <v>30202417701</v>
      </c>
      <c r="B5414" s="3">
        <v>4</v>
      </c>
      <c r="C5414" s="3">
        <v>177</v>
      </c>
      <c r="D5414" s="3">
        <v>1</v>
      </c>
      <c r="E5414" s="3" t="s">
        <v>12</v>
      </c>
      <c r="F5414" s="4">
        <v>62.5</v>
      </c>
      <c r="G5414" s="4"/>
      <c r="H5414" s="4">
        <f t="shared" si="551"/>
        <v>62.5</v>
      </c>
    </row>
    <row r="5415" ht="14.25" spans="1:8">
      <c r="A5415" s="3" t="str">
        <f>"30202417702"</f>
        <v>30202417702</v>
      </c>
      <c r="B5415" s="3">
        <v>4</v>
      </c>
      <c r="C5415" s="3">
        <v>177</v>
      </c>
      <c r="D5415" s="3">
        <v>2</v>
      </c>
      <c r="E5415" s="3" t="s">
        <v>12</v>
      </c>
      <c r="F5415" s="3">
        <v>0</v>
      </c>
      <c r="G5415" s="4"/>
      <c r="H5415" s="3">
        <v>0</v>
      </c>
    </row>
    <row r="5416" ht="14.25" spans="1:8">
      <c r="A5416" s="3" t="str">
        <f>"30202417703"</f>
        <v>30202417703</v>
      </c>
      <c r="B5416" s="3">
        <v>4</v>
      </c>
      <c r="C5416" s="3">
        <v>177</v>
      </c>
      <c r="D5416" s="3">
        <v>3</v>
      </c>
      <c r="E5416" s="3" t="s">
        <v>12</v>
      </c>
      <c r="F5416" s="4">
        <v>81.5</v>
      </c>
      <c r="G5416" s="4"/>
      <c r="H5416" s="4">
        <f t="shared" ref="H5416:H5433" si="552">F5416+G5416</f>
        <v>81.5</v>
      </c>
    </row>
    <row r="5417" ht="14.25" spans="1:8">
      <c r="A5417" s="3" t="str">
        <f>"30202417704"</f>
        <v>30202417704</v>
      </c>
      <c r="B5417" s="3">
        <v>4</v>
      </c>
      <c r="C5417" s="3">
        <v>177</v>
      </c>
      <c r="D5417" s="3">
        <v>4</v>
      </c>
      <c r="E5417" s="3" t="s">
        <v>12</v>
      </c>
      <c r="F5417" s="4">
        <v>74</v>
      </c>
      <c r="G5417" s="4"/>
      <c r="H5417" s="4">
        <f t="shared" si="552"/>
        <v>74</v>
      </c>
    </row>
    <row r="5418" ht="14.25" spans="1:8">
      <c r="A5418" s="3" t="str">
        <f>"30202417705"</f>
        <v>30202417705</v>
      </c>
      <c r="B5418" s="3">
        <v>4</v>
      </c>
      <c r="C5418" s="3">
        <v>177</v>
      </c>
      <c r="D5418" s="3">
        <v>5</v>
      </c>
      <c r="E5418" s="3" t="s">
        <v>12</v>
      </c>
      <c r="F5418" s="4">
        <v>75.5</v>
      </c>
      <c r="G5418" s="4"/>
      <c r="H5418" s="4">
        <f t="shared" si="552"/>
        <v>75.5</v>
      </c>
    </row>
    <row r="5419" ht="14.25" spans="1:8">
      <c r="A5419" s="3" t="str">
        <f>"30202417706"</f>
        <v>30202417706</v>
      </c>
      <c r="B5419" s="3">
        <v>4</v>
      </c>
      <c r="C5419" s="3">
        <v>177</v>
      </c>
      <c r="D5419" s="3">
        <v>6</v>
      </c>
      <c r="E5419" s="3" t="s">
        <v>12</v>
      </c>
      <c r="F5419" s="4">
        <v>77.5</v>
      </c>
      <c r="G5419" s="4"/>
      <c r="H5419" s="4">
        <f t="shared" si="552"/>
        <v>77.5</v>
      </c>
    </row>
    <row r="5420" ht="14.25" spans="1:8">
      <c r="A5420" s="3" t="str">
        <f>"30202417707"</f>
        <v>30202417707</v>
      </c>
      <c r="B5420" s="3">
        <v>4</v>
      </c>
      <c r="C5420" s="3">
        <v>177</v>
      </c>
      <c r="D5420" s="3">
        <v>7</v>
      </c>
      <c r="E5420" s="3" t="s">
        <v>12</v>
      </c>
      <c r="F5420" s="4">
        <v>57.5</v>
      </c>
      <c r="G5420" s="4"/>
      <c r="H5420" s="4">
        <f t="shared" si="552"/>
        <v>57.5</v>
      </c>
    </row>
    <row r="5421" ht="14.25" spans="1:8">
      <c r="A5421" s="3" t="str">
        <f>"30202417708"</f>
        <v>30202417708</v>
      </c>
      <c r="B5421" s="3">
        <v>4</v>
      </c>
      <c r="C5421" s="3">
        <v>177</v>
      </c>
      <c r="D5421" s="3">
        <v>8</v>
      </c>
      <c r="E5421" s="3" t="s">
        <v>12</v>
      </c>
      <c r="F5421" s="4">
        <v>79.5</v>
      </c>
      <c r="G5421" s="4"/>
      <c r="H5421" s="4">
        <f t="shared" si="552"/>
        <v>79.5</v>
      </c>
    </row>
    <row r="5422" ht="14.25" spans="1:8">
      <c r="A5422" s="3" t="str">
        <f>"30202417709"</f>
        <v>30202417709</v>
      </c>
      <c r="B5422" s="3">
        <v>4</v>
      </c>
      <c r="C5422" s="3">
        <v>177</v>
      </c>
      <c r="D5422" s="3">
        <v>9</v>
      </c>
      <c r="E5422" s="3" t="s">
        <v>12</v>
      </c>
      <c r="F5422" s="4">
        <v>77.5</v>
      </c>
      <c r="G5422" s="4"/>
      <c r="H5422" s="4">
        <f t="shared" si="552"/>
        <v>77.5</v>
      </c>
    </row>
    <row r="5423" ht="14.25" spans="1:8">
      <c r="A5423" s="3" t="str">
        <f>"30202417710"</f>
        <v>30202417710</v>
      </c>
      <c r="B5423" s="3">
        <v>4</v>
      </c>
      <c r="C5423" s="3">
        <v>177</v>
      </c>
      <c r="D5423" s="3">
        <v>10</v>
      </c>
      <c r="E5423" s="3" t="s">
        <v>12</v>
      </c>
      <c r="F5423" s="4">
        <v>70</v>
      </c>
      <c r="G5423" s="4"/>
      <c r="H5423" s="4">
        <f t="shared" si="552"/>
        <v>70</v>
      </c>
    </row>
    <row r="5424" ht="14.25" spans="1:8">
      <c r="A5424" s="3" t="str">
        <f>"30202417711"</f>
        <v>30202417711</v>
      </c>
      <c r="B5424" s="3">
        <v>4</v>
      </c>
      <c r="C5424" s="3">
        <v>177</v>
      </c>
      <c r="D5424" s="3">
        <v>11</v>
      </c>
      <c r="E5424" s="3" t="s">
        <v>12</v>
      </c>
      <c r="F5424" s="4">
        <v>89</v>
      </c>
      <c r="G5424" s="4"/>
      <c r="H5424" s="4">
        <f t="shared" si="552"/>
        <v>89</v>
      </c>
    </row>
    <row r="5425" ht="14.25" spans="1:8">
      <c r="A5425" s="3" t="str">
        <f>"30202417712"</f>
        <v>30202417712</v>
      </c>
      <c r="B5425" s="3">
        <v>4</v>
      </c>
      <c r="C5425" s="3">
        <v>177</v>
      </c>
      <c r="D5425" s="3">
        <v>12</v>
      </c>
      <c r="E5425" s="3" t="s">
        <v>12</v>
      </c>
      <c r="F5425" s="4">
        <v>73.5</v>
      </c>
      <c r="G5425" s="4"/>
      <c r="H5425" s="4">
        <f t="shared" si="552"/>
        <v>73.5</v>
      </c>
    </row>
    <row r="5426" ht="14.25" spans="1:8">
      <c r="A5426" s="3" t="str">
        <f>"30202417713"</f>
        <v>30202417713</v>
      </c>
      <c r="B5426" s="3">
        <v>4</v>
      </c>
      <c r="C5426" s="3">
        <v>177</v>
      </c>
      <c r="D5426" s="3">
        <v>13</v>
      </c>
      <c r="E5426" s="3" t="s">
        <v>12</v>
      </c>
      <c r="F5426" s="4">
        <v>87</v>
      </c>
      <c r="G5426" s="4"/>
      <c r="H5426" s="4">
        <f t="shared" si="552"/>
        <v>87</v>
      </c>
    </row>
    <row r="5427" ht="14.25" spans="1:8">
      <c r="A5427" s="3" t="str">
        <f>"30301417714"</f>
        <v>30301417714</v>
      </c>
      <c r="B5427" s="3">
        <v>4</v>
      </c>
      <c r="C5427" s="3">
        <v>177</v>
      </c>
      <c r="D5427" s="3">
        <v>14</v>
      </c>
      <c r="E5427" s="3" t="s">
        <v>12</v>
      </c>
      <c r="F5427" s="4">
        <v>80</v>
      </c>
      <c r="G5427" s="4"/>
      <c r="H5427" s="4">
        <f t="shared" si="552"/>
        <v>80</v>
      </c>
    </row>
    <row r="5428" ht="14.25" spans="1:8">
      <c r="A5428" s="3" t="str">
        <f>"30301417715"</f>
        <v>30301417715</v>
      </c>
      <c r="B5428" s="3">
        <v>4</v>
      </c>
      <c r="C5428" s="3">
        <v>177</v>
      </c>
      <c r="D5428" s="3">
        <v>15</v>
      </c>
      <c r="E5428" s="3" t="s">
        <v>12</v>
      </c>
      <c r="F5428" s="4">
        <v>69</v>
      </c>
      <c r="G5428" s="4"/>
      <c r="H5428" s="4">
        <f t="shared" si="552"/>
        <v>69</v>
      </c>
    </row>
    <row r="5429" ht="14.25" spans="1:8">
      <c r="A5429" s="3" t="str">
        <f>"30301417716"</f>
        <v>30301417716</v>
      </c>
      <c r="B5429" s="3">
        <v>4</v>
      </c>
      <c r="C5429" s="3">
        <v>177</v>
      </c>
      <c r="D5429" s="3">
        <v>16</v>
      </c>
      <c r="E5429" s="3" t="s">
        <v>12</v>
      </c>
      <c r="F5429" s="4">
        <v>69.5</v>
      </c>
      <c r="G5429" s="4"/>
      <c r="H5429" s="4">
        <f t="shared" si="552"/>
        <v>69.5</v>
      </c>
    </row>
    <row r="5430" ht="14.25" spans="1:8">
      <c r="A5430" s="3" t="str">
        <f>"30301417717"</f>
        <v>30301417717</v>
      </c>
      <c r="B5430" s="3">
        <v>4</v>
      </c>
      <c r="C5430" s="3">
        <v>177</v>
      </c>
      <c r="D5430" s="3">
        <v>17</v>
      </c>
      <c r="E5430" s="3" t="s">
        <v>12</v>
      </c>
      <c r="F5430" s="4">
        <v>72.5</v>
      </c>
      <c r="G5430" s="4"/>
      <c r="H5430" s="4">
        <f t="shared" si="552"/>
        <v>72.5</v>
      </c>
    </row>
    <row r="5431" ht="14.25" spans="1:8">
      <c r="A5431" s="3" t="str">
        <f>"30301417718"</f>
        <v>30301417718</v>
      </c>
      <c r="B5431" s="3">
        <v>4</v>
      </c>
      <c r="C5431" s="3">
        <v>177</v>
      </c>
      <c r="D5431" s="3">
        <v>18</v>
      </c>
      <c r="E5431" s="3" t="s">
        <v>12</v>
      </c>
      <c r="F5431" s="4">
        <v>71.5</v>
      </c>
      <c r="G5431" s="4"/>
      <c r="H5431" s="4">
        <f t="shared" si="552"/>
        <v>71.5</v>
      </c>
    </row>
    <row r="5432" ht="14.25" spans="1:8">
      <c r="A5432" s="3" t="str">
        <f>"30301417719"</f>
        <v>30301417719</v>
      </c>
      <c r="B5432" s="3">
        <v>4</v>
      </c>
      <c r="C5432" s="3">
        <v>177</v>
      </c>
      <c r="D5432" s="3">
        <v>19</v>
      </c>
      <c r="E5432" s="3" t="s">
        <v>12</v>
      </c>
      <c r="F5432" s="4">
        <v>71.5</v>
      </c>
      <c r="G5432" s="4"/>
      <c r="H5432" s="4">
        <f t="shared" si="552"/>
        <v>71.5</v>
      </c>
    </row>
    <row r="5433" ht="14.25" spans="1:8">
      <c r="A5433" s="3" t="str">
        <f>"30301417720"</f>
        <v>30301417720</v>
      </c>
      <c r="B5433" s="3">
        <v>4</v>
      </c>
      <c r="C5433" s="3">
        <v>177</v>
      </c>
      <c r="D5433" s="3">
        <v>20</v>
      </c>
      <c r="E5433" s="3" t="s">
        <v>12</v>
      </c>
      <c r="F5433" s="4">
        <v>83</v>
      </c>
      <c r="G5433" s="4"/>
      <c r="H5433" s="4">
        <f t="shared" si="552"/>
        <v>83</v>
      </c>
    </row>
    <row r="5434" ht="14.25" spans="1:8">
      <c r="A5434" s="3" t="str">
        <f>"30301417721"</f>
        <v>30301417721</v>
      </c>
      <c r="B5434" s="3">
        <v>4</v>
      </c>
      <c r="C5434" s="3">
        <v>177</v>
      </c>
      <c r="D5434" s="3">
        <v>21</v>
      </c>
      <c r="E5434" s="3" t="s">
        <v>12</v>
      </c>
      <c r="F5434" s="3">
        <v>0</v>
      </c>
      <c r="G5434" s="4"/>
      <c r="H5434" s="3">
        <v>0</v>
      </c>
    </row>
    <row r="5435" ht="14.25" spans="1:8">
      <c r="A5435" s="3" t="str">
        <f>"30301417722"</f>
        <v>30301417722</v>
      </c>
      <c r="B5435" s="3">
        <v>4</v>
      </c>
      <c r="C5435" s="3">
        <v>177</v>
      </c>
      <c r="D5435" s="3">
        <v>22</v>
      </c>
      <c r="E5435" s="3" t="s">
        <v>12</v>
      </c>
      <c r="F5435" s="4">
        <v>80</v>
      </c>
      <c r="G5435" s="4"/>
      <c r="H5435" s="4">
        <f t="shared" ref="H5435:H5441" si="553">F5435+G5435</f>
        <v>80</v>
      </c>
    </row>
    <row r="5436" ht="14.25" spans="1:8">
      <c r="A5436" s="3" t="str">
        <f>"30301417723"</f>
        <v>30301417723</v>
      </c>
      <c r="B5436" s="3">
        <v>4</v>
      </c>
      <c r="C5436" s="3">
        <v>177</v>
      </c>
      <c r="D5436" s="3">
        <v>23</v>
      </c>
      <c r="E5436" s="3" t="s">
        <v>12</v>
      </c>
      <c r="F5436" s="4">
        <v>55</v>
      </c>
      <c r="G5436" s="4"/>
      <c r="H5436" s="4">
        <f t="shared" si="553"/>
        <v>55</v>
      </c>
    </row>
    <row r="5437" ht="14.25" spans="1:8">
      <c r="A5437" s="3" t="str">
        <f>"30301417724"</f>
        <v>30301417724</v>
      </c>
      <c r="B5437" s="3">
        <v>4</v>
      </c>
      <c r="C5437" s="3">
        <v>177</v>
      </c>
      <c r="D5437" s="3">
        <v>24</v>
      </c>
      <c r="E5437" s="3" t="s">
        <v>12</v>
      </c>
      <c r="F5437" s="3">
        <v>0</v>
      </c>
      <c r="G5437" s="4"/>
      <c r="H5437" s="3">
        <v>0</v>
      </c>
    </row>
    <row r="5438" ht="14.25" spans="1:8">
      <c r="A5438" s="3" t="str">
        <f>"30301417725"</f>
        <v>30301417725</v>
      </c>
      <c r="B5438" s="3">
        <v>4</v>
      </c>
      <c r="C5438" s="3">
        <v>177</v>
      </c>
      <c r="D5438" s="3">
        <v>25</v>
      </c>
      <c r="E5438" s="3" t="s">
        <v>12</v>
      </c>
      <c r="F5438" s="4">
        <v>81.5</v>
      </c>
      <c r="G5438" s="4"/>
      <c r="H5438" s="4">
        <f t="shared" si="553"/>
        <v>81.5</v>
      </c>
    </row>
    <row r="5439" ht="14.25" spans="1:8">
      <c r="A5439" s="3" t="str">
        <f>"30301417726"</f>
        <v>30301417726</v>
      </c>
      <c r="B5439" s="3">
        <v>4</v>
      </c>
      <c r="C5439" s="3">
        <v>177</v>
      </c>
      <c r="D5439" s="3">
        <v>26</v>
      </c>
      <c r="E5439" s="3" t="s">
        <v>12</v>
      </c>
      <c r="F5439" s="4">
        <v>85</v>
      </c>
      <c r="G5439" s="4"/>
      <c r="H5439" s="4">
        <f t="shared" si="553"/>
        <v>85</v>
      </c>
    </row>
    <row r="5440" ht="14.25" spans="1:8">
      <c r="A5440" s="3" t="str">
        <f>"30301417727"</f>
        <v>30301417727</v>
      </c>
      <c r="B5440" s="3">
        <v>4</v>
      </c>
      <c r="C5440" s="3">
        <v>177</v>
      </c>
      <c r="D5440" s="3">
        <v>27</v>
      </c>
      <c r="E5440" s="3" t="s">
        <v>12</v>
      </c>
      <c r="F5440" s="4">
        <v>74.5</v>
      </c>
      <c r="G5440" s="4"/>
      <c r="H5440" s="4">
        <f t="shared" si="553"/>
        <v>74.5</v>
      </c>
    </row>
    <row r="5441" ht="14.25" spans="1:8">
      <c r="A5441" s="3" t="str">
        <f>"30301417728"</f>
        <v>30301417728</v>
      </c>
      <c r="B5441" s="3">
        <v>4</v>
      </c>
      <c r="C5441" s="3">
        <v>177</v>
      </c>
      <c r="D5441" s="3">
        <v>28</v>
      </c>
      <c r="E5441" s="3" t="s">
        <v>12</v>
      </c>
      <c r="F5441" s="4">
        <v>79.5</v>
      </c>
      <c r="G5441" s="4"/>
      <c r="H5441" s="4">
        <f t="shared" si="553"/>
        <v>79.5</v>
      </c>
    </row>
    <row r="5442" ht="14.25" spans="1:8">
      <c r="A5442" s="3" t="str">
        <f>"30301417729"</f>
        <v>30301417729</v>
      </c>
      <c r="B5442" s="3">
        <v>4</v>
      </c>
      <c r="C5442" s="3">
        <v>177</v>
      </c>
      <c r="D5442" s="3">
        <v>29</v>
      </c>
      <c r="E5442" s="3" t="s">
        <v>12</v>
      </c>
      <c r="F5442" s="3">
        <v>0</v>
      </c>
      <c r="G5442" s="4"/>
      <c r="H5442" s="3">
        <v>0</v>
      </c>
    </row>
    <row r="5443" ht="14.25" spans="1:8">
      <c r="A5443" s="3" t="str">
        <f>"30301417730"</f>
        <v>30301417730</v>
      </c>
      <c r="B5443" s="3">
        <v>4</v>
      </c>
      <c r="C5443" s="3">
        <v>177</v>
      </c>
      <c r="D5443" s="3">
        <v>30</v>
      </c>
      <c r="E5443" s="3" t="s">
        <v>12</v>
      </c>
      <c r="F5443" s="4">
        <v>74.5</v>
      </c>
      <c r="G5443" s="4"/>
      <c r="H5443" s="4">
        <f t="shared" ref="H5443:H5448" si="554">F5443+G5443</f>
        <v>74.5</v>
      </c>
    </row>
    <row r="5444" ht="14.25" spans="1:8">
      <c r="A5444" s="3" t="str">
        <f>"30301417801"</f>
        <v>30301417801</v>
      </c>
      <c r="B5444" s="3">
        <v>4</v>
      </c>
      <c r="C5444" s="3">
        <v>178</v>
      </c>
      <c r="D5444" s="3">
        <v>1</v>
      </c>
      <c r="E5444" s="3" t="s">
        <v>12</v>
      </c>
      <c r="F5444" s="4">
        <v>56.5</v>
      </c>
      <c r="G5444" s="4"/>
      <c r="H5444" s="4">
        <f t="shared" si="554"/>
        <v>56.5</v>
      </c>
    </row>
    <row r="5445" ht="14.25" spans="1:8">
      <c r="A5445" s="3" t="str">
        <f>"30301417802"</f>
        <v>30301417802</v>
      </c>
      <c r="B5445" s="3">
        <v>4</v>
      </c>
      <c r="C5445" s="3">
        <v>178</v>
      </c>
      <c r="D5445" s="3">
        <v>2</v>
      </c>
      <c r="E5445" s="3" t="s">
        <v>12</v>
      </c>
      <c r="F5445" s="4">
        <v>62</v>
      </c>
      <c r="G5445" s="4"/>
      <c r="H5445" s="4">
        <f t="shared" si="554"/>
        <v>62</v>
      </c>
    </row>
    <row r="5446" ht="14.25" spans="1:8">
      <c r="A5446" s="3" t="str">
        <f>"30301417803"</f>
        <v>30301417803</v>
      </c>
      <c r="B5446" s="3">
        <v>4</v>
      </c>
      <c r="C5446" s="3">
        <v>178</v>
      </c>
      <c r="D5446" s="3">
        <v>3</v>
      </c>
      <c r="E5446" s="3" t="s">
        <v>12</v>
      </c>
      <c r="F5446" s="4">
        <v>66</v>
      </c>
      <c r="G5446" s="4"/>
      <c r="H5446" s="4">
        <f t="shared" si="554"/>
        <v>66</v>
      </c>
    </row>
    <row r="5447" ht="14.25" spans="1:8">
      <c r="A5447" s="3" t="str">
        <f>"30301417804"</f>
        <v>30301417804</v>
      </c>
      <c r="B5447" s="3">
        <v>4</v>
      </c>
      <c r="C5447" s="3">
        <v>178</v>
      </c>
      <c r="D5447" s="3">
        <v>4</v>
      </c>
      <c r="E5447" s="3" t="s">
        <v>12</v>
      </c>
      <c r="F5447" s="4">
        <v>84</v>
      </c>
      <c r="G5447" s="4"/>
      <c r="H5447" s="4">
        <f t="shared" si="554"/>
        <v>84</v>
      </c>
    </row>
    <row r="5448" ht="14.25" spans="1:8">
      <c r="A5448" s="3" t="str">
        <f>"30301417805"</f>
        <v>30301417805</v>
      </c>
      <c r="B5448" s="3">
        <v>4</v>
      </c>
      <c r="C5448" s="3">
        <v>178</v>
      </c>
      <c r="D5448" s="3">
        <v>5</v>
      </c>
      <c r="E5448" s="3" t="s">
        <v>12</v>
      </c>
      <c r="F5448" s="4">
        <v>59</v>
      </c>
      <c r="G5448" s="4"/>
      <c r="H5448" s="4">
        <f t="shared" si="554"/>
        <v>59</v>
      </c>
    </row>
    <row r="5449" ht="14.25" spans="1:8">
      <c r="A5449" s="3" t="str">
        <f>"30301417806"</f>
        <v>30301417806</v>
      </c>
      <c r="B5449" s="3">
        <v>4</v>
      </c>
      <c r="C5449" s="3">
        <v>178</v>
      </c>
      <c r="D5449" s="3">
        <v>6</v>
      </c>
      <c r="E5449" s="3" t="s">
        <v>12</v>
      </c>
      <c r="F5449" s="3">
        <v>0</v>
      </c>
      <c r="G5449" s="4"/>
      <c r="H5449" s="3">
        <v>0</v>
      </c>
    </row>
    <row r="5450" ht="14.25" spans="1:8">
      <c r="A5450" s="3" t="str">
        <f>"30301417807"</f>
        <v>30301417807</v>
      </c>
      <c r="B5450" s="3">
        <v>4</v>
      </c>
      <c r="C5450" s="3">
        <v>178</v>
      </c>
      <c r="D5450" s="3">
        <v>7</v>
      </c>
      <c r="E5450" s="3" t="s">
        <v>12</v>
      </c>
      <c r="F5450" s="4">
        <v>63</v>
      </c>
      <c r="G5450" s="4"/>
      <c r="H5450" s="4">
        <f t="shared" ref="H5450:H5452" si="555">F5450+G5450</f>
        <v>63</v>
      </c>
    </row>
    <row r="5451" ht="14.25" spans="1:8">
      <c r="A5451" s="3" t="str">
        <f>"30301417808"</f>
        <v>30301417808</v>
      </c>
      <c r="B5451" s="3">
        <v>4</v>
      </c>
      <c r="C5451" s="3">
        <v>178</v>
      </c>
      <c r="D5451" s="3">
        <v>8</v>
      </c>
      <c r="E5451" s="3" t="s">
        <v>12</v>
      </c>
      <c r="F5451" s="4">
        <v>56.5</v>
      </c>
      <c r="G5451" s="4"/>
      <c r="H5451" s="4">
        <f t="shared" si="555"/>
        <v>56.5</v>
      </c>
    </row>
    <row r="5452" ht="14.25" spans="1:8">
      <c r="A5452" s="3" t="str">
        <f>"30301417809"</f>
        <v>30301417809</v>
      </c>
      <c r="B5452" s="3">
        <v>4</v>
      </c>
      <c r="C5452" s="3">
        <v>178</v>
      </c>
      <c r="D5452" s="3">
        <v>9</v>
      </c>
      <c r="E5452" s="3" t="s">
        <v>12</v>
      </c>
      <c r="F5452" s="4">
        <v>79.5</v>
      </c>
      <c r="G5452" s="4"/>
      <c r="H5452" s="4">
        <f t="shared" si="555"/>
        <v>79.5</v>
      </c>
    </row>
    <row r="5453" ht="14.25" spans="1:8">
      <c r="A5453" s="3" t="str">
        <f>"30301417810"</f>
        <v>30301417810</v>
      </c>
      <c r="B5453" s="3">
        <v>4</v>
      </c>
      <c r="C5453" s="3">
        <v>178</v>
      </c>
      <c r="D5453" s="3">
        <v>10</v>
      </c>
      <c r="E5453" s="3" t="s">
        <v>12</v>
      </c>
      <c r="F5453" s="3">
        <v>0</v>
      </c>
      <c r="G5453" s="4"/>
      <c r="H5453" s="3">
        <v>0</v>
      </c>
    </row>
    <row r="5454" ht="14.25" spans="1:8">
      <c r="A5454" s="3" t="str">
        <f>"30301417811"</f>
        <v>30301417811</v>
      </c>
      <c r="B5454" s="3">
        <v>4</v>
      </c>
      <c r="C5454" s="3">
        <v>178</v>
      </c>
      <c r="D5454" s="3">
        <v>11</v>
      </c>
      <c r="E5454" s="3" t="s">
        <v>12</v>
      </c>
      <c r="F5454" s="4">
        <v>81</v>
      </c>
      <c r="G5454" s="4"/>
      <c r="H5454" s="4">
        <f t="shared" ref="H5454:H5459" si="556">F5454+G5454</f>
        <v>81</v>
      </c>
    </row>
    <row r="5455" ht="14.25" spans="1:8">
      <c r="A5455" s="3" t="str">
        <f>"30301417812"</f>
        <v>30301417812</v>
      </c>
      <c r="B5455" s="3">
        <v>4</v>
      </c>
      <c r="C5455" s="3">
        <v>178</v>
      </c>
      <c r="D5455" s="3">
        <v>12</v>
      </c>
      <c r="E5455" s="3" t="s">
        <v>12</v>
      </c>
      <c r="F5455" s="3">
        <v>0</v>
      </c>
      <c r="G5455" s="4"/>
      <c r="H5455" s="3">
        <v>0</v>
      </c>
    </row>
    <row r="5456" ht="14.25" spans="1:8">
      <c r="A5456" s="3" t="str">
        <f>"30301417813"</f>
        <v>30301417813</v>
      </c>
      <c r="B5456" s="3">
        <v>4</v>
      </c>
      <c r="C5456" s="3">
        <v>178</v>
      </c>
      <c r="D5456" s="3">
        <v>13</v>
      </c>
      <c r="E5456" s="3" t="s">
        <v>12</v>
      </c>
      <c r="F5456" s="3">
        <v>0</v>
      </c>
      <c r="G5456" s="4"/>
      <c r="H5456" s="3">
        <v>0</v>
      </c>
    </row>
    <row r="5457" ht="14.25" spans="1:8">
      <c r="A5457" s="3" t="str">
        <f>"30302417814"</f>
        <v>30302417814</v>
      </c>
      <c r="B5457" s="3">
        <v>4</v>
      </c>
      <c r="C5457" s="3">
        <v>178</v>
      </c>
      <c r="D5457" s="3">
        <v>14</v>
      </c>
      <c r="E5457" s="3" t="s">
        <v>12</v>
      </c>
      <c r="F5457" s="4">
        <v>54</v>
      </c>
      <c r="G5457" s="4"/>
      <c r="H5457" s="4">
        <f t="shared" si="556"/>
        <v>54</v>
      </c>
    </row>
    <row r="5458" ht="14.25" spans="1:8">
      <c r="A5458" s="3" t="str">
        <f>"30302417815"</f>
        <v>30302417815</v>
      </c>
      <c r="B5458" s="3">
        <v>4</v>
      </c>
      <c r="C5458" s="3">
        <v>178</v>
      </c>
      <c r="D5458" s="3">
        <v>15</v>
      </c>
      <c r="E5458" s="3" t="s">
        <v>12</v>
      </c>
      <c r="F5458" s="4">
        <v>65</v>
      </c>
      <c r="G5458" s="4"/>
      <c r="H5458" s="4">
        <f t="shared" si="556"/>
        <v>65</v>
      </c>
    </row>
    <row r="5459" ht="14.25" spans="1:8">
      <c r="A5459" s="3" t="str">
        <f>"30302417816"</f>
        <v>30302417816</v>
      </c>
      <c r="B5459" s="3">
        <v>4</v>
      </c>
      <c r="C5459" s="3">
        <v>178</v>
      </c>
      <c r="D5459" s="3">
        <v>16</v>
      </c>
      <c r="E5459" s="3" t="s">
        <v>12</v>
      </c>
      <c r="F5459" s="4">
        <v>62</v>
      </c>
      <c r="G5459" s="4"/>
      <c r="H5459" s="4">
        <f t="shared" si="556"/>
        <v>62</v>
      </c>
    </row>
    <row r="5460" ht="14.25" spans="1:8">
      <c r="A5460" s="3" t="str">
        <f>"30302417817"</f>
        <v>30302417817</v>
      </c>
      <c r="B5460" s="3">
        <v>4</v>
      </c>
      <c r="C5460" s="3">
        <v>178</v>
      </c>
      <c r="D5460" s="3">
        <v>17</v>
      </c>
      <c r="E5460" s="3" t="s">
        <v>12</v>
      </c>
      <c r="F5460" s="3">
        <v>0</v>
      </c>
      <c r="G5460" s="4"/>
      <c r="H5460" s="3">
        <v>0</v>
      </c>
    </row>
    <row r="5461" ht="14.25" spans="1:8">
      <c r="A5461" s="3" t="str">
        <f>"30302417818"</f>
        <v>30302417818</v>
      </c>
      <c r="B5461" s="3">
        <v>4</v>
      </c>
      <c r="C5461" s="3">
        <v>178</v>
      </c>
      <c r="D5461" s="3">
        <v>18</v>
      </c>
      <c r="E5461" s="3" t="s">
        <v>12</v>
      </c>
      <c r="F5461" s="4">
        <v>85.5</v>
      </c>
      <c r="G5461" s="4"/>
      <c r="H5461" s="4">
        <f t="shared" ref="H5461:H5463" si="557">F5461+G5461</f>
        <v>85.5</v>
      </c>
    </row>
    <row r="5462" ht="14.25" spans="1:8">
      <c r="A5462" s="3" t="str">
        <f>"30302417819"</f>
        <v>30302417819</v>
      </c>
      <c r="B5462" s="3">
        <v>4</v>
      </c>
      <c r="C5462" s="3">
        <v>178</v>
      </c>
      <c r="D5462" s="3">
        <v>19</v>
      </c>
      <c r="E5462" s="3" t="s">
        <v>12</v>
      </c>
      <c r="F5462" s="4">
        <v>65.5</v>
      </c>
      <c r="G5462" s="4"/>
      <c r="H5462" s="4">
        <f t="shared" si="557"/>
        <v>65.5</v>
      </c>
    </row>
    <row r="5463" ht="14.25" spans="1:8">
      <c r="A5463" s="3" t="str">
        <f>"30302417820"</f>
        <v>30302417820</v>
      </c>
      <c r="B5463" s="3">
        <v>4</v>
      </c>
      <c r="C5463" s="3">
        <v>178</v>
      </c>
      <c r="D5463" s="3">
        <v>20</v>
      </c>
      <c r="E5463" s="3" t="s">
        <v>12</v>
      </c>
      <c r="F5463" s="4">
        <v>54.5</v>
      </c>
      <c r="G5463" s="4"/>
      <c r="H5463" s="4">
        <f t="shared" si="557"/>
        <v>54.5</v>
      </c>
    </row>
    <row r="5464" ht="14.25" spans="1:8">
      <c r="A5464" s="3" t="str">
        <f>"30302417821"</f>
        <v>30302417821</v>
      </c>
      <c r="B5464" s="3">
        <v>4</v>
      </c>
      <c r="C5464" s="3">
        <v>178</v>
      </c>
      <c r="D5464" s="3">
        <v>21</v>
      </c>
      <c r="E5464" s="3" t="s">
        <v>12</v>
      </c>
      <c r="F5464" s="3">
        <v>0</v>
      </c>
      <c r="G5464" s="4"/>
      <c r="H5464" s="3">
        <v>0</v>
      </c>
    </row>
    <row r="5465" ht="14.25" spans="1:8">
      <c r="A5465" s="3" t="str">
        <f>"30302417822"</f>
        <v>30302417822</v>
      </c>
      <c r="B5465" s="3">
        <v>4</v>
      </c>
      <c r="C5465" s="3">
        <v>178</v>
      </c>
      <c r="D5465" s="3">
        <v>22</v>
      </c>
      <c r="E5465" s="3" t="s">
        <v>12</v>
      </c>
      <c r="F5465" s="4">
        <v>59.5</v>
      </c>
      <c r="G5465" s="4"/>
      <c r="H5465" s="4">
        <f t="shared" ref="H5465:H5467" si="558">F5465+G5465</f>
        <v>59.5</v>
      </c>
    </row>
    <row r="5466" ht="14.25" spans="1:8">
      <c r="A5466" s="3" t="str">
        <f>"30302417823"</f>
        <v>30302417823</v>
      </c>
      <c r="B5466" s="3">
        <v>4</v>
      </c>
      <c r="C5466" s="3">
        <v>178</v>
      </c>
      <c r="D5466" s="3">
        <v>23</v>
      </c>
      <c r="E5466" s="3" t="s">
        <v>12</v>
      </c>
      <c r="F5466" s="4">
        <v>76</v>
      </c>
      <c r="G5466" s="4"/>
      <c r="H5466" s="4">
        <f t="shared" si="558"/>
        <v>76</v>
      </c>
    </row>
    <row r="5467" ht="14.25" spans="1:8">
      <c r="A5467" s="3" t="str">
        <f>"30302417824"</f>
        <v>30302417824</v>
      </c>
      <c r="B5467" s="3">
        <v>4</v>
      </c>
      <c r="C5467" s="3">
        <v>178</v>
      </c>
      <c r="D5467" s="3">
        <v>24</v>
      </c>
      <c r="E5467" s="3" t="s">
        <v>12</v>
      </c>
      <c r="F5467" s="4">
        <v>72</v>
      </c>
      <c r="G5467" s="4"/>
      <c r="H5467" s="4">
        <f t="shared" si="558"/>
        <v>72</v>
      </c>
    </row>
    <row r="5468" ht="14.25" spans="1:8">
      <c r="A5468" s="3" t="str">
        <f>"30302417825"</f>
        <v>30302417825</v>
      </c>
      <c r="B5468" s="3">
        <v>4</v>
      </c>
      <c r="C5468" s="3">
        <v>178</v>
      </c>
      <c r="D5468" s="3">
        <v>25</v>
      </c>
      <c r="E5468" s="3" t="s">
        <v>12</v>
      </c>
      <c r="F5468" s="3">
        <v>0</v>
      </c>
      <c r="G5468" s="4"/>
      <c r="H5468" s="3">
        <v>0</v>
      </c>
    </row>
    <row r="5469" ht="14.25" spans="1:8">
      <c r="A5469" s="3" t="str">
        <f>"30302417826"</f>
        <v>30302417826</v>
      </c>
      <c r="B5469" s="3">
        <v>4</v>
      </c>
      <c r="C5469" s="3">
        <v>178</v>
      </c>
      <c r="D5469" s="3">
        <v>26</v>
      </c>
      <c r="E5469" s="3" t="s">
        <v>12</v>
      </c>
      <c r="F5469" s="4">
        <v>74</v>
      </c>
      <c r="G5469" s="4"/>
      <c r="H5469" s="4">
        <f t="shared" ref="H5469:H5476" si="559">F5469+G5469</f>
        <v>74</v>
      </c>
    </row>
    <row r="5470" ht="14.25" spans="1:8">
      <c r="A5470" s="3" t="str">
        <f>"30302417827"</f>
        <v>30302417827</v>
      </c>
      <c r="B5470" s="3">
        <v>4</v>
      </c>
      <c r="C5470" s="3">
        <v>178</v>
      </c>
      <c r="D5470" s="3">
        <v>27</v>
      </c>
      <c r="E5470" s="3" t="s">
        <v>12</v>
      </c>
      <c r="F5470" s="3">
        <v>0</v>
      </c>
      <c r="G5470" s="4"/>
      <c r="H5470" s="3">
        <v>0</v>
      </c>
    </row>
    <row r="5471" ht="14.25" spans="1:8">
      <c r="A5471" s="3" t="str">
        <f>"30302417828"</f>
        <v>30302417828</v>
      </c>
      <c r="B5471" s="3">
        <v>4</v>
      </c>
      <c r="C5471" s="3">
        <v>178</v>
      </c>
      <c r="D5471" s="3">
        <v>28</v>
      </c>
      <c r="E5471" s="3" t="s">
        <v>12</v>
      </c>
      <c r="F5471" s="3">
        <v>0</v>
      </c>
      <c r="G5471" s="4"/>
      <c r="H5471" s="3">
        <v>0</v>
      </c>
    </row>
    <row r="5472" ht="14.25" spans="1:8">
      <c r="A5472" s="3" t="str">
        <f>"30302417829"</f>
        <v>30302417829</v>
      </c>
      <c r="B5472" s="3">
        <v>4</v>
      </c>
      <c r="C5472" s="3">
        <v>178</v>
      </c>
      <c r="D5472" s="3">
        <v>29</v>
      </c>
      <c r="E5472" s="3" t="s">
        <v>12</v>
      </c>
      <c r="F5472" s="4">
        <v>54</v>
      </c>
      <c r="G5472" s="4"/>
      <c r="H5472" s="4">
        <f t="shared" si="559"/>
        <v>54</v>
      </c>
    </row>
    <row r="5473" ht="14.25" spans="1:8">
      <c r="A5473" s="3" t="str">
        <f>"30302417830"</f>
        <v>30302417830</v>
      </c>
      <c r="B5473" s="3">
        <v>4</v>
      </c>
      <c r="C5473" s="3">
        <v>178</v>
      </c>
      <c r="D5473" s="3">
        <v>30</v>
      </c>
      <c r="E5473" s="3" t="s">
        <v>12</v>
      </c>
      <c r="F5473" s="4">
        <v>76.5</v>
      </c>
      <c r="G5473" s="4"/>
      <c r="H5473" s="4">
        <f t="shared" si="559"/>
        <v>76.5</v>
      </c>
    </row>
    <row r="5474" ht="14.25" spans="1:8">
      <c r="A5474" s="3" t="str">
        <f>"30302417901"</f>
        <v>30302417901</v>
      </c>
      <c r="B5474" s="3">
        <v>4</v>
      </c>
      <c r="C5474" s="3">
        <v>179</v>
      </c>
      <c r="D5474" s="3">
        <v>1</v>
      </c>
      <c r="E5474" s="3" t="s">
        <v>12</v>
      </c>
      <c r="F5474" s="4">
        <v>86</v>
      </c>
      <c r="G5474" s="4"/>
      <c r="H5474" s="4">
        <f t="shared" si="559"/>
        <v>86</v>
      </c>
    </row>
    <row r="5475" ht="14.25" spans="1:8">
      <c r="A5475" s="3" t="str">
        <f>"30302417902"</f>
        <v>30302417902</v>
      </c>
      <c r="B5475" s="3">
        <v>4</v>
      </c>
      <c r="C5475" s="3">
        <v>179</v>
      </c>
      <c r="D5475" s="3">
        <v>2</v>
      </c>
      <c r="E5475" s="3" t="s">
        <v>12</v>
      </c>
      <c r="F5475" s="4">
        <v>61</v>
      </c>
      <c r="G5475" s="4"/>
      <c r="H5475" s="4">
        <f t="shared" si="559"/>
        <v>61</v>
      </c>
    </row>
    <row r="5476" ht="14.25" spans="1:8">
      <c r="A5476" s="3" t="str">
        <f>"30302417903"</f>
        <v>30302417903</v>
      </c>
      <c r="B5476" s="3">
        <v>4</v>
      </c>
      <c r="C5476" s="3">
        <v>179</v>
      </c>
      <c r="D5476" s="3">
        <v>3</v>
      </c>
      <c r="E5476" s="3" t="s">
        <v>12</v>
      </c>
      <c r="F5476" s="4">
        <v>81.5</v>
      </c>
      <c r="G5476" s="4"/>
      <c r="H5476" s="4">
        <f t="shared" si="559"/>
        <v>81.5</v>
      </c>
    </row>
    <row r="5477" ht="14.25" spans="1:8">
      <c r="A5477" s="3" t="str">
        <f>"30302417904"</f>
        <v>30302417904</v>
      </c>
      <c r="B5477" s="3">
        <v>4</v>
      </c>
      <c r="C5477" s="3">
        <v>179</v>
      </c>
      <c r="D5477" s="3">
        <v>4</v>
      </c>
      <c r="E5477" s="3" t="s">
        <v>12</v>
      </c>
      <c r="F5477" s="3">
        <v>0</v>
      </c>
      <c r="G5477" s="4"/>
      <c r="H5477" s="3">
        <v>0</v>
      </c>
    </row>
    <row r="5478" ht="14.25" spans="1:8">
      <c r="A5478" s="3" t="str">
        <f>"30302417905"</f>
        <v>30302417905</v>
      </c>
      <c r="B5478" s="3">
        <v>4</v>
      </c>
      <c r="C5478" s="3">
        <v>179</v>
      </c>
      <c r="D5478" s="3">
        <v>5</v>
      </c>
      <c r="E5478" s="3" t="s">
        <v>12</v>
      </c>
      <c r="F5478" s="4">
        <v>52</v>
      </c>
      <c r="G5478" s="4"/>
      <c r="H5478" s="4">
        <f t="shared" ref="H5478:H5483" si="560">F5478+G5478</f>
        <v>52</v>
      </c>
    </row>
    <row r="5479" ht="14.25" spans="1:8">
      <c r="A5479" s="3" t="str">
        <f>"30302417906"</f>
        <v>30302417906</v>
      </c>
      <c r="B5479" s="3">
        <v>4</v>
      </c>
      <c r="C5479" s="3">
        <v>179</v>
      </c>
      <c r="D5479" s="3">
        <v>6</v>
      </c>
      <c r="E5479" s="3" t="s">
        <v>12</v>
      </c>
      <c r="F5479" s="3">
        <v>0</v>
      </c>
      <c r="G5479" s="4"/>
      <c r="H5479" s="3">
        <v>0</v>
      </c>
    </row>
    <row r="5480" ht="14.25" spans="1:8">
      <c r="A5480" s="3" t="str">
        <f>"30302417907"</f>
        <v>30302417907</v>
      </c>
      <c r="B5480" s="3">
        <v>4</v>
      </c>
      <c r="C5480" s="3">
        <v>179</v>
      </c>
      <c r="D5480" s="3">
        <v>7</v>
      </c>
      <c r="E5480" s="3" t="s">
        <v>12</v>
      </c>
      <c r="F5480" s="3">
        <v>0</v>
      </c>
      <c r="G5480" s="4"/>
      <c r="H5480" s="3">
        <v>0</v>
      </c>
    </row>
    <row r="5481" ht="14.25" spans="1:8">
      <c r="A5481" s="3" t="str">
        <f>"30302417908"</f>
        <v>30302417908</v>
      </c>
      <c r="B5481" s="3">
        <v>4</v>
      </c>
      <c r="C5481" s="3">
        <v>179</v>
      </c>
      <c r="D5481" s="3">
        <v>8</v>
      </c>
      <c r="E5481" s="3" t="s">
        <v>12</v>
      </c>
      <c r="F5481" s="3">
        <v>0</v>
      </c>
      <c r="G5481" s="4"/>
      <c r="H5481" s="3">
        <v>0</v>
      </c>
    </row>
    <row r="5482" ht="14.25" spans="1:8">
      <c r="A5482" s="3" t="str">
        <f>"30302417909"</f>
        <v>30302417909</v>
      </c>
      <c r="B5482" s="3">
        <v>4</v>
      </c>
      <c r="C5482" s="3">
        <v>179</v>
      </c>
      <c r="D5482" s="3">
        <v>9</v>
      </c>
      <c r="E5482" s="3" t="s">
        <v>12</v>
      </c>
      <c r="F5482" s="4">
        <v>55.5</v>
      </c>
      <c r="G5482" s="4"/>
      <c r="H5482" s="4">
        <f t="shared" si="560"/>
        <v>55.5</v>
      </c>
    </row>
    <row r="5483" ht="14.25" spans="1:8">
      <c r="A5483" s="3" t="str">
        <f>"30302417910"</f>
        <v>30302417910</v>
      </c>
      <c r="B5483" s="3">
        <v>4</v>
      </c>
      <c r="C5483" s="3">
        <v>179</v>
      </c>
      <c r="D5483" s="3">
        <v>10</v>
      </c>
      <c r="E5483" s="3" t="s">
        <v>12</v>
      </c>
      <c r="F5483" s="4">
        <v>52</v>
      </c>
      <c r="G5483" s="4"/>
      <c r="H5483" s="4">
        <f t="shared" si="560"/>
        <v>52</v>
      </c>
    </row>
    <row r="5484" ht="14.25" spans="1:8">
      <c r="A5484" s="3" t="str">
        <f>"30302417911"</f>
        <v>30302417911</v>
      </c>
      <c r="B5484" s="3">
        <v>4</v>
      </c>
      <c r="C5484" s="3">
        <v>179</v>
      </c>
      <c r="D5484" s="3">
        <v>11</v>
      </c>
      <c r="E5484" s="3" t="s">
        <v>12</v>
      </c>
      <c r="F5484" s="3">
        <v>0</v>
      </c>
      <c r="G5484" s="4"/>
      <c r="H5484" s="3">
        <v>0</v>
      </c>
    </row>
    <row r="5485" ht="14.25" spans="1:8">
      <c r="A5485" s="3" t="str">
        <f>"30302417912"</f>
        <v>30302417912</v>
      </c>
      <c r="B5485" s="3">
        <v>4</v>
      </c>
      <c r="C5485" s="3">
        <v>179</v>
      </c>
      <c r="D5485" s="3">
        <v>12</v>
      </c>
      <c r="E5485" s="3" t="s">
        <v>12</v>
      </c>
      <c r="F5485" s="4">
        <v>76</v>
      </c>
      <c r="G5485" s="4"/>
      <c r="H5485" s="4">
        <f t="shared" ref="H5485:H5497" si="561">F5485+G5485</f>
        <v>76</v>
      </c>
    </row>
    <row r="5486" ht="14.25" spans="1:8">
      <c r="A5486" s="3" t="str">
        <f>"30302417913"</f>
        <v>30302417913</v>
      </c>
      <c r="B5486" s="3">
        <v>4</v>
      </c>
      <c r="C5486" s="3">
        <v>179</v>
      </c>
      <c r="D5486" s="3">
        <v>13</v>
      </c>
      <c r="E5486" s="3" t="s">
        <v>12</v>
      </c>
      <c r="F5486" s="4">
        <v>70</v>
      </c>
      <c r="G5486" s="4"/>
      <c r="H5486" s="4">
        <f t="shared" si="561"/>
        <v>70</v>
      </c>
    </row>
    <row r="5487" ht="14.25" spans="1:8">
      <c r="A5487" s="3" t="str">
        <f>"30302417914"</f>
        <v>30302417914</v>
      </c>
      <c r="B5487" s="3">
        <v>4</v>
      </c>
      <c r="C5487" s="3">
        <v>179</v>
      </c>
      <c r="D5487" s="3">
        <v>14</v>
      </c>
      <c r="E5487" s="3" t="s">
        <v>12</v>
      </c>
      <c r="F5487" s="3">
        <v>0</v>
      </c>
      <c r="G5487" s="4"/>
      <c r="H5487" s="3">
        <v>0</v>
      </c>
    </row>
    <row r="5488" ht="14.25" spans="1:8">
      <c r="A5488" s="3" t="str">
        <f>"30302417915"</f>
        <v>30302417915</v>
      </c>
      <c r="B5488" s="3">
        <v>4</v>
      </c>
      <c r="C5488" s="3">
        <v>179</v>
      </c>
      <c r="D5488" s="3">
        <v>15</v>
      </c>
      <c r="E5488" s="3" t="s">
        <v>12</v>
      </c>
      <c r="F5488" s="4">
        <v>80.5</v>
      </c>
      <c r="G5488" s="4"/>
      <c r="H5488" s="4">
        <f t="shared" si="561"/>
        <v>80.5</v>
      </c>
    </row>
    <row r="5489" ht="14.25" spans="1:8">
      <c r="A5489" s="3" t="str">
        <f>"30302417916"</f>
        <v>30302417916</v>
      </c>
      <c r="B5489" s="3">
        <v>4</v>
      </c>
      <c r="C5489" s="3">
        <v>179</v>
      </c>
      <c r="D5489" s="3">
        <v>16</v>
      </c>
      <c r="E5489" s="3" t="s">
        <v>12</v>
      </c>
      <c r="F5489" s="4">
        <v>80.5</v>
      </c>
      <c r="G5489" s="4"/>
      <c r="H5489" s="4">
        <f t="shared" si="561"/>
        <v>80.5</v>
      </c>
    </row>
    <row r="5490" ht="14.25" spans="1:8">
      <c r="A5490" s="3" t="str">
        <f>"30302417917"</f>
        <v>30302417917</v>
      </c>
      <c r="B5490" s="3">
        <v>4</v>
      </c>
      <c r="C5490" s="3">
        <v>179</v>
      </c>
      <c r="D5490" s="3">
        <v>17</v>
      </c>
      <c r="E5490" s="3" t="s">
        <v>12</v>
      </c>
      <c r="F5490" s="4">
        <v>70.5</v>
      </c>
      <c r="G5490" s="4"/>
      <c r="H5490" s="4">
        <f t="shared" si="561"/>
        <v>70.5</v>
      </c>
    </row>
    <row r="5491" ht="14.25" spans="1:8">
      <c r="A5491" s="3" t="str">
        <f>"30302417918"</f>
        <v>30302417918</v>
      </c>
      <c r="B5491" s="3">
        <v>4</v>
      </c>
      <c r="C5491" s="3">
        <v>179</v>
      </c>
      <c r="D5491" s="3">
        <v>18</v>
      </c>
      <c r="E5491" s="3" t="s">
        <v>12</v>
      </c>
      <c r="F5491" s="4">
        <v>87.5</v>
      </c>
      <c r="G5491" s="4"/>
      <c r="H5491" s="4">
        <f t="shared" si="561"/>
        <v>87.5</v>
      </c>
    </row>
    <row r="5492" ht="14.25" spans="1:8">
      <c r="A5492" s="3" t="str">
        <f>"30302417919"</f>
        <v>30302417919</v>
      </c>
      <c r="B5492" s="3">
        <v>4</v>
      </c>
      <c r="C5492" s="3">
        <v>179</v>
      </c>
      <c r="D5492" s="3">
        <v>19</v>
      </c>
      <c r="E5492" s="3" t="s">
        <v>12</v>
      </c>
      <c r="F5492" s="4">
        <v>81.5</v>
      </c>
      <c r="G5492" s="4"/>
      <c r="H5492" s="4">
        <f t="shared" si="561"/>
        <v>81.5</v>
      </c>
    </row>
    <row r="5493" ht="14.25" spans="1:8">
      <c r="A5493" s="3" t="str">
        <f>"30302417920"</f>
        <v>30302417920</v>
      </c>
      <c r="B5493" s="3">
        <v>4</v>
      </c>
      <c r="C5493" s="3">
        <v>179</v>
      </c>
      <c r="D5493" s="3">
        <v>20</v>
      </c>
      <c r="E5493" s="3" t="s">
        <v>12</v>
      </c>
      <c r="F5493" s="4">
        <v>75.5</v>
      </c>
      <c r="G5493" s="4"/>
      <c r="H5493" s="4">
        <f t="shared" si="561"/>
        <v>75.5</v>
      </c>
    </row>
    <row r="5494" ht="14.25" spans="1:8">
      <c r="A5494" s="3" t="str">
        <f>"30302417921"</f>
        <v>30302417921</v>
      </c>
      <c r="B5494" s="3">
        <v>4</v>
      </c>
      <c r="C5494" s="3">
        <v>179</v>
      </c>
      <c r="D5494" s="3">
        <v>21</v>
      </c>
      <c r="E5494" s="3" t="s">
        <v>12</v>
      </c>
      <c r="F5494" s="4">
        <v>80</v>
      </c>
      <c r="G5494" s="4"/>
      <c r="H5494" s="4">
        <f t="shared" si="561"/>
        <v>80</v>
      </c>
    </row>
    <row r="5495" ht="14.25" spans="1:8">
      <c r="A5495" s="3" t="str">
        <f>"30303417922"</f>
        <v>30303417922</v>
      </c>
      <c r="B5495" s="3">
        <v>4</v>
      </c>
      <c r="C5495" s="3">
        <v>179</v>
      </c>
      <c r="D5495" s="3">
        <v>22</v>
      </c>
      <c r="E5495" s="3" t="s">
        <v>12</v>
      </c>
      <c r="F5495" s="4">
        <v>74</v>
      </c>
      <c r="G5495" s="4"/>
      <c r="H5495" s="4">
        <f t="shared" si="561"/>
        <v>74</v>
      </c>
    </row>
    <row r="5496" ht="14.25" spans="1:8">
      <c r="A5496" s="3" t="str">
        <f>"30303417923"</f>
        <v>30303417923</v>
      </c>
      <c r="B5496" s="3">
        <v>4</v>
      </c>
      <c r="C5496" s="3">
        <v>179</v>
      </c>
      <c r="D5496" s="3">
        <v>23</v>
      </c>
      <c r="E5496" s="3" t="s">
        <v>12</v>
      </c>
      <c r="F5496" s="4">
        <v>69</v>
      </c>
      <c r="G5496" s="4"/>
      <c r="H5496" s="4">
        <f t="shared" si="561"/>
        <v>69</v>
      </c>
    </row>
    <row r="5497" ht="14.25" spans="1:8">
      <c r="A5497" s="3" t="str">
        <f>"30303417924"</f>
        <v>30303417924</v>
      </c>
      <c r="B5497" s="3">
        <v>4</v>
      </c>
      <c r="C5497" s="3">
        <v>179</v>
      </c>
      <c r="D5497" s="3">
        <v>24</v>
      </c>
      <c r="E5497" s="3" t="s">
        <v>12</v>
      </c>
      <c r="F5497" s="4">
        <v>71</v>
      </c>
      <c r="G5497" s="4"/>
      <c r="H5497" s="4">
        <f t="shared" si="561"/>
        <v>71</v>
      </c>
    </row>
    <row r="5498" ht="14.25" spans="1:8">
      <c r="A5498" s="3" t="str">
        <f>"30303417925"</f>
        <v>30303417925</v>
      </c>
      <c r="B5498" s="3">
        <v>4</v>
      </c>
      <c r="C5498" s="3">
        <v>179</v>
      </c>
      <c r="D5498" s="3">
        <v>25</v>
      </c>
      <c r="E5498" s="3" t="s">
        <v>12</v>
      </c>
      <c r="F5498" s="3">
        <v>0</v>
      </c>
      <c r="G5498" s="4"/>
      <c r="H5498" s="3">
        <v>0</v>
      </c>
    </row>
    <row r="5499" ht="14.25" spans="1:8">
      <c r="A5499" s="3" t="str">
        <f>"30303417926"</f>
        <v>30303417926</v>
      </c>
      <c r="B5499" s="3">
        <v>4</v>
      </c>
      <c r="C5499" s="3">
        <v>179</v>
      </c>
      <c r="D5499" s="3">
        <v>26</v>
      </c>
      <c r="E5499" s="3" t="s">
        <v>12</v>
      </c>
      <c r="F5499" s="4">
        <v>66.5</v>
      </c>
      <c r="G5499" s="4"/>
      <c r="H5499" s="4">
        <f t="shared" ref="H5499:H5506" si="562">F5499+G5499</f>
        <v>66.5</v>
      </c>
    </row>
    <row r="5500" ht="14.25" spans="1:8">
      <c r="A5500" s="3" t="str">
        <f>"30303417927"</f>
        <v>30303417927</v>
      </c>
      <c r="B5500" s="3">
        <v>4</v>
      </c>
      <c r="C5500" s="3">
        <v>179</v>
      </c>
      <c r="D5500" s="3">
        <v>27</v>
      </c>
      <c r="E5500" s="3" t="s">
        <v>12</v>
      </c>
      <c r="F5500" s="4">
        <v>59.5</v>
      </c>
      <c r="G5500" s="4"/>
      <c r="H5500" s="4">
        <f t="shared" si="562"/>
        <v>59.5</v>
      </c>
    </row>
    <row r="5501" ht="14.25" spans="1:8">
      <c r="A5501" s="3" t="str">
        <f>"30303417928"</f>
        <v>30303417928</v>
      </c>
      <c r="B5501" s="3">
        <v>4</v>
      </c>
      <c r="C5501" s="3">
        <v>179</v>
      </c>
      <c r="D5501" s="3">
        <v>28</v>
      </c>
      <c r="E5501" s="3" t="s">
        <v>12</v>
      </c>
      <c r="F5501" s="4">
        <v>63</v>
      </c>
      <c r="G5501" s="4"/>
      <c r="H5501" s="4">
        <f t="shared" si="562"/>
        <v>63</v>
      </c>
    </row>
    <row r="5502" ht="14.25" spans="1:8">
      <c r="A5502" s="3" t="str">
        <f>"30303417929"</f>
        <v>30303417929</v>
      </c>
      <c r="B5502" s="3">
        <v>4</v>
      </c>
      <c r="C5502" s="3">
        <v>179</v>
      </c>
      <c r="D5502" s="3">
        <v>29</v>
      </c>
      <c r="E5502" s="3" t="s">
        <v>12</v>
      </c>
      <c r="F5502" s="4">
        <v>82.5</v>
      </c>
      <c r="G5502" s="4"/>
      <c r="H5502" s="4">
        <f t="shared" si="562"/>
        <v>82.5</v>
      </c>
    </row>
    <row r="5503" ht="14.25" spans="1:8">
      <c r="A5503" s="3" t="str">
        <f>"30303417930"</f>
        <v>30303417930</v>
      </c>
      <c r="B5503" s="3">
        <v>4</v>
      </c>
      <c r="C5503" s="3">
        <v>179</v>
      </c>
      <c r="D5503" s="3">
        <v>30</v>
      </c>
      <c r="E5503" s="3" t="s">
        <v>12</v>
      </c>
      <c r="F5503" s="4">
        <v>69</v>
      </c>
      <c r="G5503" s="4"/>
      <c r="H5503" s="4">
        <f t="shared" si="562"/>
        <v>69</v>
      </c>
    </row>
    <row r="5504" ht="14.25" spans="1:8">
      <c r="A5504" s="3" t="str">
        <f>"30303418001"</f>
        <v>30303418001</v>
      </c>
      <c r="B5504" s="3">
        <v>4</v>
      </c>
      <c r="C5504" s="3">
        <v>180</v>
      </c>
      <c r="D5504" s="3">
        <v>1</v>
      </c>
      <c r="E5504" s="3" t="s">
        <v>12</v>
      </c>
      <c r="F5504" s="4">
        <v>61.5</v>
      </c>
      <c r="G5504" s="4"/>
      <c r="H5504" s="4">
        <f t="shared" si="562"/>
        <v>61.5</v>
      </c>
    </row>
    <row r="5505" ht="14.25" spans="1:8">
      <c r="A5505" s="3" t="str">
        <f>"30303418002"</f>
        <v>30303418002</v>
      </c>
      <c r="B5505" s="3">
        <v>4</v>
      </c>
      <c r="C5505" s="3">
        <v>180</v>
      </c>
      <c r="D5505" s="3">
        <v>2</v>
      </c>
      <c r="E5505" s="3" t="s">
        <v>12</v>
      </c>
      <c r="F5505" s="4">
        <v>68</v>
      </c>
      <c r="G5505" s="4"/>
      <c r="H5505" s="4">
        <f t="shared" si="562"/>
        <v>68</v>
      </c>
    </row>
    <row r="5506" ht="14.25" spans="1:8">
      <c r="A5506" s="3" t="str">
        <f>"30303418003"</f>
        <v>30303418003</v>
      </c>
      <c r="B5506" s="3">
        <v>4</v>
      </c>
      <c r="C5506" s="3">
        <v>180</v>
      </c>
      <c r="D5506" s="3">
        <v>3</v>
      </c>
      <c r="E5506" s="3" t="s">
        <v>12</v>
      </c>
      <c r="F5506" s="4">
        <v>70</v>
      </c>
      <c r="G5506" s="4"/>
      <c r="H5506" s="4">
        <f t="shared" si="562"/>
        <v>70</v>
      </c>
    </row>
    <row r="5507" ht="14.25" spans="1:8">
      <c r="A5507" s="3" t="str">
        <f>"30303418004"</f>
        <v>30303418004</v>
      </c>
      <c r="B5507" s="3">
        <v>4</v>
      </c>
      <c r="C5507" s="3">
        <v>180</v>
      </c>
      <c r="D5507" s="3">
        <v>4</v>
      </c>
      <c r="E5507" s="3" t="s">
        <v>12</v>
      </c>
      <c r="F5507" s="3">
        <v>0</v>
      </c>
      <c r="G5507" s="4"/>
      <c r="H5507" s="3">
        <v>0</v>
      </c>
    </row>
    <row r="5508" ht="14.25" spans="1:8">
      <c r="A5508" s="3" t="str">
        <f>"30303418005"</f>
        <v>30303418005</v>
      </c>
      <c r="B5508" s="3">
        <v>4</v>
      </c>
      <c r="C5508" s="3">
        <v>180</v>
      </c>
      <c r="D5508" s="3">
        <v>5</v>
      </c>
      <c r="E5508" s="3" t="s">
        <v>12</v>
      </c>
      <c r="F5508" s="4">
        <v>77</v>
      </c>
      <c r="G5508" s="4"/>
      <c r="H5508" s="4">
        <f t="shared" ref="H5508:H5511" si="563">F5508+G5508</f>
        <v>77</v>
      </c>
    </row>
    <row r="5509" ht="14.25" spans="1:8">
      <c r="A5509" s="3" t="str">
        <f>"30303418006"</f>
        <v>30303418006</v>
      </c>
      <c r="B5509" s="3">
        <v>4</v>
      </c>
      <c r="C5509" s="3">
        <v>180</v>
      </c>
      <c r="D5509" s="3">
        <v>6</v>
      </c>
      <c r="E5509" s="3" t="s">
        <v>12</v>
      </c>
      <c r="F5509" s="4">
        <v>65.5</v>
      </c>
      <c r="G5509" s="4"/>
      <c r="H5509" s="4">
        <f t="shared" si="563"/>
        <v>65.5</v>
      </c>
    </row>
    <row r="5510" ht="14.25" spans="1:8">
      <c r="A5510" s="3" t="str">
        <f>"30303418007"</f>
        <v>30303418007</v>
      </c>
      <c r="B5510" s="3">
        <v>4</v>
      </c>
      <c r="C5510" s="3">
        <v>180</v>
      </c>
      <c r="D5510" s="3">
        <v>7</v>
      </c>
      <c r="E5510" s="3" t="s">
        <v>12</v>
      </c>
      <c r="F5510" s="4">
        <v>68.5</v>
      </c>
      <c r="G5510" s="4"/>
      <c r="H5510" s="4">
        <f t="shared" si="563"/>
        <v>68.5</v>
      </c>
    </row>
    <row r="5511" ht="14.25" spans="1:8">
      <c r="A5511" s="3" t="str">
        <f>"30303418008"</f>
        <v>30303418008</v>
      </c>
      <c r="B5511" s="3">
        <v>4</v>
      </c>
      <c r="C5511" s="3">
        <v>180</v>
      </c>
      <c r="D5511" s="3">
        <v>8</v>
      </c>
      <c r="E5511" s="3" t="s">
        <v>12</v>
      </c>
      <c r="F5511" s="4">
        <v>84</v>
      </c>
      <c r="G5511" s="4"/>
      <c r="H5511" s="4">
        <f t="shared" si="563"/>
        <v>84</v>
      </c>
    </row>
    <row r="5512" ht="14.25" spans="1:8">
      <c r="A5512" s="3" t="str">
        <f>"30303418009"</f>
        <v>30303418009</v>
      </c>
      <c r="B5512" s="3">
        <v>4</v>
      </c>
      <c r="C5512" s="3">
        <v>180</v>
      </c>
      <c r="D5512" s="3">
        <v>9</v>
      </c>
      <c r="E5512" s="3" t="s">
        <v>12</v>
      </c>
      <c r="F5512" s="3">
        <v>0</v>
      </c>
      <c r="G5512" s="4"/>
      <c r="H5512" s="3">
        <v>0</v>
      </c>
    </row>
    <row r="5513" ht="14.25" spans="1:8">
      <c r="A5513" s="3" t="str">
        <f>"30303418010"</f>
        <v>30303418010</v>
      </c>
      <c r="B5513" s="3">
        <v>4</v>
      </c>
      <c r="C5513" s="3">
        <v>180</v>
      </c>
      <c r="D5513" s="3">
        <v>10</v>
      </c>
      <c r="E5513" s="3" t="s">
        <v>12</v>
      </c>
      <c r="F5513" s="4">
        <v>61</v>
      </c>
      <c r="G5513" s="4"/>
      <c r="H5513" s="4">
        <f t="shared" ref="H5513:H5520" si="564">F5513+G5513</f>
        <v>61</v>
      </c>
    </row>
    <row r="5514" ht="14.25" spans="1:8">
      <c r="A5514" s="3" t="str">
        <f>"30303418011"</f>
        <v>30303418011</v>
      </c>
      <c r="B5514" s="3">
        <v>4</v>
      </c>
      <c r="C5514" s="3">
        <v>180</v>
      </c>
      <c r="D5514" s="3">
        <v>11</v>
      </c>
      <c r="E5514" s="3" t="s">
        <v>12</v>
      </c>
      <c r="F5514" s="4">
        <v>74.5</v>
      </c>
      <c r="G5514" s="4"/>
      <c r="H5514" s="4">
        <f t="shared" si="564"/>
        <v>74.5</v>
      </c>
    </row>
    <row r="5515" ht="14.25" spans="1:8">
      <c r="A5515" s="3" t="str">
        <f>"30303418012"</f>
        <v>30303418012</v>
      </c>
      <c r="B5515" s="3">
        <v>4</v>
      </c>
      <c r="C5515" s="3">
        <v>180</v>
      </c>
      <c r="D5515" s="3">
        <v>12</v>
      </c>
      <c r="E5515" s="3" t="s">
        <v>12</v>
      </c>
      <c r="F5515" s="4">
        <v>84</v>
      </c>
      <c r="G5515" s="4"/>
      <c r="H5515" s="4">
        <f t="shared" si="564"/>
        <v>84</v>
      </c>
    </row>
    <row r="5516" ht="14.25" spans="1:8">
      <c r="A5516" s="3" t="str">
        <f>"30303418013"</f>
        <v>30303418013</v>
      </c>
      <c r="B5516" s="3">
        <v>4</v>
      </c>
      <c r="C5516" s="3">
        <v>180</v>
      </c>
      <c r="D5516" s="3">
        <v>13</v>
      </c>
      <c r="E5516" s="3" t="s">
        <v>12</v>
      </c>
      <c r="F5516" s="4">
        <v>68</v>
      </c>
      <c r="G5516" s="4"/>
      <c r="H5516" s="4">
        <f t="shared" si="564"/>
        <v>68</v>
      </c>
    </row>
    <row r="5517" ht="14.25" spans="1:8">
      <c r="A5517" s="3" t="str">
        <f>"30303418014"</f>
        <v>30303418014</v>
      </c>
      <c r="B5517" s="3">
        <v>4</v>
      </c>
      <c r="C5517" s="3">
        <v>180</v>
      </c>
      <c r="D5517" s="3">
        <v>14</v>
      </c>
      <c r="E5517" s="3" t="s">
        <v>12</v>
      </c>
      <c r="F5517" s="4">
        <v>72</v>
      </c>
      <c r="G5517" s="4"/>
      <c r="H5517" s="4">
        <f t="shared" si="564"/>
        <v>72</v>
      </c>
    </row>
    <row r="5518" ht="14.25" spans="1:8">
      <c r="A5518" s="3" t="str">
        <f>"30303418015"</f>
        <v>30303418015</v>
      </c>
      <c r="B5518" s="3">
        <v>4</v>
      </c>
      <c r="C5518" s="3">
        <v>180</v>
      </c>
      <c r="D5518" s="3">
        <v>15</v>
      </c>
      <c r="E5518" s="3" t="s">
        <v>12</v>
      </c>
      <c r="F5518" s="4">
        <v>78.5</v>
      </c>
      <c r="G5518" s="4"/>
      <c r="H5518" s="4">
        <f t="shared" si="564"/>
        <v>78.5</v>
      </c>
    </row>
    <row r="5519" ht="14.25" spans="1:8">
      <c r="A5519" s="3" t="str">
        <f>"30303418016"</f>
        <v>30303418016</v>
      </c>
      <c r="B5519" s="3">
        <v>4</v>
      </c>
      <c r="C5519" s="3">
        <v>180</v>
      </c>
      <c r="D5519" s="3">
        <v>16</v>
      </c>
      <c r="E5519" s="3" t="s">
        <v>12</v>
      </c>
      <c r="F5519" s="4">
        <v>81.5</v>
      </c>
      <c r="G5519" s="4"/>
      <c r="H5519" s="4">
        <f t="shared" si="564"/>
        <v>81.5</v>
      </c>
    </row>
    <row r="5520" ht="14.25" spans="1:8">
      <c r="A5520" s="3" t="str">
        <f>"30303418017"</f>
        <v>30303418017</v>
      </c>
      <c r="B5520" s="3">
        <v>4</v>
      </c>
      <c r="C5520" s="3">
        <v>180</v>
      </c>
      <c r="D5520" s="3">
        <v>17</v>
      </c>
      <c r="E5520" s="3" t="s">
        <v>12</v>
      </c>
      <c r="F5520" s="4">
        <v>68</v>
      </c>
      <c r="G5520" s="4"/>
      <c r="H5520" s="4">
        <f t="shared" si="564"/>
        <v>68</v>
      </c>
    </row>
    <row r="5521" ht="14.25" spans="1:8">
      <c r="A5521" s="3" t="str">
        <f>"30303418018"</f>
        <v>30303418018</v>
      </c>
      <c r="B5521" s="3">
        <v>4</v>
      </c>
      <c r="C5521" s="3">
        <v>180</v>
      </c>
      <c r="D5521" s="3">
        <v>18</v>
      </c>
      <c r="E5521" s="3" t="s">
        <v>12</v>
      </c>
      <c r="F5521" s="3">
        <v>0</v>
      </c>
      <c r="G5521" s="4"/>
      <c r="H5521" s="3">
        <v>0</v>
      </c>
    </row>
    <row r="5522" ht="14.25" spans="1:8">
      <c r="A5522" s="3" t="str">
        <f>"30303418019"</f>
        <v>30303418019</v>
      </c>
      <c r="B5522" s="3">
        <v>4</v>
      </c>
      <c r="C5522" s="3">
        <v>180</v>
      </c>
      <c r="D5522" s="3">
        <v>19</v>
      </c>
      <c r="E5522" s="3" t="s">
        <v>12</v>
      </c>
      <c r="F5522" s="4">
        <v>54.5</v>
      </c>
      <c r="G5522" s="4"/>
      <c r="H5522" s="4">
        <f t="shared" ref="H5522:H5526" si="565">F5522+G5522</f>
        <v>54.5</v>
      </c>
    </row>
    <row r="5523" ht="14.25" spans="1:8">
      <c r="A5523" s="3" t="str">
        <f>"30303418020"</f>
        <v>30303418020</v>
      </c>
      <c r="B5523" s="3">
        <v>4</v>
      </c>
      <c r="C5523" s="3">
        <v>180</v>
      </c>
      <c r="D5523" s="3">
        <v>20</v>
      </c>
      <c r="E5523" s="3" t="s">
        <v>12</v>
      </c>
      <c r="F5523" s="4">
        <v>54.5</v>
      </c>
      <c r="G5523" s="4"/>
      <c r="H5523" s="4">
        <f t="shared" si="565"/>
        <v>54.5</v>
      </c>
    </row>
    <row r="5524" ht="14.25" spans="1:8">
      <c r="A5524" s="3" t="str">
        <f>"30303418021"</f>
        <v>30303418021</v>
      </c>
      <c r="B5524" s="3">
        <v>4</v>
      </c>
      <c r="C5524" s="3">
        <v>180</v>
      </c>
      <c r="D5524" s="3">
        <v>21</v>
      </c>
      <c r="E5524" s="3" t="s">
        <v>12</v>
      </c>
      <c r="F5524" s="4">
        <v>77.5</v>
      </c>
      <c r="G5524" s="4"/>
      <c r="H5524" s="4">
        <f t="shared" si="565"/>
        <v>77.5</v>
      </c>
    </row>
    <row r="5525" ht="14.25" spans="1:8">
      <c r="A5525" s="3" t="str">
        <f>"30303418022"</f>
        <v>30303418022</v>
      </c>
      <c r="B5525" s="3">
        <v>4</v>
      </c>
      <c r="C5525" s="3">
        <v>180</v>
      </c>
      <c r="D5525" s="3">
        <v>22</v>
      </c>
      <c r="E5525" s="3" t="s">
        <v>12</v>
      </c>
      <c r="F5525" s="4">
        <v>77</v>
      </c>
      <c r="G5525" s="4"/>
      <c r="H5525" s="4">
        <f t="shared" si="565"/>
        <v>77</v>
      </c>
    </row>
    <row r="5526" ht="14.25" spans="1:8">
      <c r="A5526" s="3" t="str">
        <f>"30303418023"</f>
        <v>30303418023</v>
      </c>
      <c r="B5526" s="3">
        <v>4</v>
      </c>
      <c r="C5526" s="3">
        <v>180</v>
      </c>
      <c r="D5526" s="3">
        <v>23</v>
      </c>
      <c r="E5526" s="3" t="s">
        <v>12</v>
      </c>
      <c r="F5526" s="4">
        <v>66.5</v>
      </c>
      <c r="G5526" s="4"/>
      <c r="H5526" s="4">
        <f t="shared" si="565"/>
        <v>66.5</v>
      </c>
    </row>
    <row r="5527" ht="14.25" spans="1:8">
      <c r="A5527" s="3" t="str">
        <f>"30303418024"</f>
        <v>30303418024</v>
      </c>
      <c r="B5527" s="3">
        <v>4</v>
      </c>
      <c r="C5527" s="3">
        <v>180</v>
      </c>
      <c r="D5527" s="3">
        <v>24</v>
      </c>
      <c r="E5527" s="3" t="s">
        <v>12</v>
      </c>
      <c r="F5527" s="3">
        <v>0</v>
      </c>
      <c r="G5527" s="4"/>
      <c r="H5527" s="3">
        <v>0</v>
      </c>
    </row>
    <row r="5528" ht="14.25" spans="1:8">
      <c r="A5528" s="3" t="str">
        <f>"30303418025"</f>
        <v>30303418025</v>
      </c>
      <c r="B5528" s="3">
        <v>4</v>
      </c>
      <c r="C5528" s="3">
        <v>180</v>
      </c>
      <c r="D5528" s="3">
        <v>25</v>
      </c>
      <c r="E5528" s="3" t="s">
        <v>12</v>
      </c>
      <c r="F5528" s="3">
        <v>0</v>
      </c>
      <c r="G5528" s="4"/>
      <c r="H5528" s="3">
        <v>0</v>
      </c>
    </row>
    <row r="5529" ht="14.25" spans="1:8">
      <c r="A5529" s="3" t="str">
        <f>"30303418026"</f>
        <v>30303418026</v>
      </c>
      <c r="B5529" s="3">
        <v>4</v>
      </c>
      <c r="C5529" s="3">
        <v>180</v>
      </c>
      <c r="D5529" s="3">
        <v>26</v>
      </c>
      <c r="E5529" s="3" t="s">
        <v>12</v>
      </c>
      <c r="F5529" s="4">
        <v>71.5</v>
      </c>
      <c r="G5529" s="4"/>
      <c r="H5529" s="4">
        <f t="shared" ref="H5529:H5532" si="566">F5529+G5529</f>
        <v>71.5</v>
      </c>
    </row>
    <row r="5530" ht="14.25" spans="1:8">
      <c r="A5530" s="3" t="str">
        <f>"30303418027"</f>
        <v>30303418027</v>
      </c>
      <c r="B5530" s="3">
        <v>4</v>
      </c>
      <c r="C5530" s="3">
        <v>180</v>
      </c>
      <c r="D5530" s="3">
        <v>27</v>
      </c>
      <c r="E5530" s="3" t="s">
        <v>12</v>
      </c>
      <c r="F5530" s="3">
        <v>0</v>
      </c>
      <c r="G5530" s="4"/>
      <c r="H5530" s="3">
        <v>0</v>
      </c>
    </row>
    <row r="5531" ht="14.25" spans="1:8">
      <c r="A5531" s="3" t="str">
        <f>"30303418028"</f>
        <v>30303418028</v>
      </c>
      <c r="B5531" s="3">
        <v>4</v>
      </c>
      <c r="C5531" s="3">
        <v>180</v>
      </c>
      <c r="D5531" s="3">
        <v>28</v>
      </c>
      <c r="E5531" s="3" t="s">
        <v>12</v>
      </c>
      <c r="F5531" s="4">
        <v>68</v>
      </c>
      <c r="G5531" s="4"/>
      <c r="H5531" s="4">
        <f t="shared" si="566"/>
        <v>68</v>
      </c>
    </row>
    <row r="5532" ht="14.25" spans="1:8">
      <c r="A5532" s="3" t="str">
        <f>"30304418029"</f>
        <v>30304418029</v>
      </c>
      <c r="B5532" s="3">
        <v>4</v>
      </c>
      <c r="C5532" s="3">
        <v>180</v>
      </c>
      <c r="D5532" s="3">
        <v>29</v>
      </c>
      <c r="E5532" s="3" t="s">
        <v>12</v>
      </c>
      <c r="F5532" s="4">
        <v>78</v>
      </c>
      <c r="G5532" s="4"/>
      <c r="H5532" s="4">
        <f t="shared" si="566"/>
        <v>78</v>
      </c>
    </row>
    <row r="5533" ht="14.25" spans="1:8">
      <c r="A5533" s="3" t="str">
        <f>"30304418030"</f>
        <v>30304418030</v>
      </c>
      <c r="B5533" s="3">
        <v>4</v>
      </c>
      <c r="C5533" s="3">
        <v>180</v>
      </c>
      <c r="D5533" s="3">
        <v>30</v>
      </c>
      <c r="E5533" s="3" t="s">
        <v>12</v>
      </c>
      <c r="F5533" s="3">
        <v>0</v>
      </c>
      <c r="G5533" s="4"/>
      <c r="H5533" s="3">
        <v>0</v>
      </c>
    </row>
    <row r="5534" ht="14.25" spans="1:8">
      <c r="A5534" s="3" t="str">
        <f>"30304418101"</f>
        <v>30304418101</v>
      </c>
      <c r="B5534" s="3">
        <v>4</v>
      </c>
      <c r="C5534" s="3">
        <v>181</v>
      </c>
      <c r="D5534" s="3">
        <v>1</v>
      </c>
      <c r="E5534" s="3" t="s">
        <v>12</v>
      </c>
      <c r="F5534" s="4">
        <v>75.5</v>
      </c>
      <c r="G5534" s="4"/>
      <c r="H5534" s="4">
        <f t="shared" ref="H5534:H5539" si="567">F5534+G5534</f>
        <v>75.5</v>
      </c>
    </row>
    <row r="5535" ht="14.25" spans="1:8">
      <c r="A5535" s="3" t="str">
        <f>"30304418102"</f>
        <v>30304418102</v>
      </c>
      <c r="B5535" s="3">
        <v>4</v>
      </c>
      <c r="C5535" s="3">
        <v>181</v>
      </c>
      <c r="D5535" s="3">
        <v>2</v>
      </c>
      <c r="E5535" s="3" t="s">
        <v>12</v>
      </c>
      <c r="F5535" s="3">
        <v>0</v>
      </c>
      <c r="G5535" s="4"/>
      <c r="H5535" s="3">
        <v>0</v>
      </c>
    </row>
    <row r="5536" ht="14.25" spans="1:8">
      <c r="A5536" s="3" t="str">
        <f>"30304418103"</f>
        <v>30304418103</v>
      </c>
      <c r="B5536" s="3">
        <v>4</v>
      </c>
      <c r="C5536" s="3">
        <v>181</v>
      </c>
      <c r="D5536" s="3">
        <v>3</v>
      </c>
      <c r="E5536" s="3" t="s">
        <v>12</v>
      </c>
      <c r="F5536" s="4">
        <v>83</v>
      </c>
      <c r="G5536" s="4"/>
      <c r="H5536" s="4">
        <f t="shared" si="567"/>
        <v>83</v>
      </c>
    </row>
    <row r="5537" ht="14.25" spans="1:8">
      <c r="A5537" s="3" t="str">
        <f>"30304418104"</f>
        <v>30304418104</v>
      </c>
      <c r="B5537" s="3">
        <v>4</v>
      </c>
      <c r="C5537" s="3">
        <v>181</v>
      </c>
      <c r="D5537" s="3">
        <v>4</v>
      </c>
      <c r="E5537" s="3" t="s">
        <v>12</v>
      </c>
      <c r="F5537" s="3">
        <v>0</v>
      </c>
      <c r="G5537" s="4"/>
      <c r="H5537" s="3">
        <v>0</v>
      </c>
    </row>
    <row r="5538" ht="14.25" spans="1:8">
      <c r="A5538" s="3" t="str">
        <f>"30304418105"</f>
        <v>30304418105</v>
      </c>
      <c r="B5538" s="3">
        <v>4</v>
      </c>
      <c r="C5538" s="3">
        <v>181</v>
      </c>
      <c r="D5538" s="3">
        <v>5</v>
      </c>
      <c r="E5538" s="3" t="s">
        <v>12</v>
      </c>
      <c r="F5538" s="4">
        <v>71.5</v>
      </c>
      <c r="G5538" s="4"/>
      <c r="H5538" s="4">
        <f t="shared" si="567"/>
        <v>71.5</v>
      </c>
    </row>
    <row r="5539" ht="14.25" spans="1:8">
      <c r="A5539" s="3" t="str">
        <f>"30304418106"</f>
        <v>30304418106</v>
      </c>
      <c r="B5539" s="3">
        <v>4</v>
      </c>
      <c r="C5539" s="3">
        <v>181</v>
      </c>
      <c r="D5539" s="3">
        <v>6</v>
      </c>
      <c r="E5539" s="3" t="s">
        <v>12</v>
      </c>
      <c r="F5539" s="4">
        <v>77</v>
      </c>
      <c r="G5539" s="4"/>
      <c r="H5539" s="4">
        <f t="shared" si="567"/>
        <v>77</v>
      </c>
    </row>
    <row r="5540" ht="14.25" spans="1:8">
      <c r="A5540" s="3" t="str">
        <f>"30304418107"</f>
        <v>30304418107</v>
      </c>
      <c r="B5540" s="3">
        <v>4</v>
      </c>
      <c r="C5540" s="3">
        <v>181</v>
      </c>
      <c r="D5540" s="3">
        <v>7</v>
      </c>
      <c r="E5540" s="3" t="s">
        <v>12</v>
      </c>
      <c r="F5540" s="3">
        <v>0</v>
      </c>
      <c r="G5540" s="4"/>
      <c r="H5540" s="3">
        <v>0</v>
      </c>
    </row>
    <row r="5541" ht="14.25" spans="1:8">
      <c r="A5541" s="3" t="str">
        <f>"30304418108"</f>
        <v>30304418108</v>
      </c>
      <c r="B5541" s="3">
        <v>4</v>
      </c>
      <c r="C5541" s="3">
        <v>181</v>
      </c>
      <c r="D5541" s="3">
        <v>8</v>
      </c>
      <c r="E5541" s="3" t="s">
        <v>12</v>
      </c>
      <c r="F5541" s="3">
        <v>0</v>
      </c>
      <c r="G5541" s="4"/>
      <c r="H5541" s="3">
        <v>0</v>
      </c>
    </row>
    <row r="5542" ht="14.25" spans="1:8">
      <c r="A5542" s="3" t="str">
        <f>"30304418109"</f>
        <v>30304418109</v>
      </c>
      <c r="B5542" s="3">
        <v>4</v>
      </c>
      <c r="C5542" s="3">
        <v>181</v>
      </c>
      <c r="D5542" s="3">
        <v>9</v>
      </c>
      <c r="E5542" s="3" t="s">
        <v>12</v>
      </c>
      <c r="F5542" s="4">
        <v>80</v>
      </c>
      <c r="G5542" s="4"/>
      <c r="H5542" s="4">
        <f t="shared" ref="H5542:H5547" si="568">F5542+G5542</f>
        <v>80</v>
      </c>
    </row>
    <row r="5543" ht="14.25" spans="1:8">
      <c r="A5543" s="3" t="str">
        <f>"30304418110"</f>
        <v>30304418110</v>
      </c>
      <c r="B5543" s="3">
        <v>4</v>
      </c>
      <c r="C5543" s="3">
        <v>181</v>
      </c>
      <c r="D5543" s="3">
        <v>10</v>
      </c>
      <c r="E5543" s="3" t="s">
        <v>12</v>
      </c>
      <c r="F5543" s="4">
        <v>74</v>
      </c>
      <c r="G5543" s="4"/>
      <c r="H5543" s="4">
        <f t="shared" si="568"/>
        <v>74</v>
      </c>
    </row>
    <row r="5544" ht="14.25" spans="1:8">
      <c r="A5544" s="3" t="str">
        <f>"30304418111"</f>
        <v>30304418111</v>
      </c>
      <c r="B5544" s="3">
        <v>4</v>
      </c>
      <c r="C5544" s="3">
        <v>181</v>
      </c>
      <c r="D5544" s="3">
        <v>11</v>
      </c>
      <c r="E5544" s="3" t="s">
        <v>12</v>
      </c>
      <c r="F5544" s="3">
        <v>0</v>
      </c>
      <c r="G5544" s="4"/>
      <c r="H5544" s="3">
        <v>0</v>
      </c>
    </row>
    <row r="5545" ht="14.25" spans="1:8">
      <c r="A5545" s="3" t="str">
        <f>"30304418112"</f>
        <v>30304418112</v>
      </c>
      <c r="B5545" s="3">
        <v>4</v>
      </c>
      <c r="C5545" s="3">
        <v>181</v>
      </c>
      <c r="D5545" s="3">
        <v>12</v>
      </c>
      <c r="E5545" s="3" t="s">
        <v>12</v>
      </c>
      <c r="F5545" s="3">
        <v>0</v>
      </c>
      <c r="G5545" s="4"/>
      <c r="H5545" s="3">
        <v>0</v>
      </c>
    </row>
    <row r="5546" ht="14.25" spans="1:8">
      <c r="A5546" s="3" t="str">
        <f>"30304418113"</f>
        <v>30304418113</v>
      </c>
      <c r="B5546" s="3">
        <v>4</v>
      </c>
      <c r="C5546" s="3">
        <v>181</v>
      </c>
      <c r="D5546" s="3">
        <v>13</v>
      </c>
      <c r="E5546" s="3" t="s">
        <v>12</v>
      </c>
      <c r="F5546" s="3">
        <v>0</v>
      </c>
      <c r="G5546" s="4"/>
      <c r="H5546" s="3">
        <v>0</v>
      </c>
    </row>
    <row r="5547" ht="14.25" spans="1:8">
      <c r="A5547" s="3" t="str">
        <f>"30304418114"</f>
        <v>30304418114</v>
      </c>
      <c r="B5547" s="3">
        <v>4</v>
      </c>
      <c r="C5547" s="3">
        <v>181</v>
      </c>
      <c r="D5547" s="3">
        <v>14</v>
      </c>
      <c r="E5547" s="3" t="s">
        <v>12</v>
      </c>
      <c r="F5547" s="4">
        <v>83.5</v>
      </c>
      <c r="G5547" s="4"/>
      <c r="H5547" s="4">
        <f t="shared" si="568"/>
        <v>83.5</v>
      </c>
    </row>
    <row r="5548" ht="14.25" spans="1:8">
      <c r="A5548" s="3" t="str">
        <f>"30304418115"</f>
        <v>30304418115</v>
      </c>
      <c r="B5548" s="3">
        <v>4</v>
      </c>
      <c r="C5548" s="3">
        <v>181</v>
      </c>
      <c r="D5548" s="3">
        <v>15</v>
      </c>
      <c r="E5548" s="3" t="s">
        <v>12</v>
      </c>
      <c r="F5548" s="3">
        <v>0</v>
      </c>
      <c r="G5548" s="4"/>
      <c r="H5548" s="3">
        <v>0</v>
      </c>
    </row>
    <row r="5549" ht="14.25" spans="1:8">
      <c r="A5549" s="3" t="str">
        <f>"30305418116"</f>
        <v>30305418116</v>
      </c>
      <c r="B5549" s="3">
        <v>4</v>
      </c>
      <c r="C5549" s="3">
        <v>181</v>
      </c>
      <c r="D5549" s="3">
        <v>16</v>
      </c>
      <c r="E5549" s="3" t="s">
        <v>12</v>
      </c>
      <c r="F5549" s="4">
        <v>62.5</v>
      </c>
      <c r="G5549" s="4"/>
      <c r="H5549" s="4">
        <f t="shared" ref="H5549:H5551" si="569">F5549+G5549</f>
        <v>62.5</v>
      </c>
    </row>
    <row r="5550" ht="14.25" spans="1:8">
      <c r="A5550" s="3" t="str">
        <f>"30305418117"</f>
        <v>30305418117</v>
      </c>
      <c r="B5550" s="3">
        <v>4</v>
      </c>
      <c r="C5550" s="3">
        <v>181</v>
      </c>
      <c r="D5550" s="3">
        <v>17</v>
      </c>
      <c r="E5550" s="3" t="s">
        <v>12</v>
      </c>
      <c r="F5550" s="4">
        <v>62</v>
      </c>
      <c r="G5550" s="4"/>
      <c r="H5550" s="4">
        <f t="shared" si="569"/>
        <v>62</v>
      </c>
    </row>
    <row r="5551" ht="14.25" spans="1:8">
      <c r="A5551" s="3" t="str">
        <f>"30305418118"</f>
        <v>30305418118</v>
      </c>
      <c r="B5551" s="3">
        <v>4</v>
      </c>
      <c r="C5551" s="3">
        <v>181</v>
      </c>
      <c r="D5551" s="3">
        <v>18</v>
      </c>
      <c r="E5551" s="3" t="s">
        <v>12</v>
      </c>
      <c r="F5551" s="4">
        <v>74</v>
      </c>
      <c r="G5551" s="4"/>
      <c r="H5551" s="4">
        <f t="shared" si="569"/>
        <v>74</v>
      </c>
    </row>
    <row r="5552" ht="14.25" spans="1:8">
      <c r="A5552" s="3" t="str">
        <f>"30305418119"</f>
        <v>30305418119</v>
      </c>
      <c r="B5552" s="3">
        <v>4</v>
      </c>
      <c r="C5552" s="3">
        <v>181</v>
      </c>
      <c r="D5552" s="3">
        <v>19</v>
      </c>
      <c r="E5552" s="3" t="s">
        <v>12</v>
      </c>
      <c r="F5552" s="3">
        <v>0</v>
      </c>
      <c r="G5552" s="4"/>
      <c r="H5552" s="3">
        <v>0</v>
      </c>
    </row>
    <row r="5553" ht="14.25" spans="1:8">
      <c r="A5553" s="3" t="str">
        <f>"30305418120"</f>
        <v>30305418120</v>
      </c>
      <c r="B5553" s="3">
        <v>4</v>
      </c>
      <c r="C5553" s="3">
        <v>181</v>
      </c>
      <c r="D5553" s="3">
        <v>20</v>
      </c>
      <c r="E5553" s="3" t="s">
        <v>12</v>
      </c>
      <c r="F5553" s="4">
        <v>86</v>
      </c>
      <c r="G5553" s="4"/>
      <c r="H5553" s="4">
        <f t="shared" ref="H5553:H5560" si="570">F5553+G5553</f>
        <v>86</v>
      </c>
    </row>
    <row r="5554" ht="14.25" spans="1:8">
      <c r="A5554" s="3" t="str">
        <f>"30305418121"</f>
        <v>30305418121</v>
      </c>
      <c r="B5554" s="3">
        <v>4</v>
      </c>
      <c r="C5554" s="3">
        <v>181</v>
      </c>
      <c r="D5554" s="3">
        <v>21</v>
      </c>
      <c r="E5554" s="3" t="s">
        <v>12</v>
      </c>
      <c r="F5554" s="4">
        <v>78</v>
      </c>
      <c r="G5554" s="4"/>
      <c r="H5554" s="4">
        <f t="shared" si="570"/>
        <v>78</v>
      </c>
    </row>
    <row r="5555" ht="14.25" spans="1:8">
      <c r="A5555" s="3" t="str">
        <f>"30305418122"</f>
        <v>30305418122</v>
      </c>
      <c r="B5555" s="3">
        <v>4</v>
      </c>
      <c r="C5555" s="3">
        <v>181</v>
      </c>
      <c r="D5555" s="3">
        <v>22</v>
      </c>
      <c r="E5555" s="3" t="s">
        <v>12</v>
      </c>
      <c r="F5555" s="4">
        <v>66</v>
      </c>
      <c r="G5555" s="4"/>
      <c r="H5555" s="4">
        <f t="shared" si="570"/>
        <v>66</v>
      </c>
    </row>
    <row r="5556" ht="14.25" spans="1:8">
      <c r="A5556" s="3" t="str">
        <f>"30305418123"</f>
        <v>30305418123</v>
      </c>
      <c r="B5556" s="3">
        <v>4</v>
      </c>
      <c r="C5556" s="3">
        <v>181</v>
      </c>
      <c r="D5556" s="3">
        <v>23</v>
      </c>
      <c r="E5556" s="3" t="s">
        <v>12</v>
      </c>
      <c r="F5556" s="4">
        <v>80</v>
      </c>
      <c r="G5556" s="4"/>
      <c r="H5556" s="4">
        <f t="shared" si="570"/>
        <v>80</v>
      </c>
    </row>
    <row r="5557" ht="14.25" spans="1:8">
      <c r="A5557" s="3" t="str">
        <f>"30305418124"</f>
        <v>30305418124</v>
      </c>
      <c r="B5557" s="3">
        <v>4</v>
      </c>
      <c r="C5557" s="3">
        <v>181</v>
      </c>
      <c r="D5557" s="3">
        <v>24</v>
      </c>
      <c r="E5557" s="3" t="s">
        <v>12</v>
      </c>
      <c r="F5557" s="4">
        <v>59.5</v>
      </c>
      <c r="G5557" s="4"/>
      <c r="H5557" s="4">
        <f t="shared" si="570"/>
        <v>59.5</v>
      </c>
    </row>
    <row r="5558" ht="14.25" spans="1:8">
      <c r="A5558" s="3" t="str">
        <f>"30305418125"</f>
        <v>30305418125</v>
      </c>
      <c r="B5558" s="3">
        <v>4</v>
      </c>
      <c r="C5558" s="3">
        <v>181</v>
      </c>
      <c r="D5558" s="3">
        <v>25</v>
      </c>
      <c r="E5558" s="3" t="s">
        <v>12</v>
      </c>
      <c r="F5558" s="4">
        <v>64</v>
      </c>
      <c r="G5558" s="4"/>
      <c r="H5558" s="4">
        <f t="shared" si="570"/>
        <v>64</v>
      </c>
    </row>
    <row r="5559" ht="14.25" spans="1:8">
      <c r="A5559" s="3" t="str">
        <f>"30305418126"</f>
        <v>30305418126</v>
      </c>
      <c r="B5559" s="3">
        <v>4</v>
      </c>
      <c r="C5559" s="3">
        <v>181</v>
      </c>
      <c r="D5559" s="3">
        <v>26</v>
      </c>
      <c r="E5559" s="3" t="s">
        <v>12</v>
      </c>
      <c r="F5559" s="4">
        <v>64</v>
      </c>
      <c r="G5559" s="4"/>
      <c r="H5559" s="4">
        <f t="shared" si="570"/>
        <v>64</v>
      </c>
    </row>
    <row r="5560" ht="14.25" spans="1:8">
      <c r="A5560" s="3" t="str">
        <f>"30305418127"</f>
        <v>30305418127</v>
      </c>
      <c r="B5560" s="3">
        <v>4</v>
      </c>
      <c r="C5560" s="3">
        <v>181</v>
      </c>
      <c r="D5560" s="3">
        <v>27</v>
      </c>
      <c r="E5560" s="3" t="s">
        <v>12</v>
      </c>
      <c r="F5560" s="4">
        <v>64.5</v>
      </c>
      <c r="G5560" s="4"/>
      <c r="H5560" s="4">
        <f t="shared" si="570"/>
        <v>64.5</v>
      </c>
    </row>
    <row r="5561" ht="14.25" spans="1:8">
      <c r="A5561" s="3" t="str">
        <f>"30305418128"</f>
        <v>30305418128</v>
      </c>
      <c r="B5561" s="3">
        <v>4</v>
      </c>
      <c r="C5561" s="3">
        <v>181</v>
      </c>
      <c r="D5561" s="3">
        <v>28</v>
      </c>
      <c r="E5561" s="3" t="s">
        <v>12</v>
      </c>
      <c r="F5561" s="3">
        <v>0</v>
      </c>
      <c r="G5561" s="4"/>
      <c r="H5561" s="3">
        <v>0</v>
      </c>
    </row>
    <row r="5562" ht="14.25" spans="1:8">
      <c r="A5562" s="3" t="str">
        <f>"30305418129"</f>
        <v>30305418129</v>
      </c>
      <c r="B5562" s="3">
        <v>4</v>
      </c>
      <c r="C5562" s="3">
        <v>181</v>
      </c>
      <c r="D5562" s="3">
        <v>29</v>
      </c>
      <c r="E5562" s="3" t="s">
        <v>12</v>
      </c>
      <c r="F5562" s="3">
        <v>0</v>
      </c>
      <c r="G5562" s="4"/>
      <c r="H5562" s="3">
        <v>0</v>
      </c>
    </row>
    <row r="5563" ht="14.25" spans="1:8">
      <c r="A5563" s="3" t="str">
        <f>"30305418130"</f>
        <v>30305418130</v>
      </c>
      <c r="B5563" s="3">
        <v>4</v>
      </c>
      <c r="C5563" s="3">
        <v>181</v>
      </c>
      <c r="D5563" s="3">
        <v>30</v>
      </c>
      <c r="E5563" s="3" t="s">
        <v>12</v>
      </c>
      <c r="F5563" s="4">
        <v>47.5</v>
      </c>
      <c r="G5563" s="4"/>
      <c r="H5563" s="4">
        <f t="shared" ref="H5563:H5573" si="571">F5563+G5563</f>
        <v>47.5</v>
      </c>
    </row>
    <row r="5564" ht="14.25" spans="1:8">
      <c r="A5564" s="3" t="str">
        <f>"30306418201"</f>
        <v>30306418201</v>
      </c>
      <c r="B5564" s="3">
        <v>4</v>
      </c>
      <c r="C5564" s="3">
        <v>182</v>
      </c>
      <c r="D5564" s="3">
        <v>1</v>
      </c>
      <c r="E5564" s="3" t="s">
        <v>12</v>
      </c>
      <c r="F5564" s="4">
        <v>73.5</v>
      </c>
      <c r="G5564" s="4"/>
      <c r="H5564" s="4">
        <f t="shared" si="571"/>
        <v>73.5</v>
      </c>
    </row>
    <row r="5565" ht="14.25" spans="1:8">
      <c r="A5565" s="3" t="str">
        <f>"30306418202"</f>
        <v>30306418202</v>
      </c>
      <c r="B5565" s="3">
        <v>4</v>
      </c>
      <c r="C5565" s="3">
        <v>182</v>
      </c>
      <c r="D5565" s="3">
        <v>2</v>
      </c>
      <c r="E5565" s="3" t="s">
        <v>12</v>
      </c>
      <c r="F5565" s="4">
        <v>80</v>
      </c>
      <c r="G5565" s="4"/>
      <c r="H5565" s="4">
        <f t="shared" si="571"/>
        <v>80</v>
      </c>
    </row>
    <row r="5566" ht="14.25" spans="1:8">
      <c r="A5566" s="3" t="str">
        <f>"30306418203"</f>
        <v>30306418203</v>
      </c>
      <c r="B5566" s="3">
        <v>4</v>
      </c>
      <c r="C5566" s="3">
        <v>182</v>
      </c>
      <c r="D5566" s="3">
        <v>3</v>
      </c>
      <c r="E5566" s="3" t="s">
        <v>12</v>
      </c>
      <c r="F5566" s="4">
        <v>78.5</v>
      </c>
      <c r="G5566" s="4"/>
      <c r="H5566" s="4">
        <f t="shared" si="571"/>
        <v>78.5</v>
      </c>
    </row>
    <row r="5567" ht="14.25" spans="1:8">
      <c r="A5567" s="3" t="str">
        <f>"30306418204"</f>
        <v>30306418204</v>
      </c>
      <c r="B5567" s="3">
        <v>4</v>
      </c>
      <c r="C5567" s="3">
        <v>182</v>
      </c>
      <c r="D5567" s="3">
        <v>4</v>
      </c>
      <c r="E5567" s="3" t="s">
        <v>12</v>
      </c>
      <c r="F5567" s="4">
        <v>74</v>
      </c>
      <c r="G5567" s="4"/>
      <c r="H5567" s="4">
        <f t="shared" si="571"/>
        <v>74</v>
      </c>
    </row>
    <row r="5568" ht="14.25" spans="1:8">
      <c r="A5568" s="3" t="str">
        <f>"30306418205"</f>
        <v>30306418205</v>
      </c>
      <c r="B5568" s="3">
        <v>4</v>
      </c>
      <c r="C5568" s="3">
        <v>182</v>
      </c>
      <c r="D5568" s="3">
        <v>5</v>
      </c>
      <c r="E5568" s="3" t="s">
        <v>12</v>
      </c>
      <c r="F5568" s="4">
        <v>57.5</v>
      </c>
      <c r="G5568" s="4"/>
      <c r="H5568" s="4">
        <f t="shared" si="571"/>
        <v>57.5</v>
      </c>
    </row>
    <row r="5569" ht="14.25" spans="1:8">
      <c r="A5569" s="3" t="str">
        <f>"30306418206"</f>
        <v>30306418206</v>
      </c>
      <c r="B5569" s="3">
        <v>4</v>
      </c>
      <c r="C5569" s="3">
        <v>182</v>
      </c>
      <c r="D5569" s="3">
        <v>6</v>
      </c>
      <c r="E5569" s="3" t="s">
        <v>12</v>
      </c>
      <c r="F5569" s="4">
        <v>74</v>
      </c>
      <c r="G5569" s="4"/>
      <c r="H5569" s="4">
        <f t="shared" si="571"/>
        <v>74</v>
      </c>
    </row>
    <row r="5570" ht="14.25" spans="1:8">
      <c r="A5570" s="3" t="str">
        <f>"30306418207"</f>
        <v>30306418207</v>
      </c>
      <c r="B5570" s="3">
        <v>4</v>
      </c>
      <c r="C5570" s="3">
        <v>182</v>
      </c>
      <c r="D5570" s="3">
        <v>7</v>
      </c>
      <c r="E5570" s="3" t="s">
        <v>12</v>
      </c>
      <c r="F5570" s="4">
        <v>71</v>
      </c>
      <c r="G5570" s="4"/>
      <c r="H5570" s="4">
        <f t="shared" si="571"/>
        <v>71</v>
      </c>
    </row>
    <row r="5571" ht="14.25" spans="1:8">
      <c r="A5571" s="3" t="str">
        <f>"30306418208"</f>
        <v>30306418208</v>
      </c>
      <c r="B5571" s="3">
        <v>4</v>
      </c>
      <c r="C5571" s="3">
        <v>182</v>
      </c>
      <c r="D5571" s="3">
        <v>8</v>
      </c>
      <c r="E5571" s="3" t="s">
        <v>12</v>
      </c>
      <c r="F5571" s="4">
        <v>85</v>
      </c>
      <c r="G5571" s="4"/>
      <c r="H5571" s="4">
        <f t="shared" si="571"/>
        <v>85</v>
      </c>
    </row>
    <row r="5572" ht="14.25" spans="1:8">
      <c r="A5572" s="3" t="str">
        <f>"30306418209"</f>
        <v>30306418209</v>
      </c>
      <c r="B5572" s="3">
        <v>4</v>
      </c>
      <c r="C5572" s="3">
        <v>182</v>
      </c>
      <c r="D5572" s="3">
        <v>9</v>
      </c>
      <c r="E5572" s="3" t="s">
        <v>12</v>
      </c>
      <c r="F5572" s="4">
        <v>62</v>
      </c>
      <c r="G5572" s="4"/>
      <c r="H5572" s="4">
        <f t="shared" si="571"/>
        <v>62</v>
      </c>
    </row>
    <row r="5573" ht="14.25" spans="1:8">
      <c r="A5573" s="3" t="str">
        <f>"30306418210"</f>
        <v>30306418210</v>
      </c>
      <c r="B5573" s="3">
        <v>4</v>
      </c>
      <c r="C5573" s="3">
        <v>182</v>
      </c>
      <c r="D5573" s="3">
        <v>10</v>
      </c>
      <c r="E5573" s="3" t="s">
        <v>12</v>
      </c>
      <c r="F5573" s="4">
        <v>81.5</v>
      </c>
      <c r="G5573" s="4"/>
      <c r="H5573" s="4">
        <f t="shared" si="571"/>
        <v>81.5</v>
      </c>
    </row>
    <row r="5574" ht="14.25" spans="1:8">
      <c r="A5574" s="3" t="str">
        <f>"30306418211"</f>
        <v>30306418211</v>
      </c>
      <c r="B5574" s="3">
        <v>4</v>
      </c>
      <c r="C5574" s="3">
        <v>182</v>
      </c>
      <c r="D5574" s="3">
        <v>11</v>
      </c>
      <c r="E5574" s="3" t="s">
        <v>12</v>
      </c>
      <c r="F5574" s="3">
        <v>0</v>
      </c>
      <c r="G5574" s="4"/>
      <c r="H5574" s="3">
        <v>0</v>
      </c>
    </row>
    <row r="5575" ht="14.25" spans="1:8">
      <c r="A5575" s="3" t="str">
        <f>"30307418212"</f>
        <v>30307418212</v>
      </c>
      <c r="B5575" s="3">
        <v>4</v>
      </c>
      <c r="C5575" s="3">
        <v>182</v>
      </c>
      <c r="D5575" s="3">
        <v>12</v>
      </c>
      <c r="E5575" s="3" t="s">
        <v>12</v>
      </c>
      <c r="F5575" s="4">
        <v>59.5</v>
      </c>
      <c r="G5575" s="4"/>
      <c r="H5575" s="4">
        <f t="shared" ref="H5575:H5580" si="572">F5575+G5575</f>
        <v>59.5</v>
      </c>
    </row>
    <row r="5576" ht="14.25" spans="1:8">
      <c r="A5576" s="3" t="str">
        <f>"30307418213"</f>
        <v>30307418213</v>
      </c>
      <c r="B5576" s="3">
        <v>4</v>
      </c>
      <c r="C5576" s="3">
        <v>182</v>
      </c>
      <c r="D5576" s="3">
        <v>13</v>
      </c>
      <c r="E5576" s="3" t="s">
        <v>12</v>
      </c>
      <c r="F5576" s="4">
        <v>76</v>
      </c>
      <c r="G5576" s="4"/>
      <c r="H5576" s="4">
        <f t="shared" si="572"/>
        <v>76</v>
      </c>
    </row>
    <row r="5577" ht="14.25" spans="1:8">
      <c r="A5577" s="3" t="str">
        <f>"30307418214"</f>
        <v>30307418214</v>
      </c>
      <c r="B5577" s="3">
        <v>4</v>
      </c>
      <c r="C5577" s="3">
        <v>182</v>
      </c>
      <c r="D5577" s="3">
        <v>14</v>
      </c>
      <c r="E5577" s="3" t="s">
        <v>12</v>
      </c>
      <c r="F5577" s="4">
        <v>70</v>
      </c>
      <c r="G5577" s="4"/>
      <c r="H5577" s="4">
        <f t="shared" si="572"/>
        <v>70</v>
      </c>
    </row>
    <row r="5578" ht="14.25" spans="1:8">
      <c r="A5578" s="3" t="str">
        <f>"30307418215"</f>
        <v>30307418215</v>
      </c>
      <c r="B5578" s="3">
        <v>4</v>
      </c>
      <c r="C5578" s="3">
        <v>182</v>
      </c>
      <c r="D5578" s="3">
        <v>15</v>
      </c>
      <c r="E5578" s="3" t="s">
        <v>12</v>
      </c>
      <c r="F5578" s="4">
        <v>70</v>
      </c>
      <c r="G5578" s="4"/>
      <c r="H5578" s="4">
        <f t="shared" si="572"/>
        <v>70</v>
      </c>
    </row>
    <row r="5579" ht="14.25" spans="1:8">
      <c r="A5579" s="3" t="str">
        <f>"30307418216"</f>
        <v>30307418216</v>
      </c>
      <c r="B5579" s="3">
        <v>4</v>
      </c>
      <c r="C5579" s="3">
        <v>182</v>
      </c>
      <c r="D5579" s="3">
        <v>16</v>
      </c>
      <c r="E5579" s="3" t="s">
        <v>12</v>
      </c>
      <c r="F5579" s="4">
        <v>83.5</v>
      </c>
      <c r="G5579" s="4"/>
      <c r="H5579" s="4">
        <f t="shared" si="572"/>
        <v>83.5</v>
      </c>
    </row>
    <row r="5580" ht="14.25" spans="1:8">
      <c r="A5580" s="3" t="str">
        <f>"30307418217"</f>
        <v>30307418217</v>
      </c>
      <c r="B5580" s="3">
        <v>4</v>
      </c>
      <c r="C5580" s="3">
        <v>182</v>
      </c>
      <c r="D5580" s="3">
        <v>17</v>
      </c>
      <c r="E5580" s="3" t="s">
        <v>12</v>
      </c>
      <c r="F5580" s="4">
        <v>72.5</v>
      </c>
      <c r="G5580" s="4"/>
      <c r="H5580" s="4">
        <f t="shared" si="572"/>
        <v>72.5</v>
      </c>
    </row>
    <row r="5581" ht="14.25" spans="1:8">
      <c r="A5581" s="3" t="str">
        <f>"30307418218"</f>
        <v>30307418218</v>
      </c>
      <c r="B5581" s="3">
        <v>4</v>
      </c>
      <c r="C5581" s="3">
        <v>182</v>
      </c>
      <c r="D5581" s="3">
        <v>18</v>
      </c>
      <c r="E5581" s="3" t="s">
        <v>12</v>
      </c>
      <c r="F5581" s="3">
        <v>0</v>
      </c>
      <c r="G5581" s="4"/>
      <c r="H5581" s="3">
        <v>0</v>
      </c>
    </row>
    <row r="5582" ht="14.25" spans="1:8">
      <c r="A5582" s="3" t="str">
        <f>"30307418219"</f>
        <v>30307418219</v>
      </c>
      <c r="B5582" s="3">
        <v>4</v>
      </c>
      <c r="C5582" s="3">
        <v>182</v>
      </c>
      <c r="D5582" s="3">
        <v>19</v>
      </c>
      <c r="E5582" s="3" t="s">
        <v>12</v>
      </c>
      <c r="F5582" s="4">
        <v>58.5</v>
      </c>
      <c r="G5582" s="4"/>
      <c r="H5582" s="4">
        <f t="shared" ref="H5582:H5587" si="573">F5582+G5582</f>
        <v>58.5</v>
      </c>
    </row>
    <row r="5583" ht="14.25" spans="1:8">
      <c r="A5583" s="3" t="str">
        <f>"30307418220"</f>
        <v>30307418220</v>
      </c>
      <c r="B5583" s="3">
        <v>4</v>
      </c>
      <c r="C5583" s="3">
        <v>182</v>
      </c>
      <c r="D5583" s="3">
        <v>20</v>
      </c>
      <c r="E5583" s="3" t="s">
        <v>12</v>
      </c>
      <c r="F5583" s="3">
        <v>0</v>
      </c>
      <c r="G5583" s="4"/>
      <c r="H5583" s="3">
        <v>0</v>
      </c>
    </row>
    <row r="5584" ht="14.25" spans="1:8">
      <c r="A5584" s="3" t="str">
        <f>"30307418221"</f>
        <v>30307418221</v>
      </c>
      <c r="B5584" s="3">
        <v>4</v>
      </c>
      <c r="C5584" s="3">
        <v>182</v>
      </c>
      <c r="D5584" s="3">
        <v>21</v>
      </c>
      <c r="E5584" s="3" t="s">
        <v>12</v>
      </c>
      <c r="F5584" s="4">
        <v>70.5</v>
      </c>
      <c r="G5584" s="4"/>
      <c r="H5584" s="4">
        <f t="shared" si="573"/>
        <v>70.5</v>
      </c>
    </row>
    <row r="5585" ht="14.25" spans="1:8">
      <c r="A5585" s="3" t="str">
        <f>"30307418222"</f>
        <v>30307418222</v>
      </c>
      <c r="B5585" s="3">
        <v>4</v>
      </c>
      <c r="C5585" s="3">
        <v>182</v>
      </c>
      <c r="D5585" s="3">
        <v>22</v>
      </c>
      <c r="E5585" s="3" t="s">
        <v>12</v>
      </c>
      <c r="F5585" s="4">
        <v>81</v>
      </c>
      <c r="G5585" s="4"/>
      <c r="H5585" s="4">
        <f t="shared" si="573"/>
        <v>81</v>
      </c>
    </row>
    <row r="5586" ht="14.25" spans="1:8">
      <c r="A5586" s="3" t="str">
        <f>"30307418223"</f>
        <v>30307418223</v>
      </c>
      <c r="B5586" s="3">
        <v>4</v>
      </c>
      <c r="C5586" s="3">
        <v>182</v>
      </c>
      <c r="D5586" s="3">
        <v>23</v>
      </c>
      <c r="E5586" s="3" t="s">
        <v>12</v>
      </c>
      <c r="F5586" s="4">
        <v>79</v>
      </c>
      <c r="G5586" s="4"/>
      <c r="H5586" s="4">
        <f t="shared" si="573"/>
        <v>79</v>
      </c>
    </row>
    <row r="5587" ht="14.25" spans="1:8">
      <c r="A5587" s="3" t="str">
        <f>"30307418224"</f>
        <v>30307418224</v>
      </c>
      <c r="B5587" s="3">
        <v>4</v>
      </c>
      <c r="C5587" s="3">
        <v>182</v>
      </c>
      <c r="D5587" s="3">
        <v>24</v>
      </c>
      <c r="E5587" s="3" t="s">
        <v>12</v>
      </c>
      <c r="F5587" s="4">
        <v>71.5</v>
      </c>
      <c r="G5587" s="4"/>
      <c r="H5587" s="4">
        <f t="shared" si="573"/>
        <v>71.5</v>
      </c>
    </row>
    <row r="5588" ht="14.25" spans="1:8">
      <c r="A5588" s="3" t="str">
        <f>"30307418225"</f>
        <v>30307418225</v>
      </c>
      <c r="B5588" s="3">
        <v>4</v>
      </c>
      <c r="C5588" s="3">
        <v>182</v>
      </c>
      <c r="D5588" s="3">
        <v>25</v>
      </c>
      <c r="E5588" s="3" t="s">
        <v>12</v>
      </c>
      <c r="F5588" s="3">
        <v>0</v>
      </c>
      <c r="G5588" s="4"/>
      <c r="H5588" s="3">
        <v>0</v>
      </c>
    </row>
    <row r="5589" ht="14.25" spans="1:8">
      <c r="A5589" s="3" t="str">
        <f>"30307418226"</f>
        <v>30307418226</v>
      </c>
      <c r="B5589" s="3">
        <v>4</v>
      </c>
      <c r="C5589" s="3">
        <v>182</v>
      </c>
      <c r="D5589" s="3">
        <v>26</v>
      </c>
      <c r="E5589" s="3" t="s">
        <v>12</v>
      </c>
      <c r="F5589" s="4">
        <v>69.5</v>
      </c>
      <c r="G5589" s="4"/>
      <c r="H5589" s="4">
        <f t="shared" ref="H5589:H5596" si="574">F5589+G5589</f>
        <v>69.5</v>
      </c>
    </row>
    <row r="5590" ht="14.25" spans="1:8">
      <c r="A5590" s="3" t="str">
        <f>"30307418227"</f>
        <v>30307418227</v>
      </c>
      <c r="B5590" s="3">
        <v>4</v>
      </c>
      <c r="C5590" s="3">
        <v>182</v>
      </c>
      <c r="D5590" s="3">
        <v>27</v>
      </c>
      <c r="E5590" s="3" t="s">
        <v>12</v>
      </c>
      <c r="F5590" s="3">
        <v>0</v>
      </c>
      <c r="G5590" s="4"/>
      <c r="H5590" s="3">
        <v>0</v>
      </c>
    </row>
    <row r="5591" ht="14.25" spans="1:8">
      <c r="A5591" s="3" t="str">
        <f>"30307418228"</f>
        <v>30307418228</v>
      </c>
      <c r="B5591" s="3">
        <v>4</v>
      </c>
      <c r="C5591" s="3">
        <v>182</v>
      </c>
      <c r="D5591" s="3">
        <v>28</v>
      </c>
      <c r="E5591" s="3" t="s">
        <v>12</v>
      </c>
      <c r="F5591" s="4">
        <v>54</v>
      </c>
      <c r="G5591" s="4"/>
      <c r="H5591" s="4">
        <f t="shared" si="574"/>
        <v>54</v>
      </c>
    </row>
    <row r="5592" ht="14.25" spans="1:8">
      <c r="A5592" s="3" t="str">
        <f>"30401522813"</f>
        <v>30401522813</v>
      </c>
      <c r="B5592" s="3">
        <v>5</v>
      </c>
      <c r="C5592" s="3">
        <v>228</v>
      </c>
      <c r="D5592" s="3">
        <v>13</v>
      </c>
      <c r="E5592" s="3" t="s">
        <v>9</v>
      </c>
      <c r="F5592" s="4">
        <v>78.5</v>
      </c>
      <c r="G5592" s="4"/>
      <c r="H5592" s="4">
        <f t="shared" si="574"/>
        <v>78.5</v>
      </c>
    </row>
    <row r="5593" ht="14.25" spans="1:8">
      <c r="A5593" s="3" t="str">
        <f>"30401522814"</f>
        <v>30401522814</v>
      </c>
      <c r="B5593" s="3">
        <v>5</v>
      </c>
      <c r="C5593" s="3">
        <v>228</v>
      </c>
      <c r="D5593" s="3">
        <v>14</v>
      </c>
      <c r="E5593" s="3" t="s">
        <v>9</v>
      </c>
      <c r="F5593" s="4">
        <v>74</v>
      </c>
      <c r="G5593" s="4"/>
      <c r="H5593" s="4">
        <f t="shared" si="574"/>
        <v>74</v>
      </c>
    </row>
    <row r="5594" ht="14.25" spans="1:8">
      <c r="A5594" s="3" t="str">
        <f>"30401522815"</f>
        <v>30401522815</v>
      </c>
      <c r="B5594" s="3">
        <v>5</v>
      </c>
      <c r="C5594" s="3">
        <v>228</v>
      </c>
      <c r="D5594" s="3">
        <v>15</v>
      </c>
      <c r="E5594" s="3" t="s">
        <v>9</v>
      </c>
      <c r="F5594" s="4">
        <v>79.5</v>
      </c>
      <c r="G5594" s="4"/>
      <c r="H5594" s="4">
        <f t="shared" si="574"/>
        <v>79.5</v>
      </c>
    </row>
    <row r="5595" ht="14.25" spans="1:8">
      <c r="A5595" s="3" t="str">
        <f>"30401522816"</f>
        <v>30401522816</v>
      </c>
      <c r="B5595" s="3">
        <v>5</v>
      </c>
      <c r="C5595" s="3">
        <v>228</v>
      </c>
      <c r="D5595" s="3">
        <v>16</v>
      </c>
      <c r="E5595" s="3" t="s">
        <v>9</v>
      </c>
      <c r="F5595" s="4">
        <v>79.5</v>
      </c>
      <c r="G5595" s="4"/>
      <c r="H5595" s="4">
        <f t="shared" si="574"/>
        <v>79.5</v>
      </c>
    </row>
    <row r="5596" ht="14.25" spans="1:8">
      <c r="A5596" s="3" t="str">
        <f>"30401522817"</f>
        <v>30401522817</v>
      </c>
      <c r="B5596" s="3">
        <v>5</v>
      </c>
      <c r="C5596" s="3">
        <v>228</v>
      </c>
      <c r="D5596" s="3">
        <v>17</v>
      </c>
      <c r="E5596" s="3" t="s">
        <v>9</v>
      </c>
      <c r="F5596" s="4">
        <v>59.5</v>
      </c>
      <c r="G5596" s="4"/>
      <c r="H5596" s="4">
        <f t="shared" si="574"/>
        <v>59.5</v>
      </c>
    </row>
    <row r="5597" ht="14.25" spans="1:8">
      <c r="A5597" s="3" t="str">
        <f>"30401522818"</f>
        <v>30401522818</v>
      </c>
      <c r="B5597" s="3">
        <v>5</v>
      </c>
      <c r="C5597" s="3">
        <v>228</v>
      </c>
      <c r="D5597" s="3">
        <v>18</v>
      </c>
      <c r="E5597" s="3" t="s">
        <v>9</v>
      </c>
      <c r="F5597" s="3">
        <v>0</v>
      </c>
      <c r="G5597" s="4"/>
      <c r="H5597" s="3">
        <v>0</v>
      </c>
    </row>
    <row r="5598" ht="14.25" spans="1:8">
      <c r="A5598" s="3" t="str">
        <f>"30401522819"</f>
        <v>30401522819</v>
      </c>
      <c r="B5598" s="3">
        <v>5</v>
      </c>
      <c r="C5598" s="3">
        <v>228</v>
      </c>
      <c r="D5598" s="3">
        <v>19</v>
      </c>
      <c r="E5598" s="3" t="s">
        <v>9</v>
      </c>
      <c r="F5598" s="4">
        <v>63.5</v>
      </c>
      <c r="G5598" s="4"/>
      <c r="H5598" s="4">
        <f t="shared" ref="H5598:H5603" si="575">F5598+G5598</f>
        <v>63.5</v>
      </c>
    </row>
    <row r="5599" ht="14.25" spans="1:8">
      <c r="A5599" s="3" t="str">
        <f>"30401522820"</f>
        <v>30401522820</v>
      </c>
      <c r="B5599" s="3">
        <v>5</v>
      </c>
      <c r="C5599" s="3">
        <v>228</v>
      </c>
      <c r="D5599" s="3">
        <v>20</v>
      </c>
      <c r="E5599" s="3" t="s">
        <v>9</v>
      </c>
      <c r="F5599" s="4">
        <v>75.5</v>
      </c>
      <c r="G5599" s="4"/>
      <c r="H5599" s="4">
        <f t="shared" si="575"/>
        <v>75.5</v>
      </c>
    </row>
    <row r="5600" ht="14.25" spans="1:8">
      <c r="A5600" s="3" t="str">
        <f>"30401522821"</f>
        <v>30401522821</v>
      </c>
      <c r="B5600" s="3">
        <v>5</v>
      </c>
      <c r="C5600" s="3">
        <v>228</v>
      </c>
      <c r="D5600" s="3">
        <v>21</v>
      </c>
      <c r="E5600" s="3" t="s">
        <v>9</v>
      </c>
      <c r="F5600" s="4">
        <v>54</v>
      </c>
      <c r="G5600" s="4"/>
      <c r="H5600" s="4">
        <f t="shared" si="575"/>
        <v>54</v>
      </c>
    </row>
    <row r="5601" ht="14.25" spans="1:8">
      <c r="A5601" s="3" t="str">
        <f>"30401522822"</f>
        <v>30401522822</v>
      </c>
      <c r="B5601" s="3">
        <v>5</v>
      </c>
      <c r="C5601" s="3">
        <v>228</v>
      </c>
      <c r="D5601" s="3">
        <v>22</v>
      </c>
      <c r="E5601" s="3" t="s">
        <v>9</v>
      </c>
      <c r="F5601" s="4">
        <v>57</v>
      </c>
      <c r="G5601" s="4"/>
      <c r="H5601" s="4">
        <f t="shared" si="575"/>
        <v>57</v>
      </c>
    </row>
    <row r="5602" ht="14.25" spans="1:8">
      <c r="A5602" s="3" t="str">
        <f>"30401522823"</f>
        <v>30401522823</v>
      </c>
      <c r="B5602" s="3">
        <v>5</v>
      </c>
      <c r="C5602" s="3">
        <v>228</v>
      </c>
      <c r="D5602" s="3">
        <v>23</v>
      </c>
      <c r="E5602" s="3" t="s">
        <v>9</v>
      </c>
      <c r="F5602" s="4">
        <v>75.5</v>
      </c>
      <c r="G5602" s="4"/>
      <c r="H5602" s="4">
        <f t="shared" si="575"/>
        <v>75.5</v>
      </c>
    </row>
    <row r="5603" ht="14.25" spans="1:8">
      <c r="A5603" s="3" t="str">
        <f>"30401522824"</f>
        <v>30401522824</v>
      </c>
      <c r="B5603" s="3">
        <v>5</v>
      </c>
      <c r="C5603" s="3">
        <v>228</v>
      </c>
      <c r="D5603" s="3">
        <v>24</v>
      </c>
      <c r="E5603" s="3" t="s">
        <v>9</v>
      </c>
      <c r="F5603" s="4">
        <v>74</v>
      </c>
      <c r="G5603" s="4"/>
      <c r="H5603" s="4">
        <f t="shared" si="575"/>
        <v>74</v>
      </c>
    </row>
    <row r="5604" ht="14.25" spans="1:8">
      <c r="A5604" s="3" t="str">
        <f>"30401522825"</f>
        <v>30401522825</v>
      </c>
      <c r="B5604" s="3">
        <v>5</v>
      </c>
      <c r="C5604" s="3">
        <v>228</v>
      </c>
      <c r="D5604" s="3">
        <v>25</v>
      </c>
      <c r="E5604" s="3" t="s">
        <v>9</v>
      </c>
      <c r="F5604" s="3">
        <v>0</v>
      </c>
      <c r="G5604" s="4"/>
      <c r="H5604" s="3">
        <v>0</v>
      </c>
    </row>
    <row r="5605" ht="14.25" spans="1:8">
      <c r="A5605" s="3" t="str">
        <f>"30401522826"</f>
        <v>30401522826</v>
      </c>
      <c r="B5605" s="3">
        <v>5</v>
      </c>
      <c r="C5605" s="3">
        <v>228</v>
      </c>
      <c r="D5605" s="3">
        <v>26</v>
      </c>
      <c r="E5605" s="3" t="s">
        <v>9</v>
      </c>
      <c r="F5605" s="4">
        <v>81.5</v>
      </c>
      <c r="G5605" s="4"/>
      <c r="H5605" s="4">
        <f t="shared" ref="H5605:H5627" si="576">F5605+G5605</f>
        <v>81.5</v>
      </c>
    </row>
    <row r="5606" ht="14.25" spans="1:8">
      <c r="A5606" s="3" t="str">
        <f>"30401522827"</f>
        <v>30401522827</v>
      </c>
      <c r="B5606" s="3">
        <v>5</v>
      </c>
      <c r="C5606" s="3">
        <v>228</v>
      </c>
      <c r="D5606" s="3">
        <v>27</v>
      </c>
      <c r="E5606" s="3" t="s">
        <v>9</v>
      </c>
      <c r="F5606" s="4">
        <v>72.5</v>
      </c>
      <c r="G5606" s="4"/>
      <c r="H5606" s="4">
        <f t="shared" si="576"/>
        <v>72.5</v>
      </c>
    </row>
    <row r="5607" ht="14.25" spans="1:8">
      <c r="A5607" s="3" t="str">
        <f>"30401522828"</f>
        <v>30401522828</v>
      </c>
      <c r="B5607" s="3">
        <v>5</v>
      </c>
      <c r="C5607" s="3">
        <v>228</v>
      </c>
      <c r="D5607" s="3">
        <v>28</v>
      </c>
      <c r="E5607" s="3" t="s">
        <v>9</v>
      </c>
      <c r="F5607" s="4">
        <v>78.5</v>
      </c>
      <c r="G5607" s="4"/>
      <c r="H5607" s="4">
        <f t="shared" si="576"/>
        <v>78.5</v>
      </c>
    </row>
    <row r="5608" ht="14.25" spans="1:8">
      <c r="A5608" s="3" t="str">
        <f>"30401522829"</f>
        <v>30401522829</v>
      </c>
      <c r="B5608" s="3">
        <v>5</v>
      </c>
      <c r="C5608" s="3">
        <v>228</v>
      </c>
      <c r="D5608" s="3">
        <v>29</v>
      </c>
      <c r="E5608" s="3" t="s">
        <v>9</v>
      </c>
      <c r="F5608" s="4">
        <v>76.5</v>
      </c>
      <c r="G5608" s="4"/>
      <c r="H5608" s="4">
        <f t="shared" si="576"/>
        <v>76.5</v>
      </c>
    </row>
    <row r="5609" ht="14.25" spans="1:8">
      <c r="A5609" s="3" t="str">
        <f>"30401522830"</f>
        <v>30401522830</v>
      </c>
      <c r="B5609" s="3">
        <v>5</v>
      </c>
      <c r="C5609" s="3">
        <v>228</v>
      </c>
      <c r="D5609" s="3">
        <v>30</v>
      </c>
      <c r="E5609" s="3" t="s">
        <v>9</v>
      </c>
      <c r="F5609" s="4">
        <v>72</v>
      </c>
      <c r="G5609" s="4"/>
      <c r="H5609" s="4">
        <f t="shared" si="576"/>
        <v>72</v>
      </c>
    </row>
    <row r="5610" ht="14.25" spans="1:8">
      <c r="A5610" s="3" t="str">
        <f>"30401522901"</f>
        <v>30401522901</v>
      </c>
      <c r="B5610" s="3">
        <v>5</v>
      </c>
      <c r="C5610" s="3">
        <v>229</v>
      </c>
      <c r="D5610" s="3">
        <v>1</v>
      </c>
      <c r="E5610" s="3" t="s">
        <v>9</v>
      </c>
      <c r="F5610" s="4">
        <v>75.5</v>
      </c>
      <c r="G5610" s="4"/>
      <c r="H5610" s="4">
        <f t="shared" si="576"/>
        <v>75.5</v>
      </c>
    </row>
    <row r="5611" ht="14.25" spans="1:8">
      <c r="A5611" s="3" t="str">
        <f>"30401522902"</f>
        <v>30401522902</v>
      </c>
      <c r="B5611" s="3">
        <v>5</v>
      </c>
      <c r="C5611" s="3">
        <v>229</v>
      </c>
      <c r="D5611" s="3">
        <v>2</v>
      </c>
      <c r="E5611" s="3" t="s">
        <v>9</v>
      </c>
      <c r="F5611" s="4">
        <v>76</v>
      </c>
      <c r="G5611" s="4"/>
      <c r="H5611" s="4">
        <f t="shared" si="576"/>
        <v>76</v>
      </c>
    </row>
    <row r="5612" ht="14.25" spans="1:8">
      <c r="A5612" s="3" t="str">
        <f>"30401522903"</f>
        <v>30401522903</v>
      </c>
      <c r="B5612" s="3">
        <v>5</v>
      </c>
      <c r="C5612" s="3">
        <v>229</v>
      </c>
      <c r="D5612" s="3">
        <v>3</v>
      </c>
      <c r="E5612" s="3" t="s">
        <v>9</v>
      </c>
      <c r="F5612" s="4">
        <v>76.5</v>
      </c>
      <c r="G5612" s="4"/>
      <c r="H5612" s="4">
        <f t="shared" si="576"/>
        <v>76.5</v>
      </c>
    </row>
    <row r="5613" ht="14.25" spans="1:8">
      <c r="A5613" s="3" t="str">
        <f>"30401522904"</f>
        <v>30401522904</v>
      </c>
      <c r="B5613" s="3">
        <v>5</v>
      </c>
      <c r="C5613" s="3">
        <v>229</v>
      </c>
      <c r="D5613" s="3">
        <v>4</v>
      </c>
      <c r="E5613" s="3" t="s">
        <v>9</v>
      </c>
      <c r="F5613" s="4">
        <v>56</v>
      </c>
      <c r="G5613" s="4"/>
      <c r="H5613" s="4">
        <f t="shared" si="576"/>
        <v>56</v>
      </c>
    </row>
    <row r="5614" ht="14.25" spans="1:8">
      <c r="A5614" s="3" t="str">
        <f>"30401522905"</f>
        <v>30401522905</v>
      </c>
      <c r="B5614" s="3">
        <v>5</v>
      </c>
      <c r="C5614" s="3">
        <v>229</v>
      </c>
      <c r="D5614" s="3">
        <v>5</v>
      </c>
      <c r="E5614" s="3" t="s">
        <v>9</v>
      </c>
      <c r="F5614" s="4">
        <v>65</v>
      </c>
      <c r="G5614" s="4"/>
      <c r="H5614" s="4">
        <f t="shared" si="576"/>
        <v>65</v>
      </c>
    </row>
    <row r="5615" ht="14.25" spans="1:8">
      <c r="A5615" s="3" t="str">
        <f>"30401522906"</f>
        <v>30401522906</v>
      </c>
      <c r="B5615" s="3">
        <v>5</v>
      </c>
      <c r="C5615" s="3">
        <v>229</v>
      </c>
      <c r="D5615" s="3">
        <v>6</v>
      </c>
      <c r="E5615" s="3" t="s">
        <v>9</v>
      </c>
      <c r="F5615" s="4">
        <v>79.5</v>
      </c>
      <c r="G5615" s="4"/>
      <c r="H5615" s="4">
        <f t="shared" si="576"/>
        <v>79.5</v>
      </c>
    </row>
    <row r="5616" ht="14.25" spans="1:8">
      <c r="A5616" s="3" t="str">
        <f>"30401522907"</f>
        <v>30401522907</v>
      </c>
      <c r="B5616" s="3">
        <v>5</v>
      </c>
      <c r="C5616" s="3">
        <v>229</v>
      </c>
      <c r="D5616" s="3">
        <v>7</v>
      </c>
      <c r="E5616" s="3" t="s">
        <v>9</v>
      </c>
      <c r="F5616" s="4">
        <v>63.5</v>
      </c>
      <c r="G5616" s="4"/>
      <c r="H5616" s="4">
        <f t="shared" si="576"/>
        <v>63.5</v>
      </c>
    </row>
    <row r="5617" ht="14.25" spans="1:8">
      <c r="A5617" s="3" t="str">
        <f>"30401522908"</f>
        <v>30401522908</v>
      </c>
      <c r="B5617" s="3">
        <v>5</v>
      </c>
      <c r="C5617" s="3">
        <v>229</v>
      </c>
      <c r="D5617" s="3">
        <v>8</v>
      </c>
      <c r="E5617" s="3" t="s">
        <v>9</v>
      </c>
      <c r="F5617" s="4">
        <v>60.5</v>
      </c>
      <c r="G5617" s="4"/>
      <c r="H5617" s="4">
        <f t="shared" si="576"/>
        <v>60.5</v>
      </c>
    </row>
    <row r="5618" ht="14.25" spans="1:8">
      <c r="A5618" s="3" t="str">
        <f>"30401522909"</f>
        <v>30401522909</v>
      </c>
      <c r="B5618" s="3">
        <v>5</v>
      </c>
      <c r="C5618" s="3">
        <v>229</v>
      </c>
      <c r="D5618" s="3">
        <v>9</v>
      </c>
      <c r="E5618" s="3" t="s">
        <v>9</v>
      </c>
      <c r="F5618" s="4">
        <v>79</v>
      </c>
      <c r="G5618" s="4"/>
      <c r="H5618" s="4">
        <f t="shared" si="576"/>
        <v>79</v>
      </c>
    </row>
    <row r="5619" ht="14.25" spans="1:8">
      <c r="A5619" s="3" t="str">
        <f>"30401522910"</f>
        <v>30401522910</v>
      </c>
      <c r="B5619" s="3">
        <v>5</v>
      </c>
      <c r="C5619" s="3">
        <v>229</v>
      </c>
      <c r="D5619" s="3">
        <v>10</v>
      </c>
      <c r="E5619" s="3" t="s">
        <v>9</v>
      </c>
      <c r="F5619" s="4">
        <v>73.5</v>
      </c>
      <c r="G5619" s="4"/>
      <c r="H5619" s="4">
        <f t="shared" si="576"/>
        <v>73.5</v>
      </c>
    </row>
    <row r="5620" ht="14.25" spans="1:8">
      <c r="A5620" s="3" t="str">
        <f>"30401522911"</f>
        <v>30401522911</v>
      </c>
      <c r="B5620" s="3">
        <v>5</v>
      </c>
      <c r="C5620" s="3">
        <v>229</v>
      </c>
      <c r="D5620" s="3">
        <v>11</v>
      </c>
      <c r="E5620" s="3" t="s">
        <v>9</v>
      </c>
      <c r="F5620" s="4">
        <v>71</v>
      </c>
      <c r="G5620" s="4"/>
      <c r="H5620" s="4">
        <f t="shared" si="576"/>
        <v>71</v>
      </c>
    </row>
    <row r="5621" ht="14.25" spans="1:8">
      <c r="A5621" s="3" t="str">
        <f>"30401522912"</f>
        <v>30401522912</v>
      </c>
      <c r="B5621" s="3">
        <v>5</v>
      </c>
      <c r="C5621" s="3">
        <v>229</v>
      </c>
      <c r="D5621" s="3">
        <v>12</v>
      </c>
      <c r="E5621" s="3" t="s">
        <v>9</v>
      </c>
      <c r="F5621" s="4">
        <v>74</v>
      </c>
      <c r="G5621" s="4"/>
      <c r="H5621" s="4">
        <f t="shared" si="576"/>
        <v>74</v>
      </c>
    </row>
    <row r="5622" ht="14.25" spans="1:8">
      <c r="A5622" s="3" t="str">
        <f>"30401522913"</f>
        <v>30401522913</v>
      </c>
      <c r="B5622" s="3">
        <v>5</v>
      </c>
      <c r="C5622" s="3">
        <v>229</v>
      </c>
      <c r="D5622" s="3">
        <v>13</v>
      </c>
      <c r="E5622" s="3" t="s">
        <v>9</v>
      </c>
      <c r="F5622" s="4">
        <v>79</v>
      </c>
      <c r="G5622" s="4"/>
      <c r="H5622" s="4">
        <f t="shared" si="576"/>
        <v>79</v>
      </c>
    </row>
    <row r="5623" ht="14.25" spans="1:8">
      <c r="A5623" s="3" t="str">
        <f>"30401522914"</f>
        <v>30401522914</v>
      </c>
      <c r="B5623" s="3">
        <v>5</v>
      </c>
      <c r="C5623" s="3">
        <v>229</v>
      </c>
      <c r="D5623" s="3">
        <v>14</v>
      </c>
      <c r="E5623" s="3" t="s">
        <v>9</v>
      </c>
      <c r="F5623" s="4">
        <v>78</v>
      </c>
      <c r="G5623" s="4"/>
      <c r="H5623" s="4">
        <f t="shared" si="576"/>
        <v>78</v>
      </c>
    </row>
    <row r="5624" ht="14.25" spans="1:8">
      <c r="A5624" s="3" t="str">
        <f>"30401522915"</f>
        <v>30401522915</v>
      </c>
      <c r="B5624" s="3">
        <v>5</v>
      </c>
      <c r="C5624" s="3">
        <v>229</v>
      </c>
      <c r="D5624" s="3">
        <v>15</v>
      </c>
      <c r="E5624" s="3" t="s">
        <v>9</v>
      </c>
      <c r="F5624" s="4">
        <v>73.5</v>
      </c>
      <c r="G5624" s="4"/>
      <c r="H5624" s="4">
        <f t="shared" si="576"/>
        <v>73.5</v>
      </c>
    </row>
    <row r="5625" ht="14.25" spans="1:8">
      <c r="A5625" s="3" t="str">
        <f>"30401522916"</f>
        <v>30401522916</v>
      </c>
      <c r="B5625" s="3">
        <v>5</v>
      </c>
      <c r="C5625" s="3">
        <v>229</v>
      </c>
      <c r="D5625" s="3">
        <v>16</v>
      </c>
      <c r="E5625" s="3" t="s">
        <v>9</v>
      </c>
      <c r="F5625" s="4">
        <v>68</v>
      </c>
      <c r="G5625" s="4"/>
      <c r="H5625" s="4">
        <f t="shared" si="576"/>
        <v>68</v>
      </c>
    </row>
    <row r="5626" ht="14.25" spans="1:8">
      <c r="A5626" s="3" t="str">
        <f>"30401522917"</f>
        <v>30401522917</v>
      </c>
      <c r="B5626" s="3">
        <v>5</v>
      </c>
      <c r="C5626" s="3">
        <v>229</v>
      </c>
      <c r="D5626" s="3">
        <v>17</v>
      </c>
      <c r="E5626" s="3" t="s">
        <v>9</v>
      </c>
      <c r="F5626" s="4">
        <v>69.5</v>
      </c>
      <c r="G5626" s="4"/>
      <c r="H5626" s="4">
        <f t="shared" si="576"/>
        <v>69.5</v>
      </c>
    </row>
    <row r="5627" ht="14.25" spans="1:8">
      <c r="A5627" s="3" t="str">
        <f>"30401522918"</f>
        <v>30401522918</v>
      </c>
      <c r="B5627" s="3">
        <v>5</v>
      </c>
      <c r="C5627" s="3">
        <v>229</v>
      </c>
      <c r="D5627" s="3">
        <v>18</v>
      </c>
      <c r="E5627" s="3" t="s">
        <v>9</v>
      </c>
      <c r="F5627" s="4">
        <v>70.5</v>
      </c>
      <c r="G5627" s="4"/>
      <c r="H5627" s="4">
        <f t="shared" si="576"/>
        <v>70.5</v>
      </c>
    </row>
    <row r="5628" ht="14.25" spans="1:8">
      <c r="A5628" s="3" t="str">
        <f>"30401522919"</f>
        <v>30401522919</v>
      </c>
      <c r="B5628" s="3">
        <v>5</v>
      </c>
      <c r="C5628" s="3">
        <v>229</v>
      </c>
      <c r="D5628" s="3">
        <v>19</v>
      </c>
      <c r="E5628" s="3" t="s">
        <v>9</v>
      </c>
      <c r="F5628" s="3">
        <v>0</v>
      </c>
      <c r="G5628" s="4"/>
      <c r="H5628" s="3">
        <v>0</v>
      </c>
    </row>
    <row r="5629" ht="14.25" spans="1:8">
      <c r="A5629" s="3" t="str">
        <f>"30401522920"</f>
        <v>30401522920</v>
      </c>
      <c r="B5629" s="3">
        <v>5</v>
      </c>
      <c r="C5629" s="3">
        <v>229</v>
      </c>
      <c r="D5629" s="3">
        <v>20</v>
      </c>
      <c r="E5629" s="3" t="s">
        <v>9</v>
      </c>
      <c r="F5629" s="4">
        <v>62.5</v>
      </c>
      <c r="G5629" s="4"/>
      <c r="H5629" s="4">
        <f t="shared" ref="H5629:H5639" si="577">F5629+G5629</f>
        <v>62.5</v>
      </c>
    </row>
    <row r="5630" ht="14.25" spans="1:8">
      <c r="A5630" s="3" t="str">
        <f>"30401522921"</f>
        <v>30401522921</v>
      </c>
      <c r="B5630" s="3">
        <v>5</v>
      </c>
      <c r="C5630" s="3">
        <v>229</v>
      </c>
      <c r="D5630" s="3">
        <v>21</v>
      </c>
      <c r="E5630" s="3" t="s">
        <v>9</v>
      </c>
      <c r="F5630" s="4">
        <v>65.5</v>
      </c>
      <c r="G5630" s="4"/>
      <c r="H5630" s="4">
        <f t="shared" si="577"/>
        <v>65.5</v>
      </c>
    </row>
    <row r="5631" ht="14.25" spans="1:8">
      <c r="A5631" s="3" t="str">
        <f>"30401522922"</f>
        <v>30401522922</v>
      </c>
      <c r="B5631" s="3">
        <v>5</v>
      </c>
      <c r="C5631" s="3">
        <v>229</v>
      </c>
      <c r="D5631" s="3">
        <v>22</v>
      </c>
      <c r="E5631" s="3" t="s">
        <v>9</v>
      </c>
      <c r="F5631" s="4">
        <v>70</v>
      </c>
      <c r="G5631" s="4"/>
      <c r="H5631" s="4">
        <f t="shared" si="577"/>
        <v>70</v>
      </c>
    </row>
    <row r="5632" ht="14.25" spans="1:8">
      <c r="A5632" s="3" t="str">
        <f>"30401522923"</f>
        <v>30401522923</v>
      </c>
      <c r="B5632" s="3">
        <v>5</v>
      </c>
      <c r="C5632" s="3">
        <v>229</v>
      </c>
      <c r="D5632" s="3">
        <v>23</v>
      </c>
      <c r="E5632" s="3" t="s">
        <v>9</v>
      </c>
      <c r="F5632" s="4">
        <v>73</v>
      </c>
      <c r="G5632" s="4"/>
      <c r="H5632" s="4">
        <f t="shared" si="577"/>
        <v>73</v>
      </c>
    </row>
    <row r="5633" ht="14.25" spans="1:8">
      <c r="A5633" s="3" t="str">
        <f>"30401522924"</f>
        <v>30401522924</v>
      </c>
      <c r="B5633" s="3">
        <v>5</v>
      </c>
      <c r="C5633" s="3">
        <v>229</v>
      </c>
      <c r="D5633" s="3">
        <v>24</v>
      </c>
      <c r="E5633" s="3" t="s">
        <v>9</v>
      </c>
      <c r="F5633" s="4">
        <v>71</v>
      </c>
      <c r="G5633" s="4"/>
      <c r="H5633" s="4">
        <f t="shared" si="577"/>
        <v>71</v>
      </c>
    </row>
    <row r="5634" ht="14.25" spans="1:8">
      <c r="A5634" s="3" t="str">
        <f>"30401522925"</f>
        <v>30401522925</v>
      </c>
      <c r="B5634" s="3">
        <v>5</v>
      </c>
      <c r="C5634" s="3">
        <v>229</v>
      </c>
      <c r="D5634" s="3">
        <v>25</v>
      </c>
      <c r="E5634" s="3" t="s">
        <v>9</v>
      </c>
      <c r="F5634" s="4">
        <v>45</v>
      </c>
      <c r="G5634" s="4"/>
      <c r="H5634" s="4">
        <f t="shared" si="577"/>
        <v>45</v>
      </c>
    </row>
    <row r="5635" ht="14.25" spans="1:8">
      <c r="A5635" s="3" t="str">
        <f>"30401522926"</f>
        <v>30401522926</v>
      </c>
      <c r="B5635" s="3">
        <v>5</v>
      </c>
      <c r="C5635" s="3">
        <v>229</v>
      </c>
      <c r="D5635" s="3">
        <v>26</v>
      </c>
      <c r="E5635" s="3" t="s">
        <v>9</v>
      </c>
      <c r="F5635" s="4">
        <v>63</v>
      </c>
      <c r="G5635" s="4"/>
      <c r="H5635" s="4">
        <f t="shared" si="577"/>
        <v>63</v>
      </c>
    </row>
    <row r="5636" ht="14.25" spans="1:8">
      <c r="A5636" s="3" t="str">
        <f>"30401522927"</f>
        <v>30401522927</v>
      </c>
      <c r="B5636" s="3">
        <v>5</v>
      </c>
      <c r="C5636" s="3">
        <v>229</v>
      </c>
      <c r="D5636" s="3">
        <v>27</v>
      </c>
      <c r="E5636" s="3" t="s">
        <v>9</v>
      </c>
      <c r="F5636" s="4">
        <v>49</v>
      </c>
      <c r="G5636" s="4"/>
      <c r="H5636" s="4">
        <f t="shared" si="577"/>
        <v>49</v>
      </c>
    </row>
    <row r="5637" ht="14.25" spans="1:8">
      <c r="A5637" s="3" t="str">
        <f>"30401522928"</f>
        <v>30401522928</v>
      </c>
      <c r="B5637" s="3">
        <v>5</v>
      </c>
      <c r="C5637" s="3">
        <v>229</v>
      </c>
      <c r="D5637" s="3">
        <v>28</v>
      </c>
      <c r="E5637" s="3" t="s">
        <v>9</v>
      </c>
      <c r="F5637" s="4">
        <v>67.5</v>
      </c>
      <c r="G5637" s="4"/>
      <c r="H5637" s="4">
        <f t="shared" si="577"/>
        <v>67.5</v>
      </c>
    </row>
    <row r="5638" ht="14.25" spans="1:8">
      <c r="A5638" s="3" t="str">
        <f>"30401522929"</f>
        <v>30401522929</v>
      </c>
      <c r="B5638" s="3">
        <v>5</v>
      </c>
      <c r="C5638" s="3">
        <v>229</v>
      </c>
      <c r="D5638" s="3">
        <v>29</v>
      </c>
      <c r="E5638" s="3" t="s">
        <v>9</v>
      </c>
      <c r="F5638" s="4">
        <v>58.5</v>
      </c>
      <c r="G5638" s="4"/>
      <c r="H5638" s="4">
        <f t="shared" si="577"/>
        <v>58.5</v>
      </c>
    </row>
    <row r="5639" ht="14.25" spans="1:8">
      <c r="A5639" s="3" t="str">
        <f>"30401522930"</f>
        <v>30401522930</v>
      </c>
      <c r="B5639" s="3">
        <v>5</v>
      </c>
      <c r="C5639" s="3">
        <v>229</v>
      </c>
      <c r="D5639" s="3">
        <v>30</v>
      </c>
      <c r="E5639" s="3" t="s">
        <v>9</v>
      </c>
      <c r="F5639" s="4">
        <v>79.5</v>
      </c>
      <c r="G5639" s="4"/>
      <c r="H5639" s="4">
        <f t="shared" si="577"/>
        <v>79.5</v>
      </c>
    </row>
    <row r="5640" ht="14.25" spans="1:8">
      <c r="A5640" s="3" t="str">
        <f>"30401523001"</f>
        <v>30401523001</v>
      </c>
      <c r="B5640" s="3">
        <v>5</v>
      </c>
      <c r="C5640" s="3">
        <v>230</v>
      </c>
      <c r="D5640" s="3">
        <v>1</v>
      </c>
      <c r="E5640" s="3" t="s">
        <v>9</v>
      </c>
      <c r="F5640" s="3">
        <v>0</v>
      </c>
      <c r="G5640" s="4"/>
      <c r="H5640" s="3">
        <v>0</v>
      </c>
    </row>
    <row r="5641" ht="14.25" spans="1:8">
      <c r="A5641" s="3" t="str">
        <f>"30401523002"</f>
        <v>30401523002</v>
      </c>
      <c r="B5641" s="3">
        <v>5</v>
      </c>
      <c r="C5641" s="3">
        <v>230</v>
      </c>
      <c r="D5641" s="3">
        <v>2</v>
      </c>
      <c r="E5641" s="3" t="s">
        <v>9</v>
      </c>
      <c r="F5641" s="4">
        <v>67.5</v>
      </c>
      <c r="G5641" s="4"/>
      <c r="H5641" s="4">
        <f t="shared" ref="H5641:H5661" si="578">F5641+G5641</f>
        <v>67.5</v>
      </c>
    </row>
    <row r="5642" ht="14.25" spans="1:8">
      <c r="A5642" s="3" t="str">
        <f>"30401523003"</f>
        <v>30401523003</v>
      </c>
      <c r="B5642" s="3">
        <v>5</v>
      </c>
      <c r="C5642" s="3">
        <v>230</v>
      </c>
      <c r="D5642" s="3">
        <v>3</v>
      </c>
      <c r="E5642" s="3" t="s">
        <v>9</v>
      </c>
      <c r="F5642" s="4">
        <v>77.5</v>
      </c>
      <c r="G5642" s="4"/>
      <c r="H5642" s="4">
        <f t="shared" si="578"/>
        <v>77.5</v>
      </c>
    </row>
    <row r="5643" ht="14.25" spans="1:8">
      <c r="A5643" s="3" t="str">
        <f>"30401523004"</f>
        <v>30401523004</v>
      </c>
      <c r="B5643" s="3">
        <v>5</v>
      </c>
      <c r="C5643" s="3">
        <v>230</v>
      </c>
      <c r="D5643" s="3">
        <v>4</v>
      </c>
      <c r="E5643" s="3" t="s">
        <v>9</v>
      </c>
      <c r="F5643" s="4">
        <v>68</v>
      </c>
      <c r="G5643" s="4"/>
      <c r="H5643" s="4">
        <f t="shared" si="578"/>
        <v>68</v>
      </c>
    </row>
    <row r="5644" ht="14.25" spans="1:8">
      <c r="A5644" s="3" t="str">
        <f>"30401523005"</f>
        <v>30401523005</v>
      </c>
      <c r="B5644" s="3">
        <v>5</v>
      </c>
      <c r="C5644" s="3">
        <v>230</v>
      </c>
      <c r="D5644" s="3">
        <v>5</v>
      </c>
      <c r="E5644" s="3" t="s">
        <v>9</v>
      </c>
      <c r="F5644" s="4">
        <v>79</v>
      </c>
      <c r="G5644" s="4"/>
      <c r="H5644" s="4">
        <f t="shared" si="578"/>
        <v>79</v>
      </c>
    </row>
    <row r="5645" ht="14.25" spans="1:8">
      <c r="A5645" s="3" t="str">
        <f>"30401523006"</f>
        <v>30401523006</v>
      </c>
      <c r="B5645" s="3">
        <v>5</v>
      </c>
      <c r="C5645" s="3">
        <v>230</v>
      </c>
      <c r="D5645" s="3">
        <v>6</v>
      </c>
      <c r="E5645" s="3" t="s">
        <v>9</v>
      </c>
      <c r="F5645" s="4">
        <v>79.5</v>
      </c>
      <c r="G5645" s="4"/>
      <c r="H5645" s="4">
        <f t="shared" si="578"/>
        <v>79.5</v>
      </c>
    </row>
    <row r="5646" ht="14.25" spans="1:8">
      <c r="A5646" s="3" t="str">
        <f>"30401523007"</f>
        <v>30401523007</v>
      </c>
      <c r="B5646" s="3">
        <v>5</v>
      </c>
      <c r="C5646" s="3">
        <v>230</v>
      </c>
      <c r="D5646" s="3">
        <v>7</v>
      </c>
      <c r="E5646" s="3" t="s">
        <v>9</v>
      </c>
      <c r="F5646" s="4">
        <v>42</v>
      </c>
      <c r="G5646" s="4"/>
      <c r="H5646" s="4">
        <f t="shared" si="578"/>
        <v>42</v>
      </c>
    </row>
    <row r="5647" ht="14.25" spans="1:8">
      <c r="A5647" s="3" t="str">
        <f>"30401523008"</f>
        <v>30401523008</v>
      </c>
      <c r="B5647" s="3">
        <v>5</v>
      </c>
      <c r="C5647" s="3">
        <v>230</v>
      </c>
      <c r="D5647" s="3">
        <v>8</v>
      </c>
      <c r="E5647" s="3" t="s">
        <v>9</v>
      </c>
      <c r="F5647" s="4">
        <v>59.5</v>
      </c>
      <c r="G5647" s="4"/>
      <c r="H5647" s="4">
        <f t="shared" si="578"/>
        <v>59.5</v>
      </c>
    </row>
    <row r="5648" ht="14.25" spans="1:8">
      <c r="A5648" s="3" t="str">
        <f>"30401523009"</f>
        <v>30401523009</v>
      </c>
      <c r="B5648" s="3">
        <v>5</v>
      </c>
      <c r="C5648" s="3">
        <v>230</v>
      </c>
      <c r="D5648" s="3">
        <v>9</v>
      </c>
      <c r="E5648" s="3" t="s">
        <v>9</v>
      </c>
      <c r="F5648" s="4">
        <v>61</v>
      </c>
      <c r="G5648" s="4"/>
      <c r="H5648" s="4">
        <f t="shared" si="578"/>
        <v>61</v>
      </c>
    </row>
    <row r="5649" ht="14.25" spans="1:8">
      <c r="A5649" s="3" t="str">
        <f>"30401523010"</f>
        <v>30401523010</v>
      </c>
      <c r="B5649" s="3">
        <v>5</v>
      </c>
      <c r="C5649" s="3">
        <v>230</v>
      </c>
      <c r="D5649" s="3">
        <v>10</v>
      </c>
      <c r="E5649" s="3" t="s">
        <v>9</v>
      </c>
      <c r="F5649" s="4">
        <v>68.5</v>
      </c>
      <c r="G5649" s="4"/>
      <c r="H5649" s="4">
        <f t="shared" si="578"/>
        <v>68.5</v>
      </c>
    </row>
    <row r="5650" ht="14.25" spans="1:8">
      <c r="A5650" s="3" t="str">
        <f>"30401523011"</f>
        <v>30401523011</v>
      </c>
      <c r="B5650" s="3">
        <v>5</v>
      </c>
      <c r="C5650" s="3">
        <v>230</v>
      </c>
      <c r="D5650" s="3">
        <v>11</v>
      </c>
      <c r="E5650" s="3" t="s">
        <v>9</v>
      </c>
      <c r="F5650" s="4">
        <v>63.5</v>
      </c>
      <c r="G5650" s="4"/>
      <c r="H5650" s="4">
        <f t="shared" si="578"/>
        <v>63.5</v>
      </c>
    </row>
    <row r="5651" ht="14.25" spans="1:8">
      <c r="A5651" s="3" t="str">
        <f>"30401523012"</f>
        <v>30401523012</v>
      </c>
      <c r="B5651" s="3">
        <v>5</v>
      </c>
      <c r="C5651" s="3">
        <v>230</v>
      </c>
      <c r="D5651" s="3">
        <v>12</v>
      </c>
      <c r="E5651" s="3" t="s">
        <v>9</v>
      </c>
      <c r="F5651" s="4">
        <v>51</v>
      </c>
      <c r="G5651" s="4"/>
      <c r="H5651" s="4">
        <f t="shared" si="578"/>
        <v>51</v>
      </c>
    </row>
    <row r="5652" ht="14.25" spans="1:8">
      <c r="A5652" s="3" t="str">
        <f>"30401523013"</f>
        <v>30401523013</v>
      </c>
      <c r="B5652" s="3">
        <v>5</v>
      </c>
      <c r="C5652" s="3">
        <v>230</v>
      </c>
      <c r="D5652" s="3">
        <v>13</v>
      </c>
      <c r="E5652" s="3" t="s">
        <v>9</v>
      </c>
      <c r="F5652" s="4">
        <v>60</v>
      </c>
      <c r="G5652" s="4"/>
      <c r="H5652" s="4">
        <f t="shared" si="578"/>
        <v>60</v>
      </c>
    </row>
    <row r="5653" ht="14.25" spans="1:8">
      <c r="A5653" s="3" t="str">
        <f>"30401523014"</f>
        <v>30401523014</v>
      </c>
      <c r="B5653" s="3">
        <v>5</v>
      </c>
      <c r="C5653" s="3">
        <v>230</v>
      </c>
      <c r="D5653" s="3">
        <v>14</v>
      </c>
      <c r="E5653" s="3" t="s">
        <v>9</v>
      </c>
      <c r="F5653" s="4">
        <v>80.5</v>
      </c>
      <c r="G5653" s="4"/>
      <c r="H5653" s="4">
        <f t="shared" si="578"/>
        <v>80.5</v>
      </c>
    </row>
    <row r="5654" ht="14.25" spans="1:8">
      <c r="A5654" s="3" t="str">
        <f>"30401523015"</f>
        <v>30401523015</v>
      </c>
      <c r="B5654" s="3">
        <v>5</v>
      </c>
      <c r="C5654" s="3">
        <v>230</v>
      </c>
      <c r="D5654" s="3">
        <v>15</v>
      </c>
      <c r="E5654" s="3" t="s">
        <v>9</v>
      </c>
      <c r="F5654" s="4">
        <v>75.5</v>
      </c>
      <c r="G5654" s="4"/>
      <c r="H5654" s="4">
        <f t="shared" si="578"/>
        <v>75.5</v>
      </c>
    </row>
    <row r="5655" ht="14.25" spans="1:8">
      <c r="A5655" s="3" t="str">
        <f>"30401523016"</f>
        <v>30401523016</v>
      </c>
      <c r="B5655" s="3">
        <v>5</v>
      </c>
      <c r="C5655" s="3">
        <v>230</v>
      </c>
      <c r="D5655" s="3">
        <v>16</v>
      </c>
      <c r="E5655" s="3" t="s">
        <v>9</v>
      </c>
      <c r="F5655" s="4">
        <v>69</v>
      </c>
      <c r="G5655" s="4"/>
      <c r="H5655" s="4">
        <f t="shared" si="578"/>
        <v>69</v>
      </c>
    </row>
    <row r="5656" ht="14.25" spans="1:8">
      <c r="A5656" s="3" t="str">
        <f>"30401523017"</f>
        <v>30401523017</v>
      </c>
      <c r="B5656" s="3">
        <v>5</v>
      </c>
      <c r="C5656" s="3">
        <v>230</v>
      </c>
      <c r="D5656" s="3">
        <v>17</v>
      </c>
      <c r="E5656" s="3" t="s">
        <v>9</v>
      </c>
      <c r="F5656" s="4">
        <v>55.5</v>
      </c>
      <c r="G5656" s="4"/>
      <c r="H5656" s="4">
        <f t="shared" si="578"/>
        <v>55.5</v>
      </c>
    </row>
    <row r="5657" ht="14.25" spans="1:8">
      <c r="A5657" s="3" t="str">
        <f>"30401523018"</f>
        <v>30401523018</v>
      </c>
      <c r="B5657" s="3">
        <v>5</v>
      </c>
      <c r="C5657" s="3">
        <v>230</v>
      </c>
      <c r="D5657" s="3">
        <v>18</v>
      </c>
      <c r="E5657" s="3" t="s">
        <v>9</v>
      </c>
      <c r="F5657" s="4">
        <v>78</v>
      </c>
      <c r="G5657" s="4"/>
      <c r="H5657" s="4">
        <f t="shared" si="578"/>
        <v>78</v>
      </c>
    </row>
    <row r="5658" ht="14.25" spans="1:8">
      <c r="A5658" s="3" t="str">
        <f>"30401523019"</f>
        <v>30401523019</v>
      </c>
      <c r="B5658" s="3">
        <v>5</v>
      </c>
      <c r="C5658" s="3">
        <v>230</v>
      </c>
      <c r="D5658" s="3">
        <v>19</v>
      </c>
      <c r="E5658" s="3" t="s">
        <v>9</v>
      </c>
      <c r="F5658" s="4">
        <v>68</v>
      </c>
      <c r="G5658" s="4"/>
      <c r="H5658" s="4">
        <f t="shared" si="578"/>
        <v>68</v>
      </c>
    </row>
    <row r="5659" ht="14.25" spans="1:8">
      <c r="A5659" s="3" t="str">
        <f>"30401523020"</f>
        <v>30401523020</v>
      </c>
      <c r="B5659" s="3">
        <v>5</v>
      </c>
      <c r="C5659" s="3">
        <v>230</v>
      </c>
      <c r="D5659" s="3">
        <v>20</v>
      </c>
      <c r="E5659" s="3" t="s">
        <v>9</v>
      </c>
      <c r="F5659" s="4">
        <v>66.5</v>
      </c>
      <c r="G5659" s="4"/>
      <c r="H5659" s="4">
        <f t="shared" si="578"/>
        <v>66.5</v>
      </c>
    </row>
    <row r="5660" ht="14.25" spans="1:8">
      <c r="A5660" s="3" t="str">
        <f>"30401523021"</f>
        <v>30401523021</v>
      </c>
      <c r="B5660" s="3">
        <v>5</v>
      </c>
      <c r="C5660" s="3">
        <v>230</v>
      </c>
      <c r="D5660" s="3">
        <v>21</v>
      </c>
      <c r="E5660" s="3" t="s">
        <v>9</v>
      </c>
      <c r="F5660" s="4">
        <v>79</v>
      </c>
      <c r="G5660" s="4"/>
      <c r="H5660" s="4">
        <f t="shared" si="578"/>
        <v>79</v>
      </c>
    </row>
    <row r="5661" ht="14.25" spans="1:8">
      <c r="A5661" s="3" t="str">
        <f>"30401523022"</f>
        <v>30401523022</v>
      </c>
      <c r="B5661" s="3">
        <v>5</v>
      </c>
      <c r="C5661" s="3">
        <v>230</v>
      </c>
      <c r="D5661" s="3">
        <v>22</v>
      </c>
      <c r="E5661" s="3" t="s">
        <v>9</v>
      </c>
      <c r="F5661" s="4">
        <v>75</v>
      </c>
      <c r="G5661" s="4"/>
      <c r="H5661" s="4">
        <f t="shared" si="578"/>
        <v>75</v>
      </c>
    </row>
    <row r="5662" ht="14.25" spans="1:8">
      <c r="A5662" s="3" t="str">
        <f>"30401523023"</f>
        <v>30401523023</v>
      </c>
      <c r="B5662" s="3">
        <v>5</v>
      </c>
      <c r="C5662" s="3">
        <v>230</v>
      </c>
      <c r="D5662" s="3">
        <v>23</v>
      </c>
      <c r="E5662" s="3" t="s">
        <v>9</v>
      </c>
      <c r="F5662" s="3">
        <v>0</v>
      </c>
      <c r="G5662" s="4"/>
      <c r="H5662" s="3">
        <v>0</v>
      </c>
    </row>
    <row r="5663" ht="14.25" spans="1:8">
      <c r="A5663" s="3" t="str">
        <f>"30401523024"</f>
        <v>30401523024</v>
      </c>
      <c r="B5663" s="3">
        <v>5</v>
      </c>
      <c r="C5663" s="3">
        <v>230</v>
      </c>
      <c r="D5663" s="3">
        <v>24</v>
      </c>
      <c r="E5663" s="3" t="s">
        <v>9</v>
      </c>
      <c r="F5663" s="4">
        <v>46</v>
      </c>
      <c r="G5663" s="4"/>
      <c r="H5663" s="4">
        <f t="shared" ref="H5663:H5679" si="579">F5663+G5663</f>
        <v>46</v>
      </c>
    </row>
    <row r="5664" ht="14.25" spans="1:8">
      <c r="A5664" s="3" t="str">
        <f>"30401523025"</f>
        <v>30401523025</v>
      </c>
      <c r="B5664" s="3">
        <v>5</v>
      </c>
      <c r="C5664" s="3">
        <v>230</v>
      </c>
      <c r="D5664" s="3">
        <v>25</v>
      </c>
      <c r="E5664" s="3" t="s">
        <v>9</v>
      </c>
      <c r="F5664" s="4">
        <v>86</v>
      </c>
      <c r="G5664" s="4"/>
      <c r="H5664" s="4">
        <f t="shared" si="579"/>
        <v>86</v>
      </c>
    </row>
    <row r="5665" ht="14.25" spans="1:8">
      <c r="A5665" s="3" t="str">
        <f>"30401523026"</f>
        <v>30401523026</v>
      </c>
      <c r="B5665" s="3">
        <v>5</v>
      </c>
      <c r="C5665" s="3">
        <v>230</v>
      </c>
      <c r="D5665" s="3">
        <v>26</v>
      </c>
      <c r="E5665" s="3" t="s">
        <v>9</v>
      </c>
      <c r="F5665" s="4">
        <v>70.5</v>
      </c>
      <c r="G5665" s="4"/>
      <c r="H5665" s="4">
        <f t="shared" si="579"/>
        <v>70.5</v>
      </c>
    </row>
    <row r="5666" ht="14.25" spans="1:8">
      <c r="A5666" s="3" t="str">
        <f>"30401523027"</f>
        <v>30401523027</v>
      </c>
      <c r="B5666" s="3">
        <v>5</v>
      </c>
      <c r="C5666" s="3">
        <v>230</v>
      </c>
      <c r="D5666" s="3">
        <v>27</v>
      </c>
      <c r="E5666" s="3" t="s">
        <v>9</v>
      </c>
      <c r="F5666" s="4">
        <v>73</v>
      </c>
      <c r="G5666" s="4"/>
      <c r="H5666" s="4">
        <f t="shared" si="579"/>
        <v>73</v>
      </c>
    </row>
    <row r="5667" ht="14.25" spans="1:8">
      <c r="A5667" s="3" t="str">
        <f>"30401523028"</f>
        <v>30401523028</v>
      </c>
      <c r="B5667" s="3">
        <v>5</v>
      </c>
      <c r="C5667" s="3">
        <v>230</v>
      </c>
      <c r="D5667" s="3">
        <v>28</v>
      </c>
      <c r="E5667" s="3" t="s">
        <v>9</v>
      </c>
      <c r="F5667" s="4">
        <v>68.5</v>
      </c>
      <c r="G5667" s="4"/>
      <c r="H5667" s="4">
        <f t="shared" si="579"/>
        <v>68.5</v>
      </c>
    </row>
    <row r="5668" ht="14.25" spans="1:8">
      <c r="A5668" s="3" t="str">
        <f>"30401523029"</f>
        <v>30401523029</v>
      </c>
      <c r="B5668" s="3">
        <v>5</v>
      </c>
      <c r="C5668" s="3">
        <v>230</v>
      </c>
      <c r="D5668" s="3">
        <v>29</v>
      </c>
      <c r="E5668" s="3" t="s">
        <v>9</v>
      </c>
      <c r="F5668" s="4">
        <v>67</v>
      </c>
      <c r="G5668" s="4"/>
      <c r="H5668" s="4">
        <f t="shared" si="579"/>
        <v>67</v>
      </c>
    </row>
    <row r="5669" ht="14.25" spans="1:8">
      <c r="A5669" s="3" t="str">
        <f>"30401523030"</f>
        <v>30401523030</v>
      </c>
      <c r="B5669" s="3">
        <v>5</v>
      </c>
      <c r="C5669" s="3">
        <v>230</v>
      </c>
      <c r="D5669" s="3">
        <v>30</v>
      </c>
      <c r="E5669" s="3" t="s">
        <v>9</v>
      </c>
      <c r="F5669" s="4">
        <v>64.5</v>
      </c>
      <c r="G5669" s="4"/>
      <c r="H5669" s="4">
        <f t="shared" si="579"/>
        <v>64.5</v>
      </c>
    </row>
    <row r="5670" ht="14.25" spans="1:8">
      <c r="A5670" s="3" t="str">
        <f>"30401523101"</f>
        <v>30401523101</v>
      </c>
      <c r="B5670" s="3">
        <v>5</v>
      </c>
      <c r="C5670" s="3">
        <v>231</v>
      </c>
      <c r="D5670" s="3">
        <v>1</v>
      </c>
      <c r="E5670" s="3" t="s">
        <v>9</v>
      </c>
      <c r="F5670" s="4">
        <v>76.5</v>
      </c>
      <c r="G5670" s="4"/>
      <c r="H5670" s="4">
        <f t="shared" si="579"/>
        <v>76.5</v>
      </c>
    </row>
    <row r="5671" ht="14.25" spans="1:8">
      <c r="A5671" s="3" t="str">
        <f>"30401523102"</f>
        <v>30401523102</v>
      </c>
      <c r="B5671" s="3">
        <v>5</v>
      </c>
      <c r="C5671" s="3">
        <v>231</v>
      </c>
      <c r="D5671" s="3">
        <v>2</v>
      </c>
      <c r="E5671" s="3" t="s">
        <v>9</v>
      </c>
      <c r="F5671" s="4">
        <v>62</v>
      </c>
      <c r="G5671" s="4"/>
      <c r="H5671" s="4">
        <f t="shared" si="579"/>
        <v>62</v>
      </c>
    </row>
    <row r="5672" ht="14.25" spans="1:8">
      <c r="A5672" s="3" t="str">
        <f>"30401523103"</f>
        <v>30401523103</v>
      </c>
      <c r="B5672" s="3">
        <v>5</v>
      </c>
      <c r="C5672" s="3">
        <v>231</v>
      </c>
      <c r="D5672" s="3">
        <v>3</v>
      </c>
      <c r="E5672" s="3" t="s">
        <v>9</v>
      </c>
      <c r="F5672" s="4">
        <v>60</v>
      </c>
      <c r="G5672" s="4"/>
      <c r="H5672" s="4">
        <f t="shared" si="579"/>
        <v>60</v>
      </c>
    </row>
    <row r="5673" ht="14.25" spans="1:8">
      <c r="A5673" s="3" t="str">
        <f>"30401523104"</f>
        <v>30401523104</v>
      </c>
      <c r="B5673" s="3">
        <v>5</v>
      </c>
      <c r="C5673" s="3">
        <v>231</v>
      </c>
      <c r="D5673" s="3">
        <v>4</v>
      </c>
      <c r="E5673" s="3" t="s">
        <v>9</v>
      </c>
      <c r="F5673" s="4">
        <v>83</v>
      </c>
      <c r="G5673" s="4"/>
      <c r="H5673" s="4">
        <f t="shared" si="579"/>
        <v>83</v>
      </c>
    </row>
    <row r="5674" ht="14.25" spans="1:8">
      <c r="A5674" s="3" t="str">
        <f>"30401523105"</f>
        <v>30401523105</v>
      </c>
      <c r="B5674" s="3">
        <v>5</v>
      </c>
      <c r="C5674" s="3">
        <v>231</v>
      </c>
      <c r="D5674" s="3">
        <v>5</v>
      </c>
      <c r="E5674" s="3" t="s">
        <v>9</v>
      </c>
      <c r="F5674" s="4">
        <v>50.5</v>
      </c>
      <c r="G5674" s="4"/>
      <c r="H5674" s="4">
        <f t="shared" si="579"/>
        <v>50.5</v>
      </c>
    </row>
    <row r="5675" ht="14.25" spans="1:8">
      <c r="A5675" s="3" t="str">
        <f>"30401523106"</f>
        <v>30401523106</v>
      </c>
      <c r="B5675" s="3">
        <v>5</v>
      </c>
      <c r="C5675" s="3">
        <v>231</v>
      </c>
      <c r="D5675" s="3">
        <v>6</v>
      </c>
      <c r="E5675" s="3" t="s">
        <v>9</v>
      </c>
      <c r="F5675" s="4">
        <v>71.5</v>
      </c>
      <c r="G5675" s="4"/>
      <c r="H5675" s="4">
        <f t="shared" si="579"/>
        <v>71.5</v>
      </c>
    </row>
    <row r="5676" ht="14.25" spans="1:8">
      <c r="A5676" s="3" t="str">
        <f>"30401523107"</f>
        <v>30401523107</v>
      </c>
      <c r="B5676" s="3">
        <v>5</v>
      </c>
      <c r="C5676" s="3">
        <v>231</v>
      </c>
      <c r="D5676" s="3">
        <v>7</v>
      </c>
      <c r="E5676" s="3" t="s">
        <v>9</v>
      </c>
      <c r="F5676" s="4">
        <v>63</v>
      </c>
      <c r="G5676" s="4"/>
      <c r="H5676" s="4">
        <f t="shared" si="579"/>
        <v>63</v>
      </c>
    </row>
    <row r="5677" ht="14.25" spans="1:8">
      <c r="A5677" s="3" t="str">
        <f>"30401523108"</f>
        <v>30401523108</v>
      </c>
      <c r="B5677" s="3">
        <v>5</v>
      </c>
      <c r="C5677" s="3">
        <v>231</v>
      </c>
      <c r="D5677" s="3">
        <v>8</v>
      </c>
      <c r="E5677" s="3" t="s">
        <v>9</v>
      </c>
      <c r="F5677" s="4">
        <v>58.5</v>
      </c>
      <c r="G5677" s="4"/>
      <c r="H5677" s="4">
        <f t="shared" si="579"/>
        <v>58.5</v>
      </c>
    </row>
    <row r="5678" ht="14.25" spans="1:8">
      <c r="A5678" s="3" t="str">
        <f>"30401523109"</f>
        <v>30401523109</v>
      </c>
      <c r="B5678" s="3">
        <v>5</v>
      </c>
      <c r="C5678" s="3">
        <v>231</v>
      </c>
      <c r="D5678" s="3">
        <v>9</v>
      </c>
      <c r="E5678" s="3" t="s">
        <v>9</v>
      </c>
      <c r="F5678" s="4">
        <v>59</v>
      </c>
      <c r="G5678" s="4"/>
      <c r="H5678" s="4">
        <f t="shared" si="579"/>
        <v>59</v>
      </c>
    </row>
    <row r="5679" ht="14.25" spans="1:8">
      <c r="A5679" s="3" t="str">
        <f>"30401523110"</f>
        <v>30401523110</v>
      </c>
      <c r="B5679" s="3">
        <v>5</v>
      </c>
      <c r="C5679" s="3">
        <v>231</v>
      </c>
      <c r="D5679" s="3">
        <v>10</v>
      </c>
      <c r="E5679" s="3" t="s">
        <v>9</v>
      </c>
      <c r="F5679" s="4">
        <v>87</v>
      </c>
      <c r="G5679" s="4"/>
      <c r="H5679" s="4">
        <f t="shared" si="579"/>
        <v>87</v>
      </c>
    </row>
    <row r="5680" ht="14.25" spans="1:8">
      <c r="A5680" s="3" t="str">
        <f>"30401523111"</f>
        <v>30401523111</v>
      </c>
      <c r="B5680" s="3">
        <v>5</v>
      </c>
      <c r="C5680" s="3">
        <v>231</v>
      </c>
      <c r="D5680" s="3">
        <v>11</v>
      </c>
      <c r="E5680" s="3" t="s">
        <v>9</v>
      </c>
      <c r="F5680" s="3">
        <v>0</v>
      </c>
      <c r="G5680" s="4"/>
      <c r="H5680" s="3">
        <v>0</v>
      </c>
    </row>
    <row r="5681" ht="14.25" spans="1:8">
      <c r="A5681" s="3" t="str">
        <f>"30401523112"</f>
        <v>30401523112</v>
      </c>
      <c r="B5681" s="3">
        <v>5</v>
      </c>
      <c r="C5681" s="3">
        <v>231</v>
      </c>
      <c r="D5681" s="3">
        <v>12</v>
      </c>
      <c r="E5681" s="3" t="s">
        <v>9</v>
      </c>
      <c r="F5681" s="4">
        <v>67.5</v>
      </c>
      <c r="G5681" s="4"/>
      <c r="H5681" s="4">
        <f t="shared" ref="H5681:H5684" si="580">F5681+G5681</f>
        <v>67.5</v>
      </c>
    </row>
    <row r="5682" ht="14.25" spans="1:8">
      <c r="A5682" s="3" t="str">
        <f>"30401523113"</f>
        <v>30401523113</v>
      </c>
      <c r="B5682" s="3">
        <v>5</v>
      </c>
      <c r="C5682" s="3">
        <v>231</v>
      </c>
      <c r="D5682" s="3">
        <v>13</v>
      </c>
      <c r="E5682" s="3" t="s">
        <v>9</v>
      </c>
      <c r="F5682" s="4">
        <v>58</v>
      </c>
      <c r="G5682" s="4"/>
      <c r="H5682" s="4">
        <f t="shared" si="580"/>
        <v>58</v>
      </c>
    </row>
    <row r="5683" ht="14.25" spans="1:8">
      <c r="A5683" s="3" t="str">
        <f>"30401523114"</f>
        <v>30401523114</v>
      </c>
      <c r="B5683" s="3">
        <v>5</v>
      </c>
      <c r="C5683" s="3">
        <v>231</v>
      </c>
      <c r="D5683" s="3">
        <v>14</v>
      </c>
      <c r="E5683" s="3" t="s">
        <v>9</v>
      </c>
      <c r="F5683" s="4">
        <v>77.5</v>
      </c>
      <c r="G5683" s="4"/>
      <c r="H5683" s="4">
        <f t="shared" si="580"/>
        <v>77.5</v>
      </c>
    </row>
    <row r="5684" ht="14.25" spans="1:8">
      <c r="A5684" s="3" t="str">
        <f>"30401523115"</f>
        <v>30401523115</v>
      </c>
      <c r="B5684" s="3">
        <v>5</v>
      </c>
      <c r="C5684" s="3">
        <v>231</v>
      </c>
      <c r="D5684" s="3">
        <v>15</v>
      </c>
      <c r="E5684" s="3" t="s">
        <v>9</v>
      </c>
      <c r="F5684" s="4">
        <v>51.5</v>
      </c>
      <c r="G5684" s="4"/>
      <c r="H5684" s="4">
        <f t="shared" si="580"/>
        <v>51.5</v>
      </c>
    </row>
    <row r="5685" ht="14.25" spans="1:8">
      <c r="A5685" s="3" t="str">
        <f>"30401523116"</f>
        <v>30401523116</v>
      </c>
      <c r="B5685" s="3">
        <v>5</v>
      </c>
      <c r="C5685" s="3">
        <v>231</v>
      </c>
      <c r="D5685" s="3">
        <v>16</v>
      </c>
      <c r="E5685" s="3" t="s">
        <v>9</v>
      </c>
      <c r="F5685" s="3">
        <v>0</v>
      </c>
      <c r="G5685" s="4"/>
      <c r="H5685" s="3">
        <v>0</v>
      </c>
    </row>
    <row r="5686" ht="14.25" spans="1:8">
      <c r="A5686" s="3" t="str">
        <f>"30401523117"</f>
        <v>30401523117</v>
      </c>
      <c r="B5686" s="3">
        <v>5</v>
      </c>
      <c r="C5686" s="3">
        <v>231</v>
      </c>
      <c r="D5686" s="3">
        <v>17</v>
      </c>
      <c r="E5686" s="3" t="s">
        <v>9</v>
      </c>
      <c r="F5686" s="4">
        <v>80</v>
      </c>
      <c r="G5686" s="4"/>
      <c r="H5686" s="4">
        <f t="shared" ref="H5686:H5707" si="581">F5686+G5686</f>
        <v>80</v>
      </c>
    </row>
    <row r="5687" ht="14.25" spans="1:8">
      <c r="A5687" s="3" t="str">
        <f>"30401523118"</f>
        <v>30401523118</v>
      </c>
      <c r="B5687" s="3">
        <v>5</v>
      </c>
      <c r="C5687" s="3">
        <v>231</v>
      </c>
      <c r="D5687" s="3">
        <v>18</v>
      </c>
      <c r="E5687" s="3" t="s">
        <v>9</v>
      </c>
      <c r="F5687" s="4">
        <v>60.5</v>
      </c>
      <c r="G5687" s="4"/>
      <c r="H5687" s="4">
        <f t="shared" si="581"/>
        <v>60.5</v>
      </c>
    </row>
    <row r="5688" ht="14.25" spans="1:8">
      <c r="A5688" s="3" t="str">
        <f>"30401523119"</f>
        <v>30401523119</v>
      </c>
      <c r="B5688" s="3">
        <v>5</v>
      </c>
      <c r="C5688" s="3">
        <v>231</v>
      </c>
      <c r="D5688" s="3">
        <v>19</v>
      </c>
      <c r="E5688" s="3" t="s">
        <v>9</v>
      </c>
      <c r="F5688" s="4">
        <v>82</v>
      </c>
      <c r="G5688" s="4"/>
      <c r="H5688" s="4">
        <f t="shared" si="581"/>
        <v>82</v>
      </c>
    </row>
    <row r="5689" ht="14.25" spans="1:8">
      <c r="A5689" s="3" t="str">
        <f>"30401523120"</f>
        <v>30401523120</v>
      </c>
      <c r="B5689" s="3">
        <v>5</v>
      </c>
      <c r="C5689" s="3">
        <v>231</v>
      </c>
      <c r="D5689" s="3">
        <v>20</v>
      </c>
      <c r="E5689" s="3" t="s">
        <v>9</v>
      </c>
      <c r="F5689" s="4">
        <v>53</v>
      </c>
      <c r="G5689" s="4"/>
      <c r="H5689" s="4">
        <f t="shared" si="581"/>
        <v>53</v>
      </c>
    </row>
    <row r="5690" ht="14.25" spans="1:8">
      <c r="A5690" s="3" t="str">
        <f>"30401523121"</f>
        <v>30401523121</v>
      </c>
      <c r="B5690" s="3">
        <v>5</v>
      </c>
      <c r="C5690" s="3">
        <v>231</v>
      </c>
      <c r="D5690" s="3">
        <v>21</v>
      </c>
      <c r="E5690" s="3" t="s">
        <v>9</v>
      </c>
      <c r="F5690" s="4">
        <v>68</v>
      </c>
      <c r="G5690" s="4"/>
      <c r="H5690" s="4">
        <f t="shared" si="581"/>
        <v>68</v>
      </c>
    </row>
    <row r="5691" ht="14.25" spans="1:8">
      <c r="A5691" s="3" t="str">
        <f>"30401523122"</f>
        <v>30401523122</v>
      </c>
      <c r="B5691" s="3">
        <v>5</v>
      </c>
      <c r="C5691" s="3">
        <v>231</v>
      </c>
      <c r="D5691" s="3">
        <v>22</v>
      </c>
      <c r="E5691" s="3" t="s">
        <v>9</v>
      </c>
      <c r="F5691" s="4">
        <v>85</v>
      </c>
      <c r="G5691" s="4"/>
      <c r="H5691" s="4">
        <f t="shared" si="581"/>
        <v>85</v>
      </c>
    </row>
    <row r="5692" ht="14.25" spans="1:8">
      <c r="A5692" s="3" t="str">
        <f>"30401523123"</f>
        <v>30401523123</v>
      </c>
      <c r="B5692" s="3">
        <v>5</v>
      </c>
      <c r="C5692" s="3">
        <v>231</v>
      </c>
      <c r="D5692" s="3">
        <v>23</v>
      </c>
      <c r="E5692" s="3" t="s">
        <v>9</v>
      </c>
      <c r="F5692" s="4">
        <v>62.5</v>
      </c>
      <c r="G5692" s="4"/>
      <c r="H5692" s="4">
        <f t="shared" si="581"/>
        <v>62.5</v>
      </c>
    </row>
    <row r="5693" ht="14.25" spans="1:8">
      <c r="A5693" s="3" t="str">
        <f>"30401523124"</f>
        <v>30401523124</v>
      </c>
      <c r="B5693" s="3">
        <v>5</v>
      </c>
      <c r="C5693" s="3">
        <v>231</v>
      </c>
      <c r="D5693" s="3">
        <v>24</v>
      </c>
      <c r="E5693" s="3" t="s">
        <v>9</v>
      </c>
      <c r="F5693" s="4">
        <v>60.5</v>
      </c>
      <c r="G5693" s="4"/>
      <c r="H5693" s="4">
        <f t="shared" si="581"/>
        <v>60.5</v>
      </c>
    </row>
    <row r="5694" ht="14.25" spans="1:8">
      <c r="A5694" s="3" t="str">
        <f>"30401523125"</f>
        <v>30401523125</v>
      </c>
      <c r="B5694" s="3">
        <v>5</v>
      </c>
      <c r="C5694" s="3">
        <v>231</v>
      </c>
      <c r="D5694" s="3">
        <v>25</v>
      </c>
      <c r="E5694" s="3" t="s">
        <v>9</v>
      </c>
      <c r="F5694" s="4">
        <v>61</v>
      </c>
      <c r="G5694" s="4"/>
      <c r="H5694" s="4">
        <f t="shared" si="581"/>
        <v>61</v>
      </c>
    </row>
    <row r="5695" ht="14.25" spans="1:8">
      <c r="A5695" s="3" t="str">
        <f>"30401523126"</f>
        <v>30401523126</v>
      </c>
      <c r="B5695" s="3">
        <v>5</v>
      </c>
      <c r="C5695" s="3">
        <v>231</v>
      </c>
      <c r="D5695" s="3">
        <v>26</v>
      </c>
      <c r="E5695" s="3" t="s">
        <v>9</v>
      </c>
      <c r="F5695" s="4">
        <v>52.5</v>
      </c>
      <c r="G5695" s="4"/>
      <c r="H5695" s="4">
        <f t="shared" si="581"/>
        <v>52.5</v>
      </c>
    </row>
    <row r="5696" ht="14.25" spans="1:8">
      <c r="A5696" s="3" t="str">
        <f>"30401523127"</f>
        <v>30401523127</v>
      </c>
      <c r="B5696" s="3">
        <v>5</v>
      </c>
      <c r="C5696" s="3">
        <v>231</v>
      </c>
      <c r="D5696" s="3">
        <v>27</v>
      </c>
      <c r="E5696" s="3" t="s">
        <v>9</v>
      </c>
      <c r="F5696" s="4">
        <v>68.5</v>
      </c>
      <c r="G5696" s="4"/>
      <c r="H5696" s="4">
        <f t="shared" si="581"/>
        <v>68.5</v>
      </c>
    </row>
    <row r="5697" ht="14.25" spans="1:8">
      <c r="A5697" s="3" t="str">
        <f>"30401523128"</f>
        <v>30401523128</v>
      </c>
      <c r="B5697" s="3">
        <v>5</v>
      </c>
      <c r="C5697" s="3">
        <v>231</v>
      </c>
      <c r="D5697" s="3">
        <v>28</v>
      </c>
      <c r="E5697" s="3" t="s">
        <v>9</v>
      </c>
      <c r="F5697" s="4">
        <v>60</v>
      </c>
      <c r="G5697" s="4"/>
      <c r="H5697" s="4">
        <f t="shared" si="581"/>
        <v>60</v>
      </c>
    </row>
    <row r="5698" ht="14.25" spans="1:8">
      <c r="A5698" s="3" t="str">
        <f>"30401523129"</f>
        <v>30401523129</v>
      </c>
      <c r="B5698" s="3">
        <v>5</v>
      </c>
      <c r="C5698" s="3">
        <v>231</v>
      </c>
      <c r="D5698" s="3">
        <v>29</v>
      </c>
      <c r="E5698" s="3" t="s">
        <v>9</v>
      </c>
      <c r="F5698" s="4">
        <v>69.5</v>
      </c>
      <c r="G5698" s="4"/>
      <c r="H5698" s="4">
        <f t="shared" si="581"/>
        <v>69.5</v>
      </c>
    </row>
    <row r="5699" ht="14.25" spans="1:8">
      <c r="A5699" s="3" t="str">
        <f>"30401523130"</f>
        <v>30401523130</v>
      </c>
      <c r="B5699" s="3">
        <v>5</v>
      </c>
      <c r="C5699" s="3">
        <v>231</v>
      </c>
      <c r="D5699" s="3">
        <v>30</v>
      </c>
      <c r="E5699" s="3" t="s">
        <v>9</v>
      </c>
      <c r="F5699" s="4">
        <v>77</v>
      </c>
      <c r="G5699" s="4"/>
      <c r="H5699" s="4">
        <f t="shared" si="581"/>
        <v>77</v>
      </c>
    </row>
    <row r="5700" ht="14.25" spans="1:8">
      <c r="A5700" s="3" t="str">
        <f>"30401523201"</f>
        <v>30401523201</v>
      </c>
      <c r="B5700" s="3">
        <v>5</v>
      </c>
      <c r="C5700" s="3">
        <v>232</v>
      </c>
      <c r="D5700" s="3">
        <v>1</v>
      </c>
      <c r="E5700" s="3" t="s">
        <v>9</v>
      </c>
      <c r="F5700" s="4">
        <v>74.5</v>
      </c>
      <c r="G5700" s="4"/>
      <c r="H5700" s="4">
        <f t="shared" si="581"/>
        <v>74.5</v>
      </c>
    </row>
    <row r="5701" ht="14.25" spans="1:8">
      <c r="A5701" s="3" t="str">
        <f>"30401523202"</f>
        <v>30401523202</v>
      </c>
      <c r="B5701" s="3">
        <v>5</v>
      </c>
      <c r="C5701" s="3">
        <v>232</v>
      </c>
      <c r="D5701" s="3">
        <v>2</v>
      </c>
      <c r="E5701" s="3" t="s">
        <v>9</v>
      </c>
      <c r="F5701" s="4">
        <v>68</v>
      </c>
      <c r="G5701" s="4"/>
      <c r="H5701" s="4">
        <f t="shared" si="581"/>
        <v>68</v>
      </c>
    </row>
    <row r="5702" ht="14.25" spans="1:8">
      <c r="A5702" s="3" t="str">
        <f>"30401523203"</f>
        <v>30401523203</v>
      </c>
      <c r="B5702" s="3">
        <v>5</v>
      </c>
      <c r="C5702" s="3">
        <v>232</v>
      </c>
      <c r="D5702" s="3">
        <v>3</v>
      </c>
      <c r="E5702" s="3" t="s">
        <v>9</v>
      </c>
      <c r="F5702" s="4">
        <v>65.5</v>
      </c>
      <c r="G5702" s="4"/>
      <c r="H5702" s="4">
        <f t="shared" si="581"/>
        <v>65.5</v>
      </c>
    </row>
    <row r="5703" ht="14.25" spans="1:8">
      <c r="A5703" s="3" t="str">
        <f>"30401523204"</f>
        <v>30401523204</v>
      </c>
      <c r="B5703" s="3">
        <v>5</v>
      </c>
      <c r="C5703" s="3">
        <v>232</v>
      </c>
      <c r="D5703" s="3">
        <v>4</v>
      </c>
      <c r="E5703" s="3" t="s">
        <v>9</v>
      </c>
      <c r="F5703" s="4">
        <v>80</v>
      </c>
      <c r="G5703" s="4"/>
      <c r="H5703" s="4">
        <f t="shared" si="581"/>
        <v>80</v>
      </c>
    </row>
    <row r="5704" ht="14.25" spans="1:8">
      <c r="A5704" s="3" t="str">
        <f>"30401523205"</f>
        <v>30401523205</v>
      </c>
      <c r="B5704" s="3">
        <v>5</v>
      </c>
      <c r="C5704" s="3">
        <v>232</v>
      </c>
      <c r="D5704" s="3">
        <v>5</v>
      </c>
      <c r="E5704" s="3" t="s">
        <v>9</v>
      </c>
      <c r="F5704" s="4">
        <v>57</v>
      </c>
      <c r="G5704" s="4"/>
      <c r="H5704" s="4">
        <f t="shared" si="581"/>
        <v>57</v>
      </c>
    </row>
    <row r="5705" ht="14.25" spans="1:8">
      <c r="A5705" s="3" t="str">
        <f>"30401523206"</f>
        <v>30401523206</v>
      </c>
      <c r="B5705" s="3">
        <v>5</v>
      </c>
      <c r="C5705" s="3">
        <v>232</v>
      </c>
      <c r="D5705" s="3">
        <v>6</v>
      </c>
      <c r="E5705" s="3" t="s">
        <v>9</v>
      </c>
      <c r="F5705" s="4">
        <v>62</v>
      </c>
      <c r="G5705" s="4"/>
      <c r="H5705" s="4">
        <f t="shared" si="581"/>
        <v>62</v>
      </c>
    </row>
    <row r="5706" ht="14.25" spans="1:8">
      <c r="A5706" s="3" t="str">
        <f>"30401523207"</f>
        <v>30401523207</v>
      </c>
      <c r="B5706" s="3">
        <v>5</v>
      </c>
      <c r="C5706" s="3">
        <v>232</v>
      </c>
      <c r="D5706" s="3">
        <v>7</v>
      </c>
      <c r="E5706" s="3" t="s">
        <v>9</v>
      </c>
      <c r="F5706" s="4">
        <v>81</v>
      </c>
      <c r="G5706" s="4"/>
      <c r="H5706" s="4">
        <f t="shared" si="581"/>
        <v>81</v>
      </c>
    </row>
    <row r="5707" ht="14.25" spans="1:8">
      <c r="A5707" s="3" t="str">
        <f>"30401523208"</f>
        <v>30401523208</v>
      </c>
      <c r="B5707" s="3">
        <v>5</v>
      </c>
      <c r="C5707" s="3">
        <v>232</v>
      </c>
      <c r="D5707" s="3">
        <v>8</v>
      </c>
      <c r="E5707" s="3" t="s">
        <v>9</v>
      </c>
      <c r="F5707" s="4">
        <v>77.5</v>
      </c>
      <c r="G5707" s="4"/>
      <c r="H5707" s="4">
        <f t="shared" si="581"/>
        <v>77.5</v>
      </c>
    </row>
    <row r="5708" ht="14.25" spans="1:8">
      <c r="A5708" s="3" t="str">
        <f>"30401523209"</f>
        <v>30401523209</v>
      </c>
      <c r="B5708" s="3">
        <v>5</v>
      </c>
      <c r="C5708" s="3">
        <v>232</v>
      </c>
      <c r="D5708" s="3">
        <v>9</v>
      </c>
      <c r="E5708" s="3" t="s">
        <v>9</v>
      </c>
      <c r="F5708" s="3">
        <v>0</v>
      </c>
      <c r="G5708" s="4"/>
      <c r="H5708" s="3">
        <v>0</v>
      </c>
    </row>
    <row r="5709" ht="14.25" spans="1:8">
      <c r="A5709" s="3" t="str">
        <f>"30401523210"</f>
        <v>30401523210</v>
      </c>
      <c r="B5709" s="3">
        <v>5</v>
      </c>
      <c r="C5709" s="3">
        <v>232</v>
      </c>
      <c r="D5709" s="3">
        <v>10</v>
      </c>
      <c r="E5709" s="3" t="s">
        <v>9</v>
      </c>
      <c r="F5709" s="4">
        <v>71</v>
      </c>
      <c r="G5709" s="4"/>
      <c r="H5709" s="4">
        <f t="shared" ref="H5709:H5720" si="582">F5709+G5709</f>
        <v>71</v>
      </c>
    </row>
    <row r="5710" ht="14.25" spans="1:8">
      <c r="A5710" s="3" t="str">
        <f>"30401523211"</f>
        <v>30401523211</v>
      </c>
      <c r="B5710" s="3">
        <v>5</v>
      </c>
      <c r="C5710" s="3">
        <v>232</v>
      </c>
      <c r="D5710" s="3">
        <v>11</v>
      </c>
      <c r="E5710" s="3" t="s">
        <v>9</v>
      </c>
      <c r="F5710" s="4">
        <v>64</v>
      </c>
      <c r="G5710" s="4"/>
      <c r="H5710" s="4">
        <f t="shared" si="582"/>
        <v>64</v>
      </c>
    </row>
    <row r="5711" ht="14.25" spans="1:8">
      <c r="A5711" s="3" t="str">
        <f>"30401523212"</f>
        <v>30401523212</v>
      </c>
      <c r="B5711" s="3">
        <v>5</v>
      </c>
      <c r="C5711" s="3">
        <v>232</v>
      </c>
      <c r="D5711" s="3">
        <v>12</v>
      </c>
      <c r="E5711" s="3" t="s">
        <v>9</v>
      </c>
      <c r="F5711" s="4">
        <v>65</v>
      </c>
      <c r="G5711" s="4"/>
      <c r="H5711" s="4">
        <f t="shared" si="582"/>
        <v>65</v>
      </c>
    </row>
    <row r="5712" ht="14.25" spans="1:8">
      <c r="A5712" s="3" t="str">
        <f>"30401523213"</f>
        <v>30401523213</v>
      </c>
      <c r="B5712" s="3">
        <v>5</v>
      </c>
      <c r="C5712" s="3">
        <v>232</v>
      </c>
      <c r="D5712" s="3">
        <v>13</v>
      </c>
      <c r="E5712" s="3" t="s">
        <v>9</v>
      </c>
      <c r="F5712" s="4">
        <v>71</v>
      </c>
      <c r="G5712" s="4"/>
      <c r="H5712" s="4">
        <f t="shared" si="582"/>
        <v>71</v>
      </c>
    </row>
    <row r="5713" ht="14.25" spans="1:8">
      <c r="A5713" s="3" t="str">
        <f>"30401523214"</f>
        <v>30401523214</v>
      </c>
      <c r="B5713" s="3">
        <v>5</v>
      </c>
      <c r="C5713" s="3">
        <v>232</v>
      </c>
      <c r="D5713" s="3">
        <v>14</v>
      </c>
      <c r="E5713" s="3" t="s">
        <v>9</v>
      </c>
      <c r="F5713" s="4">
        <v>73</v>
      </c>
      <c r="G5713" s="4"/>
      <c r="H5713" s="4">
        <f t="shared" si="582"/>
        <v>73</v>
      </c>
    </row>
    <row r="5714" ht="14.25" spans="1:8">
      <c r="A5714" s="3" t="str">
        <f>"30401523215"</f>
        <v>30401523215</v>
      </c>
      <c r="B5714" s="3">
        <v>5</v>
      </c>
      <c r="C5714" s="3">
        <v>232</v>
      </c>
      <c r="D5714" s="3">
        <v>15</v>
      </c>
      <c r="E5714" s="3" t="s">
        <v>9</v>
      </c>
      <c r="F5714" s="4">
        <v>69.5</v>
      </c>
      <c r="G5714" s="4"/>
      <c r="H5714" s="4">
        <f t="shared" si="582"/>
        <v>69.5</v>
      </c>
    </row>
    <row r="5715" ht="14.25" spans="1:8">
      <c r="A5715" s="3" t="str">
        <f>"30401523216"</f>
        <v>30401523216</v>
      </c>
      <c r="B5715" s="3">
        <v>5</v>
      </c>
      <c r="C5715" s="3">
        <v>232</v>
      </c>
      <c r="D5715" s="3">
        <v>16</v>
      </c>
      <c r="E5715" s="3" t="s">
        <v>9</v>
      </c>
      <c r="F5715" s="4">
        <v>69.5</v>
      </c>
      <c r="G5715" s="4"/>
      <c r="H5715" s="4">
        <f t="shared" si="582"/>
        <v>69.5</v>
      </c>
    </row>
    <row r="5716" ht="14.25" spans="1:8">
      <c r="A5716" s="3" t="str">
        <f>"30401523217"</f>
        <v>30401523217</v>
      </c>
      <c r="B5716" s="3">
        <v>5</v>
      </c>
      <c r="C5716" s="3">
        <v>232</v>
      </c>
      <c r="D5716" s="3">
        <v>17</v>
      </c>
      <c r="E5716" s="3" t="s">
        <v>9</v>
      </c>
      <c r="F5716" s="4">
        <v>82.5</v>
      </c>
      <c r="G5716" s="4"/>
      <c r="H5716" s="4">
        <f t="shared" si="582"/>
        <v>82.5</v>
      </c>
    </row>
    <row r="5717" ht="14.25" spans="1:8">
      <c r="A5717" s="3" t="str">
        <f>"30401523218"</f>
        <v>30401523218</v>
      </c>
      <c r="B5717" s="3">
        <v>5</v>
      </c>
      <c r="C5717" s="3">
        <v>232</v>
      </c>
      <c r="D5717" s="3">
        <v>18</v>
      </c>
      <c r="E5717" s="3" t="s">
        <v>9</v>
      </c>
      <c r="F5717" s="4">
        <v>77.5</v>
      </c>
      <c r="G5717" s="4"/>
      <c r="H5717" s="4">
        <f t="shared" si="582"/>
        <v>77.5</v>
      </c>
    </row>
    <row r="5718" ht="14.25" spans="1:8">
      <c r="A5718" s="3" t="str">
        <f>"30501418229"</f>
        <v>30501418229</v>
      </c>
      <c r="B5718" s="3">
        <v>4</v>
      </c>
      <c r="C5718" s="3">
        <v>182</v>
      </c>
      <c r="D5718" s="3">
        <v>29</v>
      </c>
      <c r="E5718" s="3" t="s">
        <v>12</v>
      </c>
      <c r="F5718" s="4">
        <v>64.5</v>
      </c>
      <c r="G5718" s="4"/>
      <c r="H5718" s="4">
        <f t="shared" si="582"/>
        <v>64.5</v>
      </c>
    </row>
    <row r="5719" ht="14.25" spans="1:8">
      <c r="A5719" s="3" t="str">
        <f>"30501418230"</f>
        <v>30501418230</v>
      </c>
      <c r="B5719" s="3">
        <v>4</v>
      </c>
      <c r="C5719" s="3">
        <v>182</v>
      </c>
      <c r="D5719" s="3">
        <v>30</v>
      </c>
      <c r="E5719" s="3" t="s">
        <v>12</v>
      </c>
      <c r="F5719" s="4">
        <v>84</v>
      </c>
      <c r="G5719" s="4"/>
      <c r="H5719" s="4">
        <f t="shared" si="582"/>
        <v>84</v>
      </c>
    </row>
    <row r="5720" ht="14.25" spans="1:8">
      <c r="A5720" s="3" t="str">
        <f>"30501418301"</f>
        <v>30501418301</v>
      </c>
      <c r="B5720" s="3">
        <v>4</v>
      </c>
      <c r="C5720" s="3">
        <v>183</v>
      </c>
      <c r="D5720" s="3">
        <v>1</v>
      </c>
      <c r="E5720" s="3" t="s">
        <v>12</v>
      </c>
      <c r="F5720" s="4">
        <v>63</v>
      </c>
      <c r="G5720" s="4"/>
      <c r="H5720" s="4">
        <f t="shared" si="582"/>
        <v>63</v>
      </c>
    </row>
    <row r="5721" ht="14.25" spans="1:8">
      <c r="A5721" s="3" t="str">
        <f>"30501418302"</f>
        <v>30501418302</v>
      </c>
      <c r="B5721" s="3">
        <v>4</v>
      </c>
      <c r="C5721" s="3">
        <v>183</v>
      </c>
      <c r="D5721" s="3">
        <v>2</v>
      </c>
      <c r="E5721" s="3" t="s">
        <v>12</v>
      </c>
      <c r="F5721" s="3">
        <v>0</v>
      </c>
      <c r="G5721" s="4"/>
      <c r="H5721" s="3">
        <v>0</v>
      </c>
    </row>
    <row r="5722" ht="14.25" spans="1:8">
      <c r="A5722" s="3" t="str">
        <f>"30501418303"</f>
        <v>30501418303</v>
      </c>
      <c r="B5722" s="3">
        <v>4</v>
      </c>
      <c r="C5722" s="3">
        <v>183</v>
      </c>
      <c r="D5722" s="3">
        <v>3</v>
      </c>
      <c r="E5722" s="3" t="s">
        <v>12</v>
      </c>
      <c r="F5722" s="4">
        <v>67.5</v>
      </c>
      <c r="G5722" s="4"/>
      <c r="H5722" s="4">
        <f t="shared" ref="H5722:H5724" si="583">F5722+G5722</f>
        <v>67.5</v>
      </c>
    </row>
    <row r="5723" ht="14.25" spans="1:8">
      <c r="A5723" s="3" t="str">
        <f>"30501418304"</f>
        <v>30501418304</v>
      </c>
      <c r="B5723" s="3">
        <v>4</v>
      </c>
      <c r="C5723" s="3">
        <v>183</v>
      </c>
      <c r="D5723" s="3">
        <v>4</v>
      </c>
      <c r="E5723" s="3" t="s">
        <v>12</v>
      </c>
      <c r="F5723" s="4">
        <v>59</v>
      </c>
      <c r="G5723" s="4"/>
      <c r="H5723" s="4">
        <f t="shared" si="583"/>
        <v>59</v>
      </c>
    </row>
    <row r="5724" ht="14.25" spans="1:8">
      <c r="A5724" s="3" t="str">
        <f>"30501418305"</f>
        <v>30501418305</v>
      </c>
      <c r="B5724" s="3">
        <v>4</v>
      </c>
      <c r="C5724" s="3">
        <v>183</v>
      </c>
      <c r="D5724" s="3">
        <v>5</v>
      </c>
      <c r="E5724" s="3" t="s">
        <v>12</v>
      </c>
      <c r="F5724" s="4">
        <v>55</v>
      </c>
      <c r="G5724" s="4"/>
      <c r="H5724" s="4">
        <f t="shared" si="583"/>
        <v>55</v>
      </c>
    </row>
    <row r="5725" ht="14.25" spans="1:8">
      <c r="A5725" s="3" t="str">
        <f>"30501418306"</f>
        <v>30501418306</v>
      </c>
      <c r="B5725" s="3">
        <v>4</v>
      </c>
      <c r="C5725" s="3">
        <v>183</v>
      </c>
      <c r="D5725" s="3">
        <v>6</v>
      </c>
      <c r="E5725" s="3" t="s">
        <v>12</v>
      </c>
      <c r="F5725" s="3">
        <v>0</v>
      </c>
      <c r="G5725" s="4"/>
      <c r="H5725" s="3">
        <v>0</v>
      </c>
    </row>
    <row r="5726" ht="14.25" spans="1:8">
      <c r="A5726" s="3" t="str">
        <f>"30501418307"</f>
        <v>30501418307</v>
      </c>
      <c r="B5726" s="3">
        <v>4</v>
      </c>
      <c r="C5726" s="3">
        <v>183</v>
      </c>
      <c r="D5726" s="3">
        <v>7</v>
      </c>
      <c r="E5726" s="3" t="s">
        <v>12</v>
      </c>
      <c r="F5726" s="4">
        <v>53</v>
      </c>
      <c r="G5726" s="4"/>
      <c r="H5726" s="4">
        <f t="shared" ref="H5726:H5734" si="584">F5726+G5726</f>
        <v>53</v>
      </c>
    </row>
    <row r="5727" ht="14.25" spans="1:8">
      <c r="A5727" s="3" t="str">
        <f>"30501418308"</f>
        <v>30501418308</v>
      </c>
      <c r="B5727" s="3">
        <v>4</v>
      </c>
      <c r="C5727" s="3">
        <v>183</v>
      </c>
      <c r="D5727" s="3">
        <v>8</v>
      </c>
      <c r="E5727" s="3" t="s">
        <v>12</v>
      </c>
      <c r="F5727" s="4">
        <v>85</v>
      </c>
      <c r="G5727" s="4"/>
      <c r="H5727" s="4">
        <f t="shared" si="584"/>
        <v>85</v>
      </c>
    </row>
    <row r="5728" ht="14.25" spans="1:8">
      <c r="A5728" s="3" t="str">
        <f>"30501418309"</f>
        <v>30501418309</v>
      </c>
      <c r="B5728" s="3">
        <v>4</v>
      </c>
      <c r="C5728" s="3">
        <v>183</v>
      </c>
      <c r="D5728" s="3">
        <v>9</v>
      </c>
      <c r="E5728" s="3" t="s">
        <v>12</v>
      </c>
      <c r="F5728" s="4">
        <v>74.5</v>
      </c>
      <c r="G5728" s="4"/>
      <c r="H5728" s="4">
        <f t="shared" si="584"/>
        <v>74.5</v>
      </c>
    </row>
    <row r="5729" ht="14.25" spans="1:8">
      <c r="A5729" s="3" t="str">
        <f>"30501418310"</f>
        <v>30501418310</v>
      </c>
      <c r="B5729" s="3">
        <v>4</v>
      </c>
      <c r="C5729" s="3">
        <v>183</v>
      </c>
      <c r="D5729" s="3">
        <v>10</v>
      </c>
      <c r="E5729" s="3" t="s">
        <v>12</v>
      </c>
      <c r="F5729" s="4">
        <v>43.5</v>
      </c>
      <c r="G5729" s="4"/>
      <c r="H5729" s="4">
        <f t="shared" si="584"/>
        <v>43.5</v>
      </c>
    </row>
    <row r="5730" ht="14.25" spans="1:8">
      <c r="A5730" s="3" t="str">
        <f>"30501418311"</f>
        <v>30501418311</v>
      </c>
      <c r="B5730" s="3">
        <v>4</v>
      </c>
      <c r="C5730" s="3">
        <v>183</v>
      </c>
      <c r="D5730" s="3">
        <v>11</v>
      </c>
      <c r="E5730" s="3" t="s">
        <v>12</v>
      </c>
      <c r="F5730" s="4">
        <v>78.5</v>
      </c>
      <c r="G5730" s="4"/>
      <c r="H5730" s="4">
        <f t="shared" si="584"/>
        <v>78.5</v>
      </c>
    </row>
    <row r="5731" ht="14.25" spans="1:8">
      <c r="A5731" s="3" t="str">
        <f>"30501418312"</f>
        <v>30501418312</v>
      </c>
      <c r="B5731" s="3">
        <v>4</v>
      </c>
      <c r="C5731" s="3">
        <v>183</v>
      </c>
      <c r="D5731" s="3">
        <v>12</v>
      </c>
      <c r="E5731" s="3" t="s">
        <v>12</v>
      </c>
      <c r="F5731" s="4">
        <v>57</v>
      </c>
      <c r="G5731" s="4"/>
      <c r="H5731" s="4">
        <f t="shared" si="584"/>
        <v>57</v>
      </c>
    </row>
    <row r="5732" ht="14.25" spans="1:8">
      <c r="A5732" s="3" t="str">
        <f>"30501418313"</f>
        <v>30501418313</v>
      </c>
      <c r="B5732" s="3">
        <v>4</v>
      </c>
      <c r="C5732" s="3">
        <v>183</v>
      </c>
      <c r="D5732" s="3">
        <v>13</v>
      </c>
      <c r="E5732" s="3" t="s">
        <v>12</v>
      </c>
      <c r="F5732" s="4">
        <v>80.5</v>
      </c>
      <c r="G5732" s="4"/>
      <c r="H5732" s="4">
        <f t="shared" si="584"/>
        <v>80.5</v>
      </c>
    </row>
    <row r="5733" ht="14.25" spans="1:8">
      <c r="A5733" s="3" t="str">
        <f>"30501418314"</f>
        <v>30501418314</v>
      </c>
      <c r="B5733" s="3">
        <v>4</v>
      </c>
      <c r="C5733" s="3">
        <v>183</v>
      </c>
      <c r="D5733" s="3">
        <v>14</v>
      </c>
      <c r="E5733" s="3" t="s">
        <v>12</v>
      </c>
      <c r="F5733" s="4">
        <v>75</v>
      </c>
      <c r="G5733" s="4"/>
      <c r="H5733" s="4">
        <f t="shared" si="584"/>
        <v>75</v>
      </c>
    </row>
    <row r="5734" ht="14.25" spans="1:8">
      <c r="A5734" s="3" t="str">
        <f>"30501418315"</f>
        <v>30501418315</v>
      </c>
      <c r="B5734" s="3">
        <v>4</v>
      </c>
      <c r="C5734" s="3">
        <v>183</v>
      </c>
      <c r="D5734" s="3">
        <v>15</v>
      </c>
      <c r="E5734" s="3" t="s">
        <v>12</v>
      </c>
      <c r="F5734" s="4">
        <v>85.5</v>
      </c>
      <c r="G5734" s="4"/>
      <c r="H5734" s="4">
        <f t="shared" si="584"/>
        <v>85.5</v>
      </c>
    </row>
    <row r="5735" ht="14.25" spans="1:8">
      <c r="A5735" s="3" t="str">
        <f>"30501418316"</f>
        <v>30501418316</v>
      </c>
      <c r="B5735" s="3">
        <v>4</v>
      </c>
      <c r="C5735" s="3">
        <v>183</v>
      </c>
      <c r="D5735" s="3">
        <v>16</v>
      </c>
      <c r="E5735" s="3" t="s">
        <v>12</v>
      </c>
      <c r="F5735" s="3">
        <v>0</v>
      </c>
      <c r="G5735" s="4"/>
      <c r="H5735" s="3">
        <v>0</v>
      </c>
    </row>
    <row r="5736" ht="14.25" spans="1:8">
      <c r="A5736" s="3" t="str">
        <f>"30501418317"</f>
        <v>30501418317</v>
      </c>
      <c r="B5736" s="3">
        <v>4</v>
      </c>
      <c r="C5736" s="3">
        <v>183</v>
      </c>
      <c r="D5736" s="3">
        <v>17</v>
      </c>
      <c r="E5736" s="3" t="s">
        <v>12</v>
      </c>
      <c r="F5736" s="4">
        <v>79</v>
      </c>
      <c r="G5736" s="4"/>
      <c r="H5736" s="4">
        <f t="shared" ref="H5736:H5749" si="585">F5736+G5736</f>
        <v>79</v>
      </c>
    </row>
    <row r="5737" ht="14.25" spans="1:8">
      <c r="A5737" s="3" t="str">
        <f>"30501418318"</f>
        <v>30501418318</v>
      </c>
      <c r="B5737" s="3">
        <v>4</v>
      </c>
      <c r="C5737" s="3">
        <v>183</v>
      </c>
      <c r="D5737" s="3">
        <v>18</v>
      </c>
      <c r="E5737" s="3" t="s">
        <v>12</v>
      </c>
      <c r="F5737" s="4">
        <v>65</v>
      </c>
      <c r="G5737" s="4"/>
      <c r="H5737" s="4">
        <f t="shared" si="585"/>
        <v>65</v>
      </c>
    </row>
    <row r="5738" ht="14.25" spans="1:8">
      <c r="A5738" s="3" t="str">
        <f>"30501418319"</f>
        <v>30501418319</v>
      </c>
      <c r="B5738" s="3">
        <v>4</v>
      </c>
      <c r="C5738" s="3">
        <v>183</v>
      </c>
      <c r="D5738" s="3">
        <v>19</v>
      </c>
      <c r="E5738" s="3" t="s">
        <v>12</v>
      </c>
      <c r="F5738" s="4">
        <v>84.5</v>
      </c>
      <c r="G5738" s="4"/>
      <c r="H5738" s="4">
        <f t="shared" si="585"/>
        <v>84.5</v>
      </c>
    </row>
    <row r="5739" ht="14.25" spans="1:8">
      <c r="A5739" s="3" t="str">
        <f>"30501418320"</f>
        <v>30501418320</v>
      </c>
      <c r="B5739" s="3">
        <v>4</v>
      </c>
      <c r="C5739" s="3">
        <v>183</v>
      </c>
      <c r="D5739" s="3">
        <v>20</v>
      </c>
      <c r="E5739" s="3" t="s">
        <v>12</v>
      </c>
      <c r="F5739" s="4">
        <v>74</v>
      </c>
      <c r="G5739" s="4"/>
      <c r="H5739" s="4">
        <f t="shared" si="585"/>
        <v>74</v>
      </c>
    </row>
    <row r="5740" ht="14.25" spans="1:8">
      <c r="A5740" s="3" t="str">
        <f>"30501418321"</f>
        <v>30501418321</v>
      </c>
      <c r="B5740" s="3">
        <v>4</v>
      </c>
      <c r="C5740" s="3">
        <v>183</v>
      </c>
      <c r="D5740" s="3">
        <v>21</v>
      </c>
      <c r="E5740" s="3" t="s">
        <v>12</v>
      </c>
      <c r="F5740" s="4">
        <v>79</v>
      </c>
      <c r="G5740" s="4"/>
      <c r="H5740" s="4">
        <f t="shared" si="585"/>
        <v>79</v>
      </c>
    </row>
    <row r="5741" ht="14.25" spans="1:8">
      <c r="A5741" s="3" t="str">
        <f>"30501418322"</f>
        <v>30501418322</v>
      </c>
      <c r="B5741" s="3">
        <v>4</v>
      </c>
      <c r="C5741" s="3">
        <v>183</v>
      </c>
      <c r="D5741" s="3">
        <v>22</v>
      </c>
      <c r="E5741" s="3" t="s">
        <v>12</v>
      </c>
      <c r="F5741" s="4">
        <v>81.5</v>
      </c>
      <c r="G5741" s="4"/>
      <c r="H5741" s="4">
        <f t="shared" si="585"/>
        <v>81.5</v>
      </c>
    </row>
    <row r="5742" ht="14.25" spans="1:8">
      <c r="A5742" s="3" t="str">
        <f>"30501418323"</f>
        <v>30501418323</v>
      </c>
      <c r="B5742" s="3">
        <v>4</v>
      </c>
      <c r="C5742" s="3">
        <v>183</v>
      </c>
      <c r="D5742" s="3">
        <v>23</v>
      </c>
      <c r="E5742" s="3" t="s">
        <v>12</v>
      </c>
      <c r="F5742" s="4">
        <v>55</v>
      </c>
      <c r="G5742" s="4"/>
      <c r="H5742" s="4">
        <f t="shared" si="585"/>
        <v>55</v>
      </c>
    </row>
    <row r="5743" ht="14.25" spans="1:8">
      <c r="A5743" s="3" t="str">
        <f>"30501418324"</f>
        <v>30501418324</v>
      </c>
      <c r="B5743" s="3">
        <v>4</v>
      </c>
      <c r="C5743" s="3">
        <v>183</v>
      </c>
      <c r="D5743" s="3">
        <v>24</v>
      </c>
      <c r="E5743" s="3" t="s">
        <v>12</v>
      </c>
      <c r="F5743" s="4">
        <v>66</v>
      </c>
      <c r="G5743" s="4"/>
      <c r="H5743" s="4">
        <f t="shared" si="585"/>
        <v>66</v>
      </c>
    </row>
    <row r="5744" ht="14.25" spans="1:8">
      <c r="A5744" s="3" t="str">
        <f>"30501418325"</f>
        <v>30501418325</v>
      </c>
      <c r="B5744" s="3">
        <v>4</v>
      </c>
      <c r="C5744" s="3">
        <v>183</v>
      </c>
      <c r="D5744" s="3">
        <v>25</v>
      </c>
      <c r="E5744" s="3" t="s">
        <v>12</v>
      </c>
      <c r="F5744" s="4">
        <v>79</v>
      </c>
      <c r="G5744" s="4"/>
      <c r="H5744" s="4">
        <f t="shared" si="585"/>
        <v>79</v>
      </c>
    </row>
    <row r="5745" ht="14.25" spans="1:8">
      <c r="A5745" s="3" t="str">
        <f>"30501418326"</f>
        <v>30501418326</v>
      </c>
      <c r="B5745" s="3">
        <v>4</v>
      </c>
      <c r="C5745" s="3">
        <v>183</v>
      </c>
      <c r="D5745" s="3">
        <v>26</v>
      </c>
      <c r="E5745" s="3" t="s">
        <v>12</v>
      </c>
      <c r="F5745" s="4">
        <v>85.5</v>
      </c>
      <c r="G5745" s="4"/>
      <c r="H5745" s="4">
        <f t="shared" si="585"/>
        <v>85.5</v>
      </c>
    </row>
    <row r="5746" ht="14.25" spans="1:8">
      <c r="A5746" s="3" t="str">
        <f>"30501418327"</f>
        <v>30501418327</v>
      </c>
      <c r="B5746" s="3">
        <v>4</v>
      </c>
      <c r="C5746" s="3">
        <v>183</v>
      </c>
      <c r="D5746" s="3">
        <v>27</v>
      </c>
      <c r="E5746" s="3" t="s">
        <v>12</v>
      </c>
      <c r="F5746" s="4">
        <v>78</v>
      </c>
      <c r="G5746" s="4"/>
      <c r="H5746" s="4">
        <f t="shared" si="585"/>
        <v>78</v>
      </c>
    </row>
    <row r="5747" ht="14.25" spans="1:8">
      <c r="A5747" s="3" t="str">
        <f>"30501418328"</f>
        <v>30501418328</v>
      </c>
      <c r="B5747" s="3">
        <v>4</v>
      </c>
      <c r="C5747" s="3">
        <v>183</v>
      </c>
      <c r="D5747" s="3">
        <v>28</v>
      </c>
      <c r="E5747" s="3" t="s">
        <v>12</v>
      </c>
      <c r="F5747" s="4">
        <v>86</v>
      </c>
      <c r="G5747" s="4"/>
      <c r="H5747" s="4">
        <f t="shared" si="585"/>
        <v>86</v>
      </c>
    </row>
    <row r="5748" ht="14.25" spans="1:8">
      <c r="A5748" s="3" t="str">
        <f>"30501418329"</f>
        <v>30501418329</v>
      </c>
      <c r="B5748" s="3">
        <v>4</v>
      </c>
      <c r="C5748" s="3">
        <v>183</v>
      </c>
      <c r="D5748" s="3">
        <v>29</v>
      </c>
      <c r="E5748" s="3" t="s">
        <v>12</v>
      </c>
      <c r="F5748" s="4">
        <v>82</v>
      </c>
      <c r="G5748" s="4"/>
      <c r="H5748" s="4">
        <f t="shared" si="585"/>
        <v>82</v>
      </c>
    </row>
    <row r="5749" ht="14.25" spans="1:8">
      <c r="A5749" s="3" t="str">
        <f>"30501418330"</f>
        <v>30501418330</v>
      </c>
      <c r="B5749" s="3">
        <v>4</v>
      </c>
      <c r="C5749" s="3">
        <v>183</v>
      </c>
      <c r="D5749" s="3">
        <v>30</v>
      </c>
      <c r="E5749" s="3" t="s">
        <v>12</v>
      </c>
      <c r="F5749" s="4">
        <v>81.5</v>
      </c>
      <c r="G5749" s="4"/>
      <c r="H5749" s="4">
        <f t="shared" si="585"/>
        <v>81.5</v>
      </c>
    </row>
    <row r="5750" ht="14.25" spans="1:8">
      <c r="A5750" s="3" t="str">
        <f>"30501418401"</f>
        <v>30501418401</v>
      </c>
      <c r="B5750" s="3">
        <v>4</v>
      </c>
      <c r="C5750" s="3">
        <v>184</v>
      </c>
      <c r="D5750" s="3">
        <v>1</v>
      </c>
      <c r="E5750" s="3" t="s">
        <v>12</v>
      </c>
      <c r="F5750" s="3">
        <v>0</v>
      </c>
      <c r="G5750" s="4"/>
      <c r="H5750" s="3">
        <v>0</v>
      </c>
    </row>
    <row r="5751" ht="14.25" spans="1:8">
      <c r="A5751" s="3" t="str">
        <f>"30501418402"</f>
        <v>30501418402</v>
      </c>
      <c r="B5751" s="3">
        <v>4</v>
      </c>
      <c r="C5751" s="3">
        <v>184</v>
      </c>
      <c r="D5751" s="3">
        <v>2</v>
      </c>
      <c r="E5751" s="3" t="s">
        <v>12</v>
      </c>
      <c r="F5751" s="4">
        <v>80</v>
      </c>
      <c r="G5751" s="4"/>
      <c r="H5751" s="4">
        <f t="shared" ref="H5751:H5754" si="586">F5751+G5751</f>
        <v>80</v>
      </c>
    </row>
    <row r="5752" ht="14.25" spans="1:8">
      <c r="A5752" s="3" t="str">
        <f>"30501418403"</f>
        <v>30501418403</v>
      </c>
      <c r="B5752" s="3">
        <v>4</v>
      </c>
      <c r="C5752" s="3">
        <v>184</v>
      </c>
      <c r="D5752" s="3">
        <v>3</v>
      </c>
      <c r="E5752" s="3" t="s">
        <v>12</v>
      </c>
      <c r="F5752" s="4">
        <v>58</v>
      </c>
      <c r="G5752" s="4"/>
      <c r="H5752" s="4">
        <f t="shared" si="586"/>
        <v>58</v>
      </c>
    </row>
    <row r="5753" ht="14.25" spans="1:8">
      <c r="A5753" s="3" t="str">
        <f>"30501418404"</f>
        <v>30501418404</v>
      </c>
      <c r="B5753" s="3">
        <v>4</v>
      </c>
      <c r="C5753" s="3">
        <v>184</v>
      </c>
      <c r="D5753" s="3">
        <v>4</v>
      </c>
      <c r="E5753" s="3" t="s">
        <v>12</v>
      </c>
      <c r="F5753" s="4">
        <v>45</v>
      </c>
      <c r="G5753" s="4"/>
      <c r="H5753" s="4">
        <f t="shared" si="586"/>
        <v>45</v>
      </c>
    </row>
    <row r="5754" ht="14.25" spans="1:8">
      <c r="A5754" s="3" t="str">
        <f>"30501418405"</f>
        <v>30501418405</v>
      </c>
      <c r="B5754" s="3">
        <v>4</v>
      </c>
      <c r="C5754" s="3">
        <v>184</v>
      </c>
      <c r="D5754" s="3">
        <v>5</v>
      </c>
      <c r="E5754" s="3" t="s">
        <v>12</v>
      </c>
      <c r="F5754" s="4">
        <v>85.5</v>
      </c>
      <c r="G5754" s="4"/>
      <c r="H5754" s="4">
        <f t="shared" si="586"/>
        <v>85.5</v>
      </c>
    </row>
    <row r="5755" ht="14.25" spans="1:8">
      <c r="A5755" s="3" t="str">
        <f>"30501418406"</f>
        <v>30501418406</v>
      </c>
      <c r="B5755" s="3">
        <v>4</v>
      </c>
      <c r="C5755" s="3">
        <v>184</v>
      </c>
      <c r="D5755" s="3">
        <v>6</v>
      </c>
      <c r="E5755" s="3" t="s">
        <v>12</v>
      </c>
      <c r="F5755" s="3">
        <v>0</v>
      </c>
      <c r="G5755" s="4"/>
      <c r="H5755" s="3">
        <v>0</v>
      </c>
    </row>
    <row r="5756" ht="14.25" spans="1:8">
      <c r="A5756" s="3" t="str">
        <f>"30501418407"</f>
        <v>30501418407</v>
      </c>
      <c r="B5756" s="3">
        <v>4</v>
      </c>
      <c r="C5756" s="3">
        <v>184</v>
      </c>
      <c r="D5756" s="3">
        <v>7</v>
      </c>
      <c r="E5756" s="3" t="s">
        <v>12</v>
      </c>
      <c r="F5756" s="4">
        <v>64</v>
      </c>
      <c r="G5756" s="4"/>
      <c r="H5756" s="4">
        <f t="shared" ref="H5756:H5760" si="587">F5756+G5756</f>
        <v>64</v>
      </c>
    </row>
    <row r="5757" ht="14.25" spans="1:8">
      <c r="A5757" s="3" t="str">
        <f>"30501418408"</f>
        <v>30501418408</v>
      </c>
      <c r="B5757" s="3">
        <v>4</v>
      </c>
      <c r="C5757" s="3">
        <v>184</v>
      </c>
      <c r="D5757" s="3">
        <v>8</v>
      </c>
      <c r="E5757" s="3" t="s">
        <v>12</v>
      </c>
      <c r="F5757" s="3">
        <v>0</v>
      </c>
      <c r="G5757" s="4"/>
      <c r="H5757" s="3">
        <v>0</v>
      </c>
    </row>
    <row r="5758" ht="14.25" spans="1:8">
      <c r="A5758" s="3" t="str">
        <f>"30501418409"</f>
        <v>30501418409</v>
      </c>
      <c r="B5758" s="3">
        <v>4</v>
      </c>
      <c r="C5758" s="3">
        <v>184</v>
      </c>
      <c r="D5758" s="3">
        <v>9</v>
      </c>
      <c r="E5758" s="3" t="s">
        <v>12</v>
      </c>
      <c r="F5758" s="4">
        <v>63.5</v>
      </c>
      <c r="G5758" s="4"/>
      <c r="H5758" s="4">
        <f t="shared" si="587"/>
        <v>63.5</v>
      </c>
    </row>
    <row r="5759" ht="14.25" spans="1:8">
      <c r="A5759" s="3" t="str">
        <f>"30501418410"</f>
        <v>30501418410</v>
      </c>
      <c r="B5759" s="3">
        <v>4</v>
      </c>
      <c r="C5759" s="3">
        <v>184</v>
      </c>
      <c r="D5759" s="3">
        <v>10</v>
      </c>
      <c r="E5759" s="3" t="s">
        <v>12</v>
      </c>
      <c r="F5759" s="4">
        <v>60</v>
      </c>
      <c r="G5759" s="4"/>
      <c r="H5759" s="4">
        <f t="shared" si="587"/>
        <v>60</v>
      </c>
    </row>
    <row r="5760" ht="14.25" spans="1:8">
      <c r="A5760" s="3" t="str">
        <f>"30501418411"</f>
        <v>30501418411</v>
      </c>
      <c r="B5760" s="3">
        <v>4</v>
      </c>
      <c r="C5760" s="3">
        <v>184</v>
      </c>
      <c r="D5760" s="3">
        <v>11</v>
      </c>
      <c r="E5760" s="3" t="s">
        <v>12</v>
      </c>
      <c r="F5760" s="4">
        <v>80</v>
      </c>
      <c r="G5760" s="4"/>
      <c r="H5760" s="4">
        <f t="shared" si="587"/>
        <v>80</v>
      </c>
    </row>
    <row r="5761" ht="14.25" spans="1:8">
      <c r="A5761" s="3" t="str">
        <f>"30501418412"</f>
        <v>30501418412</v>
      </c>
      <c r="B5761" s="3">
        <v>4</v>
      </c>
      <c r="C5761" s="3">
        <v>184</v>
      </c>
      <c r="D5761" s="3">
        <v>12</v>
      </c>
      <c r="E5761" s="3" t="s">
        <v>12</v>
      </c>
      <c r="F5761" s="3">
        <v>0</v>
      </c>
      <c r="G5761" s="4"/>
      <c r="H5761" s="3">
        <v>0</v>
      </c>
    </row>
    <row r="5762" ht="14.25" spans="1:8">
      <c r="A5762" s="3" t="str">
        <f>"30501418413"</f>
        <v>30501418413</v>
      </c>
      <c r="B5762" s="3">
        <v>4</v>
      </c>
      <c r="C5762" s="3">
        <v>184</v>
      </c>
      <c r="D5762" s="3">
        <v>13</v>
      </c>
      <c r="E5762" s="3" t="s">
        <v>12</v>
      </c>
      <c r="F5762" s="3">
        <v>0</v>
      </c>
      <c r="G5762" s="4"/>
      <c r="H5762" s="3">
        <v>0</v>
      </c>
    </row>
    <row r="5763" ht="14.25" spans="1:8">
      <c r="A5763" s="3" t="str">
        <f>"30501418414"</f>
        <v>30501418414</v>
      </c>
      <c r="B5763" s="3">
        <v>4</v>
      </c>
      <c r="C5763" s="3">
        <v>184</v>
      </c>
      <c r="D5763" s="3">
        <v>14</v>
      </c>
      <c r="E5763" s="3" t="s">
        <v>12</v>
      </c>
      <c r="F5763" s="4">
        <v>74.5</v>
      </c>
      <c r="G5763" s="4">
        <v>10</v>
      </c>
      <c r="H5763" s="4">
        <f t="shared" ref="H5763:H5780" si="588">F5763+G5763</f>
        <v>84.5</v>
      </c>
    </row>
    <row r="5764" ht="14.25" spans="1:8">
      <c r="A5764" s="3" t="str">
        <f>"30501418415"</f>
        <v>30501418415</v>
      </c>
      <c r="B5764" s="3">
        <v>4</v>
      </c>
      <c r="C5764" s="3">
        <v>184</v>
      </c>
      <c r="D5764" s="3">
        <v>15</v>
      </c>
      <c r="E5764" s="3" t="s">
        <v>12</v>
      </c>
      <c r="F5764" s="4">
        <v>64.5</v>
      </c>
      <c r="G5764" s="4"/>
      <c r="H5764" s="4">
        <f t="shared" si="588"/>
        <v>64.5</v>
      </c>
    </row>
    <row r="5765" ht="14.25" spans="1:8">
      <c r="A5765" s="3" t="str">
        <f>"30501418416"</f>
        <v>30501418416</v>
      </c>
      <c r="B5765" s="3">
        <v>4</v>
      </c>
      <c r="C5765" s="3">
        <v>184</v>
      </c>
      <c r="D5765" s="3">
        <v>16</v>
      </c>
      <c r="E5765" s="3" t="s">
        <v>12</v>
      </c>
      <c r="F5765" s="4">
        <v>79.5</v>
      </c>
      <c r="G5765" s="4"/>
      <c r="H5765" s="4">
        <f t="shared" si="588"/>
        <v>79.5</v>
      </c>
    </row>
    <row r="5766" ht="14.25" spans="1:8">
      <c r="A5766" s="3" t="str">
        <f>"30501418417"</f>
        <v>30501418417</v>
      </c>
      <c r="B5766" s="3">
        <v>4</v>
      </c>
      <c r="C5766" s="3">
        <v>184</v>
      </c>
      <c r="D5766" s="3">
        <v>17</v>
      </c>
      <c r="E5766" s="3" t="s">
        <v>12</v>
      </c>
      <c r="F5766" s="4">
        <v>48.5</v>
      </c>
      <c r="G5766" s="4"/>
      <c r="H5766" s="4">
        <f t="shared" si="588"/>
        <v>48.5</v>
      </c>
    </row>
    <row r="5767" ht="14.25" spans="1:8">
      <c r="A5767" s="3" t="str">
        <f>"30501418418"</f>
        <v>30501418418</v>
      </c>
      <c r="B5767" s="3">
        <v>4</v>
      </c>
      <c r="C5767" s="3">
        <v>184</v>
      </c>
      <c r="D5767" s="3">
        <v>18</v>
      </c>
      <c r="E5767" s="3" t="s">
        <v>12</v>
      </c>
      <c r="F5767" s="4">
        <v>45.5</v>
      </c>
      <c r="G5767" s="4"/>
      <c r="H5767" s="4">
        <f t="shared" si="588"/>
        <v>45.5</v>
      </c>
    </row>
    <row r="5768" ht="14.25" spans="1:8">
      <c r="A5768" s="3" t="str">
        <f>"30501418419"</f>
        <v>30501418419</v>
      </c>
      <c r="B5768" s="3">
        <v>4</v>
      </c>
      <c r="C5768" s="3">
        <v>184</v>
      </c>
      <c r="D5768" s="3">
        <v>19</v>
      </c>
      <c r="E5768" s="3" t="s">
        <v>12</v>
      </c>
      <c r="F5768" s="4">
        <v>51</v>
      </c>
      <c r="G5768" s="4"/>
      <c r="H5768" s="4">
        <f t="shared" si="588"/>
        <v>51</v>
      </c>
    </row>
    <row r="5769" ht="14.25" spans="1:8">
      <c r="A5769" s="3" t="str">
        <f>"30501418420"</f>
        <v>30501418420</v>
      </c>
      <c r="B5769" s="3">
        <v>4</v>
      </c>
      <c r="C5769" s="3">
        <v>184</v>
      </c>
      <c r="D5769" s="3">
        <v>20</v>
      </c>
      <c r="E5769" s="3" t="s">
        <v>12</v>
      </c>
      <c r="F5769" s="4">
        <v>58.5</v>
      </c>
      <c r="G5769" s="4"/>
      <c r="H5769" s="4">
        <f t="shared" si="588"/>
        <v>58.5</v>
      </c>
    </row>
    <row r="5770" ht="14.25" spans="1:8">
      <c r="A5770" s="3" t="str">
        <f>"30501418421"</f>
        <v>30501418421</v>
      </c>
      <c r="B5770" s="3">
        <v>4</v>
      </c>
      <c r="C5770" s="3">
        <v>184</v>
      </c>
      <c r="D5770" s="3">
        <v>21</v>
      </c>
      <c r="E5770" s="3" t="s">
        <v>12</v>
      </c>
      <c r="F5770" s="4">
        <v>80</v>
      </c>
      <c r="G5770" s="4"/>
      <c r="H5770" s="4">
        <f t="shared" si="588"/>
        <v>80</v>
      </c>
    </row>
    <row r="5771" ht="14.25" spans="1:8">
      <c r="A5771" s="3" t="str">
        <f>"30501418422"</f>
        <v>30501418422</v>
      </c>
      <c r="B5771" s="3">
        <v>4</v>
      </c>
      <c r="C5771" s="3">
        <v>184</v>
      </c>
      <c r="D5771" s="3">
        <v>22</v>
      </c>
      <c r="E5771" s="3" t="s">
        <v>12</v>
      </c>
      <c r="F5771" s="4">
        <v>61.5</v>
      </c>
      <c r="G5771" s="4"/>
      <c r="H5771" s="4">
        <f t="shared" si="588"/>
        <v>61.5</v>
      </c>
    </row>
    <row r="5772" ht="14.25" spans="1:8">
      <c r="A5772" s="3" t="str">
        <f>"30501418423"</f>
        <v>30501418423</v>
      </c>
      <c r="B5772" s="3">
        <v>4</v>
      </c>
      <c r="C5772" s="3">
        <v>184</v>
      </c>
      <c r="D5772" s="3">
        <v>23</v>
      </c>
      <c r="E5772" s="3" t="s">
        <v>12</v>
      </c>
      <c r="F5772" s="4">
        <v>77</v>
      </c>
      <c r="G5772" s="4"/>
      <c r="H5772" s="4">
        <f t="shared" si="588"/>
        <v>77</v>
      </c>
    </row>
    <row r="5773" ht="14.25" spans="1:8">
      <c r="A5773" s="3" t="str">
        <f>"30501418424"</f>
        <v>30501418424</v>
      </c>
      <c r="B5773" s="3">
        <v>4</v>
      </c>
      <c r="C5773" s="3">
        <v>184</v>
      </c>
      <c r="D5773" s="3">
        <v>24</v>
      </c>
      <c r="E5773" s="3" t="s">
        <v>12</v>
      </c>
      <c r="F5773" s="4">
        <v>71.5</v>
      </c>
      <c r="G5773" s="4"/>
      <c r="H5773" s="4">
        <f t="shared" si="588"/>
        <v>71.5</v>
      </c>
    </row>
    <row r="5774" ht="14.25" spans="1:8">
      <c r="A5774" s="3" t="str">
        <f>"30501418425"</f>
        <v>30501418425</v>
      </c>
      <c r="B5774" s="3">
        <v>4</v>
      </c>
      <c r="C5774" s="3">
        <v>184</v>
      </c>
      <c r="D5774" s="3">
        <v>25</v>
      </c>
      <c r="E5774" s="3" t="s">
        <v>12</v>
      </c>
      <c r="F5774" s="4">
        <v>73.5</v>
      </c>
      <c r="G5774" s="4"/>
      <c r="H5774" s="4">
        <f t="shared" si="588"/>
        <v>73.5</v>
      </c>
    </row>
    <row r="5775" ht="14.25" spans="1:8">
      <c r="A5775" s="3" t="str">
        <f>"30501418426"</f>
        <v>30501418426</v>
      </c>
      <c r="B5775" s="3">
        <v>4</v>
      </c>
      <c r="C5775" s="3">
        <v>184</v>
      </c>
      <c r="D5775" s="3">
        <v>26</v>
      </c>
      <c r="E5775" s="3" t="s">
        <v>12</v>
      </c>
      <c r="F5775" s="4">
        <v>74</v>
      </c>
      <c r="G5775" s="4"/>
      <c r="H5775" s="4">
        <f t="shared" si="588"/>
        <v>74</v>
      </c>
    </row>
    <row r="5776" ht="14.25" spans="1:8">
      <c r="A5776" s="3" t="str">
        <f>"30501418427"</f>
        <v>30501418427</v>
      </c>
      <c r="B5776" s="3">
        <v>4</v>
      </c>
      <c r="C5776" s="3">
        <v>184</v>
      </c>
      <c r="D5776" s="3">
        <v>27</v>
      </c>
      <c r="E5776" s="3" t="s">
        <v>12</v>
      </c>
      <c r="F5776" s="4">
        <v>76</v>
      </c>
      <c r="G5776" s="4"/>
      <c r="H5776" s="4">
        <f t="shared" si="588"/>
        <v>76</v>
      </c>
    </row>
    <row r="5777" ht="14.25" spans="1:8">
      <c r="A5777" s="3" t="str">
        <f>"30501418428"</f>
        <v>30501418428</v>
      </c>
      <c r="B5777" s="3">
        <v>4</v>
      </c>
      <c r="C5777" s="3">
        <v>184</v>
      </c>
      <c r="D5777" s="3">
        <v>28</v>
      </c>
      <c r="E5777" s="3" t="s">
        <v>12</v>
      </c>
      <c r="F5777" s="4">
        <v>61.5</v>
      </c>
      <c r="G5777" s="4"/>
      <c r="H5777" s="4">
        <f t="shared" si="588"/>
        <v>61.5</v>
      </c>
    </row>
    <row r="5778" ht="14.25" spans="1:8">
      <c r="A5778" s="3" t="str">
        <f>"30501418429"</f>
        <v>30501418429</v>
      </c>
      <c r="B5778" s="3">
        <v>4</v>
      </c>
      <c r="C5778" s="3">
        <v>184</v>
      </c>
      <c r="D5778" s="3">
        <v>29</v>
      </c>
      <c r="E5778" s="3" t="s">
        <v>12</v>
      </c>
      <c r="F5778" s="4">
        <v>85</v>
      </c>
      <c r="G5778" s="4"/>
      <c r="H5778" s="4">
        <f t="shared" si="588"/>
        <v>85</v>
      </c>
    </row>
    <row r="5779" ht="14.25" spans="1:8">
      <c r="A5779" s="3" t="str">
        <f>"30501418430"</f>
        <v>30501418430</v>
      </c>
      <c r="B5779" s="3">
        <v>4</v>
      </c>
      <c r="C5779" s="3">
        <v>184</v>
      </c>
      <c r="D5779" s="3">
        <v>30</v>
      </c>
      <c r="E5779" s="3" t="s">
        <v>12</v>
      </c>
      <c r="F5779" s="4">
        <v>82</v>
      </c>
      <c r="G5779" s="4"/>
      <c r="H5779" s="4">
        <f t="shared" si="588"/>
        <v>82</v>
      </c>
    </row>
    <row r="5780" ht="14.25" spans="1:8">
      <c r="A5780" s="3" t="str">
        <f>"30501418501"</f>
        <v>30501418501</v>
      </c>
      <c r="B5780" s="3">
        <v>4</v>
      </c>
      <c r="C5780" s="3">
        <v>185</v>
      </c>
      <c r="D5780" s="3">
        <v>1</v>
      </c>
      <c r="E5780" s="3" t="s">
        <v>12</v>
      </c>
      <c r="F5780" s="4">
        <v>65.5</v>
      </c>
      <c r="G5780" s="4"/>
      <c r="H5780" s="4">
        <f t="shared" si="588"/>
        <v>65.5</v>
      </c>
    </row>
    <row r="5781" ht="14.25" spans="1:8">
      <c r="A5781" s="3" t="str">
        <f>"30501418502"</f>
        <v>30501418502</v>
      </c>
      <c r="B5781" s="3">
        <v>4</v>
      </c>
      <c r="C5781" s="3">
        <v>185</v>
      </c>
      <c r="D5781" s="3">
        <v>2</v>
      </c>
      <c r="E5781" s="3" t="s">
        <v>12</v>
      </c>
      <c r="F5781" s="3">
        <v>0</v>
      </c>
      <c r="G5781" s="4"/>
      <c r="H5781" s="3">
        <v>0</v>
      </c>
    </row>
    <row r="5782" ht="14.25" spans="1:8">
      <c r="A5782" s="3" t="str">
        <f>"30501418503"</f>
        <v>30501418503</v>
      </c>
      <c r="B5782" s="3">
        <v>4</v>
      </c>
      <c r="C5782" s="3">
        <v>185</v>
      </c>
      <c r="D5782" s="3">
        <v>3</v>
      </c>
      <c r="E5782" s="3" t="s">
        <v>12</v>
      </c>
      <c r="F5782" s="4">
        <v>46</v>
      </c>
      <c r="G5782" s="4"/>
      <c r="H5782" s="4">
        <f t="shared" ref="H5782:H5804" si="589">F5782+G5782</f>
        <v>46</v>
      </c>
    </row>
    <row r="5783" ht="14.25" spans="1:8">
      <c r="A5783" s="3" t="str">
        <f>"30501418504"</f>
        <v>30501418504</v>
      </c>
      <c r="B5783" s="3">
        <v>4</v>
      </c>
      <c r="C5783" s="3">
        <v>185</v>
      </c>
      <c r="D5783" s="3">
        <v>4</v>
      </c>
      <c r="E5783" s="3" t="s">
        <v>12</v>
      </c>
      <c r="F5783" s="4">
        <v>80.5</v>
      </c>
      <c r="G5783" s="4"/>
      <c r="H5783" s="4">
        <f t="shared" si="589"/>
        <v>80.5</v>
      </c>
    </row>
    <row r="5784" ht="14.25" spans="1:8">
      <c r="A5784" s="3" t="str">
        <f>"30501418505"</f>
        <v>30501418505</v>
      </c>
      <c r="B5784" s="3">
        <v>4</v>
      </c>
      <c r="C5784" s="3">
        <v>185</v>
      </c>
      <c r="D5784" s="3">
        <v>5</v>
      </c>
      <c r="E5784" s="3" t="s">
        <v>12</v>
      </c>
      <c r="F5784" s="4">
        <v>68.5</v>
      </c>
      <c r="G5784" s="4"/>
      <c r="H5784" s="4">
        <f t="shared" si="589"/>
        <v>68.5</v>
      </c>
    </row>
    <row r="5785" ht="14.25" spans="1:8">
      <c r="A5785" s="3" t="str">
        <f>"30501418506"</f>
        <v>30501418506</v>
      </c>
      <c r="B5785" s="3">
        <v>4</v>
      </c>
      <c r="C5785" s="3">
        <v>185</v>
      </c>
      <c r="D5785" s="3">
        <v>6</v>
      </c>
      <c r="E5785" s="3" t="s">
        <v>12</v>
      </c>
      <c r="F5785" s="4">
        <v>75.5</v>
      </c>
      <c r="G5785" s="4"/>
      <c r="H5785" s="4">
        <f t="shared" si="589"/>
        <v>75.5</v>
      </c>
    </row>
    <row r="5786" ht="14.25" spans="1:8">
      <c r="A5786" s="3" t="str">
        <f>"30501418507"</f>
        <v>30501418507</v>
      </c>
      <c r="B5786" s="3">
        <v>4</v>
      </c>
      <c r="C5786" s="3">
        <v>185</v>
      </c>
      <c r="D5786" s="3">
        <v>7</v>
      </c>
      <c r="E5786" s="3" t="s">
        <v>12</v>
      </c>
      <c r="F5786" s="4">
        <v>69</v>
      </c>
      <c r="G5786" s="4"/>
      <c r="H5786" s="4">
        <f t="shared" si="589"/>
        <v>69</v>
      </c>
    </row>
    <row r="5787" ht="14.25" spans="1:8">
      <c r="A5787" s="3" t="str">
        <f>"30501418508"</f>
        <v>30501418508</v>
      </c>
      <c r="B5787" s="3">
        <v>4</v>
      </c>
      <c r="C5787" s="3">
        <v>185</v>
      </c>
      <c r="D5787" s="3">
        <v>8</v>
      </c>
      <c r="E5787" s="3" t="s">
        <v>12</v>
      </c>
      <c r="F5787" s="4">
        <v>76.5</v>
      </c>
      <c r="G5787" s="4"/>
      <c r="H5787" s="4">
        <f t="shared" si="589"/>
        <v>76.5</v>
      </c>
    </row>
    <row r="5788" ht="14.25" spans="1:8">
      <c r="A5788" s="3" t="str">
        <f>"30501418509"</f>
        <v>30501418509</v>
      </c>
      <c r="B5788" s="3">
        <v>4</v>
      </c>
      <c r="C5788" s="3">
        <v>185</v>
      </c>
      <c r="D5788" s="3">
        <v>9</v>
      </c>
      <c r="E5788" s="3" t="s">
        <v>12</v>
      </c>
      <c r="F5788" s="4">
        <v>62.5</v>
      </c>
      <c r="G5788" s="4"/>
      <c r="H5788" s="4">
        <f t="shared" si="589"/>
        <v>62.5</v>
      </c>
    </row>
    <row r="5789" ht="14.25" spans="1:8">
      <c r="A5789" s="3" t="str">
        <f>"30501418510"</f>
        <v>30501418510</v>
      </c>
      <c r="B5789" s="3">
        <v>4</v>
      </c>
      <c r="C5789" s="3">
        <v>185</v>
      </c>
      <c r="D5789" s="3">
        <v>10</v>
      </c>
      <c r="E5789" s="3" t="s">
        <v>12</v>
      </c>
      <c r="F5789" s="4">
        <v>63</v>
      </c>
      <c r="G5789" s="4"/>
      <c r="H5789" s="4">
        <f t="shared" si="589"/>
        <v>63</v>
      </c>
    </row>
    <row r="5790" ht="14.25" spans="1:8">
      <c r="A5790" s="3" t="str">
        <f>"30501418511"</f>
        <v>30501418511</v>
      </c>
      <c r="B5790" s="3">
        <v>4</v>
      </c>
      <c r="C5790" s="3">
        <v>185</v>
      </c>
      <c r="D5790" s="3">
        <v>11</v>
      </c>
      <c r="E5790" s="3" t="s">
        <v>12</v>
      </c>
      <c r="F5790" s="4">
        <v>70</v>
      </c>
      <c r="G5790" s="4"/>
      <c r="H5790" s="4">
        <f t="shared" si="589"/>
        <v>70</v>
      </c>
    </row>
    <row r="5791" ht="14.25" spans="1:8">
      <c r="A5791" s="3" t="str">
        <f>"30501418512"</f>
        <v>30501418512</v>
      </c>
      <c r="B5791" s="3">
        <v>4</v>
      </c>
      <c r="C5791" s="3">
        <v>185</v>
      </c>
      <c r="D5791" s="3">
        <v>12</v>
      </c>
      <c r="E5791" s="3" t="s">
        <v>12</v>
      </c>
      <c r="F5791" s="4">
        <v>82</v>
      </c>
      <c r="G5791" s="4"/>
      <c r="H5791" s="4">
        <f t="shared" si="589"/>
        <v>82</v>
      </c>
    </row>
    <row r="5792" ht="14.25" spans="1:8">
      <c r="A5792" s="3" t="str">
        <f>"30501418513"</f>
        <v>30501418513</v>
      </c>
      <c r="B5792" s="3">
        <v>4</v>
      </c>
      <c r="C5792" s="3">
        <v>185</v>
      </c>
      <c r="D5792" s="3">
        <v>13</v>
      </c>
      <c r="E5792" s="3" t="s">
        <v>12</v>
      </c>
      <c r="F5792" s="4">
        <v>80.5</v>
      </c>
      <c r="G5792" s="4"/>
      <c r="H5792" s="4">
        <f t="shared" si="589"/>
        <v>80.5</v>
      </c>
    </row>
    <row r="5793" ht="14.25" spans="1:8">
      <c r="A5793" s="3" t="str">
        <f>"30502418514"</f>
        <v>30502418514</v>
      </c>
      <c r="B5793" s="3">
        <v>4</v>
      </c>
      <c r="C5793" s="3">
        <v>185</v>
      </c>
      <c r="D5793" s="3">
        <v>14</v>
      </c>
      <c r="E5793" s="3" t="s">
        <v>12</v>
      </c>
      <c r="F5793" s="4">
        <v>66.5</v>
      </c>
      <c r="G5793" s="4"/>
      <c r="H5793" s="4">
        <f t="shared" si="589"/>
        <v>66.5</v>
      </c>
    </row>
    <row r="5794" ht="14.25" spans="1:8">
      <c r="A5794" s="3" t="str">
        <f>"30502418515"</f>
        <v>30502418515</v>
      </c>
      <c r="B5794" s="3">
        <v>4</v>
      </c>
      <c r="C5794" s="3">
        <v>185</v>
      </c>
      <c r="D5794" s="3">
        <v>15</v>
      </c>
      <c r="E5794" s="3" t="s">
        <v>12</v>
      </c>
      <c r="F5794" s="4">
        <v>75</v>
      </c>
      <c r="G5794" s="4"/>
      <c r="H5794" s="4">
        <f t="shared" si="589"/>
        <v>75</v>
      </c>
    </row>
    <row r="5795" ht="14.25" spans="1:8">
      <c r="A5795" s="3" t="str">
        <f>"30502418516"</f>
        <v>30502418516</v>
      </c>
      <c r="B5795" s="3">
        <v>4</v>
      </c>
      <c r="C5795" s="3">
        <v>185</v>
      </c>
      <c r="D5795" s="3">
        <v>16</v>
      </c>
      <c r="E5795" s="3" t="s">
        <v>12</v>
      </c>
      <c r="F5795" s="4">
        <v>77.5</v>
      </c>
      <c r="G5795" s="4"/>
      <c r="H5795" s="4">
        <f t="shared" si="589"/>
        <v>77.5</v>
      </c>
    </row>
    <row r="5796" ht="14.25" spans="1:8">
      <c r="A5796" s="3" t="str">
        <f>"30502418517"</f>
        <v>30502418517</v>
      </c>
      <c r="B5796" s="3">
        <v>4</v>
      </c>
      <c r="C5796" s="3">
        <v>185</v>
      </c>
      <c r="D5796" s="3">
        <v>17</v>
      </c>
      <c r="E5796" s="3" t="s">
        <v>12</v>
      </c>
      <c r="F5796" s="4">
        <v>51</v>
      </c>
      <c r="G5796" s="4"/>
      <c r="H5796" s="4">
        <f t="shared" si="589"/>
        <v>51</v>
      </c>
    </row>
    <row r="5797" ht="14.25" spans="1:8">
      <c r="A5797" s="3" t="str">
        <f>"30502418518"</f>
        <v>30502418518</v>
      </c>
      <c r="B5797" s="3">
        <v>4</v>
      </c>
      <c r="C5797" s="3">
        <v>185</v>
      </c>
      <c r="D5797" s="3">
        <v>18</v>
      </c>
      <c r="E5797" s="3" t="s">
        <v>12</v>
      </c>
      <c r="F5797" s="4">
        <v>62.5</v>
      </c>
      <c r="G5797" s="4"/>
      <c r="H5797" s="4">
        <f t="shared" si="589"/>
        <v>62.5</v>
      </c>
    </row>
    <row r="5798" ht="14.25" spans="1:8">
      <c r="A5798" s="3" t="str">
        <f>"30502418519"</f>
        <v>30502418519</v>
      </c>
      <c r="B5798" s="3">
        <v>4</v>
      </c>
      <c r="C5798" s="3">
        <v>185</v>
      </c>
      <c r="D5798" s="3">
        <v>19</v>
      </c>
      <c r="E5798" s="3" t="s">
        <v>12</v>
      </c>
      <c r="F5798" s="4">
        <v>80</v>
      </c>
      <c r="G5798" s="4"/>
      <c r="H5798" s="4">
        <f t="shared" si="589"/>
        <v>80</v>
      </c>
    </row>
    <row r="5799" ht="14.25" spans="1:8">
      <c r="A5799" s="3" t="str">
        <f>"30502418520"</f>
        <v>30502418520</v>
      </c>
      <c r="B5799" s="3">
        <v>4</v>
      </c>
      <c r="C5799" s="3">
        <v>185</v>
      </c>
      <c r="D5799" s="3">
        <v>20</v>
      </c>
      <c r="E5799" s="3" t="s">
        <v>12</v>
      </c>
      <c r="F5799" s="4">
        <v>55</v>
      </c>
      <c r="G5799" s="4"/>
      <c r="H5799" s="4">
        <f t="shared" si="589"/>
        <v>55</v>
      </c>
    </row>
    <row r="5800" ht="14.25" spans="1:8">
      <c r="A5800" s="3" t="str">
        <f>"30502418521"</f>
        <v>30502418521</v>
      </c>
      <c r="B5800" s="3">
        <v>4</v>
      </c>
      <c r="C5800" s="3">
        <v>185</v>
      </c>
      <c r="D5800" s="3">
        <v>21</v>
      </c>
      <c r="E5800" s="3" t="s">
        <v>12</v>
      </c>
      <c r="F5800" s="4">
        <v>66</v>
      </c>
      <c r="G5800" s="4"/>
      <c r="H5800" s="4">
        <f t="shared" si="589"/>
        <v>66</v>
      </c>
    </row>
    <row r="5801" ht="14.25" spans="1:8">
      <c r="A5801" s="3" t="str">
        <f>"30502418522"</f>
        <v>30502418522</v>
      </c>
      <c r="B5801" s="3">
        <v>4</v>
      </c>
      <c r="C5801" s="3">
        <v>185</v>
      </c>
      <c r="D5801" s="3">
        <v>22</v>
      </c>
      <c r="E5801" s="3" t="s">
        <v>12</v>
      </c>
      <c r="F5801" s="4">
        <v>81.5</v>
      </c>
      <c r="G5801" s="4"/>
      <c r="H5801" s="4">
        <f t="shared" si="589"/>
        <v>81.5</v>
      </c>
    </row>
    <row r="5802" ht="14.25" spans="1:8">
      <c r="A5802" s="3" t="str">
        <f>"30502418523"</f>
        <v>30502418523</v>
      </c>
      <c r="B5802" s="3">
        <v>4</v>
      </c>
      <c r="C5802" s="3">
        <v>185</v>
      </c>
      <c r="D5802" s="3">
        <v>23</v>
      </c>
      <c r="E5802" s="3" t="s">
        <v>12</v>
      </c>
      <c r="F5802" s="4">
        <v>78</v>
      </c>
      <c r="G5802" s="4"/>
      <c r="H5802" s="4">
        <f t="shared" si="589"/>
        <v>78</v>
      </c>
    </row>
    <row r="5803" ht="14.25" spans="1:8">
      <c r="A5803" s="3" t="str">
        <f>"30502418524"</f>
        <v>30502418524</v>
      </c>
      <c r="B5803" s="3">
        <v>4</v>
      </c>
      <c r="C5803" s="3">
        <v>185</v>
      </c>
      <c r="D5803" s="3">
        <v>24</v>
      </c>
      <c r="E5803" s="3" t="s">
        <v>12</v>
      </c>
      <c r="F5803" s="4">
        <v>80</v>
      </c>
      <c r="G5803" s="4"/>
      <c r="H5803" s="4">
        <f t="shared" si="589"/>
        <v>80</v>
      </c>
    </row>
    <row r="5804" ht="14.25" spans="1:8">
      <c r="A5804" s="3" t="str">
        <f>"30502418525"</f>
        <v>30502418525</v>
      </c>
      <c r="B5804" s="3">
        <v>4</v>
      </c>
      <c r="C5804" s="3">
        <v>185</v>
      </c>
      <c r="D5804" s="3">
        <v>25</v>
      </c>
      <c r="E5804" s="3" t="s">
        <v>12</v>
      </c>
      <c r="F5804" s="4">
        <v>70.5</v>
      </c>
      <c r="G5804" s="4"/>
      <c r="H5804" s="4">
        <f t="shared" si="589"/>
        <v>70.5</v>
      </c>
    </row>
    <row r="5805" ht="14.25" spans="1:8">
      <c r="A5805" s="3" t="str">
        <f>"30502418526"</f>
        <v>30502418526</v>
      </c>
      <c r="B5805" s="3">
        <v>4</v>
      </c>
      <c r="C5805" s="3">
        <v>185</v>
      </c>
      <c r="D5805" s="3">
        <v>26</v>
      </c>
      <c r="E5805" s="3" t="s">
        <v>12</v>
      </c>
      <c r="F5805" s="3">
        <v>0</v>
      </c>
      <c r="G5805" s="4"/>
      <c r="H5805" s="3">
        <v>0</v>
      </c>
    </row>
    <row r="5806" ht="14.25" spans="1:8">
      <c r="A5806" s="3" t="str">
        <f>"30502418527"</f>
        <v>30502418527</v>
      </c>
      <c r="B5806" s="3">
        <v>4</v>
      </c>
      <c r="C5806" s="3">
        <v>185</v>
      </c>
      <c r="D5806" s="3">
        <v>27</v>
      </c>
      <c r="E5806" s="3" t="s">
        <v>12</v>
      </c>
      <c r="F5806" s="3">
        <v>0</v>
      </c>
      <c r="G5806" s="4"/>
      <c r="H5806" s="3">
        <v>0</v>
      </c>
    </row>
    <row r="5807" ht="14.25" spans="1:8">
      <c r="A5807" s="3" t="str">
        <f>"30502418528"</f>
        <v>30502418528</v>
      </c>
      <c r="B5807" s="3">
        <v>4</v>
      </c>
      <c r="C5807" s="3">
        <v>185</v>
      </c>
      <c r="D5807" s="3">
        <v>28</v>
      </c>
      <c r="E5807" s="3" t="s">
        <v>12</v>
      </c>
      <c r="F5807" s="4">
        <v>58</v>
      </c>
      <c r="G5807" s="4"/>
      <c r="H5807" s="4">
        <f t="shared" ref="H5807:H5809" si="590">F5807+G5807</f>
        <v>58</v>
      </c>
    </row>
    <row r="5808" ht="14.25" spans="1:8">
      <c r="A5808" s="3" t="str">
        <f>"30502418529"</f>
        <v>30502418529</v>
      </c>
      <c r="B5808" s="3">
        <v>4</v>
      </c>
      <c r="C5808" s="3">
        <v>185</v>
      </c>
      <c r="D5808" s="3">
        <v>29</v>
      </c>
      <c r="E5808" s="3" t="s">
        <v>12</v>
      </c>
      <c r="F5808" s="4">
        <v>73.5</v>
      </c>
      <c r="G5808" s="4"/>
      <c r="H5808" s="4">
        <f t="shared" si="590"/>
        <v>73.5</v>
      </c>
    </row>
    <row r="5809" ht="14.25" spans="1:8">
      <c r="A5809" s="3" t="str">
        <f>"30502418530"</f>
        <v>30502418530</v>
      </c>
      <c r="B5809" s="3">
        <v>4</v>
      </c>
      <c r="C5809" s="3">
        <v>185</v>
      </c>
      <c r="D5809" s="3">
        <v>30</v>
      </c>
      <c r="E5809" s="3" t="s">
        <v>12</v>
      </c>
      <c r="F5809" s="4">
        <v>61.5</v>
      </c>
      <c r="G5809" s="4"/>
      <c r="H5809" s="4">
        <f t="shared" si="590"/>
        <v>61.5</v>
      </c>
    </row>
    <row r="5810" ht="14.25" spans="1:8">
      <c r="A5810" s="3" t="str">
        <f>"30502418601"</f>
        <v>30502418601</v>
      </c>
      <c r="B5810" s="3">
        <v>4</v>
      </c>
      <c r="C5810" s="3">
        <v>186</v>
      </c>
      <c r="D5810" s="3">
        <v>1</v>
      </c>
      <c r="E5810" s="3" t="s">
        <v>12</v>
      </c>
      <c r="F5810" s="3">
        <v>0</v>
      </c>
      <c r="G5810" s="4"/>
      <c r="H5810" s="3">
        <v>0</v>
      </c>
    </row>
    <row r="5811" ht="14.25" spans="1:8">
      <c r="A5811" s="3" t="str">
        <f>"30502418602"</f>
        <v>30502418602</v>
      </c>
      <c r="B5811" s="3">
        <v>4</v>
      </c>
      <c r="C5811" s="3">
        <v>186</v>
      </c>
      <c r="D5811" s="3">
        <v>2</v>
      </c>
      <c r="E5811" s="3" t="s">
        <v>12</v>
      </c>
      <c r="F5811" s="4">
        <v>83</v>
      </c>
      <c r="G5811" s="4"/>
      <c r="H5811" s="4">
        <f t="shared" ref="H5811:H5819" si="591">F5811+G5811</f>
        <v>83</v>
      </c>
    </row>
    <row r="5812" ht="14.25" spans="1:8">
      <c r="A5812" s="3" t="str">
        <f>"30502418603"</f>
        <v>30502418603</v>
      </c>
      <c r="B5812" s="3">
        <v>4</v>
      </c>
      <c r="C5812" s="3">
        <v>186</v>
      </c>
      <c r="D5812" s="3">
        <v>3</v>
      </c>
      <c r="E5812" s="3" t="s">
        <v>12</v>
      </c>
      <c r="F5812" s="4">
        <v>80</v>
      </c>
      <c r="G5812" s="4"/>
      <c r="H5812" s="4">
        <f t="shared" si="591"/>
        <v>80</v>
      </c>
    </row>
    <row r="5813" ht="14.25" spans="1:8">
      <c r="A5813" s="3" t="str">
        <f>"30502418604"</f>
        <v>30502418604</v>
      </c>
      <c r="B5813" s="3">
        <v>4</v>
      </c>
      <c r="C5813" s="3">
        <v>186</v>
      </c>
      <c r="D5813" s="3">
        <v>4</v>
      </c>
      <c r="E5813" s="3" t="s">
        <v>12</v>
      </c>
      <c r="F5813" s="3">
        <v>0</v>
      </c>
      <c r="G5813" s="4"/>
      <c r="H5813" s="3">
        <v>0</v>
      </c>
    </row>
    <row r="5814" ht="14.25" spans="1:8">
      <c r="A5814" s="3" t="str">
        <f>"30502418605"</f>
        <v>30502418605</v>
      </c>
      <c r="B5814" s="3">
        <v>4</v>
      </c>
      <c r="C5814" s="3">
        <v>186</v>
      </c>
      <c r="D5814" s="3">
        <v>5</v>
      </c>
      <c r="E5814" s="3" t="s">
        <v>12</v>
      </c>
      <c r="F5814" s="4">
        <v>56.5</v>
      </c>
      <c r="G5814" s="4"/>
      <c r="H5814" s="4">
        <f t="shared" si="591"/>
        <v>56.5</v>
      </c>
    </row>
    <row r="5815" ht="14.25" spans="1:8">
      <c r="A5815" s="3" t="str">
        <f>"30502418606"</f>
        <v>30502418606</v>
      </c>
      <c r="B5815" s="3">
        <v>4</v>
      </c>
      <c r="C5815" s="3">
        <v>186</v>
      </c>
      <c r="D5815" s="3">
        <v>6</v>
      </c>
      <c r="E5815" s="3" t="s">
        <v>12</v>
      </c>
      <c r="F5815" s="4">
        <v>69.5</v>
      </c>
      <c r="G5815" s="4"/>
      <c r="H5815" s="4">
        <f t="shared" si="591"/>
        <v>69.5</v>
      </c>
    </row>
    <row r="5816" ht="14.25" spans="1:8">
      <c r="A5816" s="3" t="str">
        <f>"30502418607"</f>
        <v>30502418607</v>
      </c>
      <c r="B5816" s="3">
        <v>4</v>
      </c>
      <c r="C5816" s="3">
        <v>186</v>
      </c>
      <c r="D5816" s="3">
        <v>7</v>
      </c>
      <c r="E5816" s="3" t="s">
        <v>12</v>
      </c>
      <c r="F5816" s="4">
        <v>85.5</v>
      </c>
      <c r="G5816" s="4"/>
      <c r="H5816" s="4">
        <f t="shared" si="591"/>
        <v>85.5</v>
      </c>
    </row>
    <row r="5817" ht="14.25" spans="1:8">
      <c r="A5817" s="3" t="str">
        <f>"30502418608"</f>
        <v>30502418608</v>
      </c>
      <c r="B5817" s="3">
        <v>4</v>
      </c>
      <c r="C5817" s="3">
        <v>186</v>
      </c>
      <c r="D5817" s="3">
        <v>8</v>
      </c>
      <c r="E5817" s="3" t="s">
        <v>12</v>
      </c>
      <c r="F5817" s="4">
        <v>76.5</v>
      </c>
      <c r="G5817" s="4"/>
      <c r="H5817" s="4">
        <f t="shared" si="591"/>
        <v>76.5</v>
      </c>
    </row>
    <row r="5818" ht="14.25" spans="1:8">
      <c r="A5818" s="3" t="str">
        <f>"30502418609"</f>
        <v>30502418609</v>
      </c>
      <c r="B5818" s="3">
        <v>4</v>
      </c>
      <c r="C5818" s="3">
        <v>186</v>
      </c>
      <c r="D5818" s="3">
        <v>9</v>
      </c>
      <c r="E5818" s="3" t="s">
        <v>12</v>
      </c>
      <c r="F5818" s="4">
        <v>86</v>
      </c>
      <c r="G5818" s="4"/>
      <c r="H5818" s="4">
        <f t="shared" si="591"/>
        <v>86</v>
      </c>
    </row>
    <row r="5819" ht="14.25" spans="1:8">
      <c r="A5819" s="3" t="str">
        <f>"30502418610"</f>
        <v>30502418610</v>
      </c>
      <c r="B5819" s="3">
        <v>4</v>
      </c>
      <c r="C5819" s="3">
        <v>186</v>
      </c>
      <c r="D5819" s="3">
        <v>10</v>
      </c>
      <c r="E5819" s="3" t="s">
        <v>12</v>
      </c>
      <c r="F5819" s="4">
        <v>77.5</v>
      </c>
      <c r="G5819" s="4"/>
      <c r="H5819" s="4">
        <f t="shared" si="591"/>
        <v>77.5</v>
      </c>
    </row>
    <row r="5820" ht="14.25" spans="1:8">
      <c r="A5820" s="3" t="str">
        <f>"30502418611"</f>
        <v>30502418611</v>
      </c>
      <c r="B5820" s="3">
        <v>4</v>
      </c>
      <c r="C5820" s="3">
        <v>186</v>
      </c>
      <c r="D5820" s="3">
        <v>11</v>
      </c>
      <c r="E5820" s="3" t="s">
        <v>12</v>
      </c>
      <c r="F5820" s="3">
        <v>0</v>
      </c>
      <c r="G5820" s="4"/>
      <c r="H5820" s="3">
        <v>0</v>
      </c>
    </row>
    <row r="5821" ht="14.25" spans="1:8">
      <c r="A5821" s="3" t="str">
        <f>"30502418612"</f>
        <v>30502418612</v>
      </c>
      <c r="B5821" s="3">
        <v>4</v>
      </c>
      <c r="C5821" s="3">
        <v>186</v>
      </c>
      <c r="D5821" s="3">
        <v>12</v>
      </c>
      <c r="E5821" s="3" t="s">
        <v>12</v>
      </c>
      <c r="F5821" s="4">
        <v>56</v>
      </c>
      <c r="G5821" s="4"/>
      <c r="H5821" s="4">
        <f t="shared" ref="H5821:H5832" si="592">F5821+G5821</f>
        <v>56</v>
      </c>
    </row>
    <row r="5822" ht="14.25" spans="1:8">
      <c r="A5822" s="3" t="str">
        <f>"30502418613"</f>
        <v>30502418613</v>
      </c>
      <c r="B5822" s="3">
        <v>4</v>
      </c>
      <c r="C5822" s="3">
        <v>186</v>
      </c>
      <c r="D5822" s="3">
        <v>13</v>
      </c>
      <c r="E5822" s="3" t="s">
        <v>12</v>
      </c>
      <c r="F5822" s="4">
        <v>53</v>
      </c>
      <c r="G5822" s="4"/>
      <c r="H5822" s="4">
        <f t="shared" si="592"/>
        <v>53</v>
      </c>
    </row>
    <row r="5823" ht="14.25" spans="1:8">
      <c r="A5823" s="3" t="str">
        <f>"30502418614"</f>
        <v>30502418614</v>
      </c>
      <c r="B5823" s="3">
        <v>4</v>
      </c>
      <c r="C5823" s="3">
        <v>186</v>
      </c>
      <c r="D5823" s="3">
        <v>14</v>
      </c>
      <c r="E5823" s="3" t="s">
        <v>12</v>
      </c>
      <c r="F5823" s="3">
        <v>0</v>
      </c>
      <c r="G5823" s="4"/>
      <c r="H5823" s="3">
        <v>0</v>
      </c>
    </row>
    <row r="5824" ht="14.25" spans="1:8">
      <c r="A5824" s="3" t="str">
        <f>"30502418615"</f>
        <v>30502418615</v>
      </c>
      <c r="B5824" s="3">
        <v>4</v>
      </c>
      <c r="C5824" s="3">
        <v>186</v>
      </c>
      <c r="D5824" s="3">
        <v>15</v>
      </c>
      <c r="E5824" s="3" t="s">
        <v>12</v>
      </c>
      <c r="F5824" s="4">
        <v>57</v>
      </c>
      <c r="G5824" s="4"/>
      <c r="H5824" s="4">
        <f t="shared" si="592"/>
        <v>57</v>
      </c>
    </row>
    <row r="5825" ht="14.25" spans="1:8">
      <c r="A5825" s="3" t="str">
        <f>"30502418616"</f>
        <v>30502418616</v>
      </c>
      <c r="B5825" s="3">
        <v>4</v>
      </c>
      <c r="C5825" s="3">
        <v>186</v>
      </c>
      <c r="D5825" s="3">
        <v>16</v>
      </c>
      <c r="E5825" s="3" t="s">
        <v>12</v>
      </c>
      <c r="F5825" s="4">
        <v>57</v>
      </c>
      <c r="G5825" s="4"/>
      <c r="H5825" s="4">
        <f t="shared" si="592"/>
        <v>57</v>
      </c>
    </row>
    <row r="5826" ht="14.25" spans="1:8">
      <c r="A5826" s="3" t="str">
        <f>"30502418617"</f>
        <v>30502418617</v>
      </c>
      <c r="B5826" s="3">
        <v>4</v>
      </c>
      <c r="C5826" s="3">
        <v>186</v>
      </c>
      <c r="D5826" s="3">
        <v>17</v>
      </c>
      <c r="E5826" s="3" t="s">
        <v>12</v>
      </c>
      <c r="F5826" s="4">
        <v>80.5</v>
      </c>
      <c r="G5826" s="4"/>
      <c r="H5826" s="4">
        <f t="shared" si="592"/>
        <v>80.5</v>
      </c>
    </row>
    <row r="5827" ht="14.25" spans="1:8">
      <c r="A5827" s="3" t="str">
        <f>"30502418618"</f>
        <v>30502418618</v>
      </c>
      <c r="B5827" s="3">
        <v>4</v>
      </c>
      <c r="C5827" s="3">
        <v>186</v>
      </c>
      <c r="D5827" s="3">
        <v>18</v>
      </c>
      <c r="E5827" s="3" t="s">
        <v>12</v>
      </c>
      <c r="F5827" s="4">
        <v>77</v>
      </c>
      <c r="G5827" s="4"/>
      <c r="H5827" s="4">
        <f t="shared" si="592"/>
        <v>77</v>
      </c>
    </row>
    <row r="5828" ht="14.25" spans="1:8">
      <c r="A5828" s="3" t="str">
        <f>"30502418619"</f>
        <v>30502418619</v>
      </c>
      <c r="B5828" s="3">
        <v>4</v>
      </c>
      <c r="C5828" s="3">
        <v>186</v>
      </c>
      <c r="D5828" s="3">
        <v>19</v>
      </c>
      <c r="E5828" s="3" t="s">
        <v>12</v>
      </c>
      <c r="F5828" s="4">
        <v>78</v>
      </c>
      <c r="G5828" s="4"/>
      <c r="H5828" s="4">
        <f t="shared" si="592"/>
        <v>78</v>
      </c>
    </row>
    <row r="5829" ht="14.25" spans="1:8">
      <c r="A5829" s="3" t="str">
        <f>"30502418620"</f>
        <v>30502418620</v>
      </c>
      <c r="B5829" s="3">
        <v>4</v>
      </c>
      <c r="C5829" s="3">
        <v>186</v>
      </c>
      <c r="D5829" s="3">
        <v>20</v>
      </c>
      <c r="E5829" s="3" t="s">
        <v>12</v>
      </c>
      <c r="F5829" s="4">
        <v>76.5</v>
      </c>
      <c r="G5829" s="4"/>
      <c r="H5829" s="4">
        <f t="shared" si="592"/>
        <v>76.5</v>
      </c>
    </row>
    <row r="5830" ht="14.25" spans="1:8">
      <c r="A5830" s="3" t="str">
        <f>"30502418621"</f>
        <v>30502418621</v>
      </c>
      <c r="B5830" s="3">
        <v>4</v>
      </c>
      <c r="C5830" s="3">
        <v>186</v>
      </c>
      <c r="D5830" s="3">
        <v>21</v>
      </c>
      <c r="E5830" s="3" t="s">
        <v>12</v>
      </c>
      <c r="F5830" s="4">
        <v>58</v>
      </c>
      <c r="G5830" s="4"/>
      <c r="H5830" s="4">
        <f t="shared" si="592"/>
        <v>58</v>
      </c>
    </row>
    <row r="5831" ht="14.25" spans="1:8">
      <c r="A5831" s="3" t="str">
        <f>"30502418622"</f>
        <v>30502418622</v>
      </c>
      <c r="B5831" s="3">
        <v>4</v>
      </c>
      <c r="C5831" s="3">
        <v>186</v>
      </c>
      <c r="D5831" s="3">
        <v>22</v>
      </c>
      <c r="E5831" s="3" t="s">
        <v>12</v>
      </c>
      <c r="F5831" s="4">
        <v>67</v>
      </c>
      <c r="G5831" s="4"/>
      <c r="H5831" s="4">
        <f t="shared" si="592"/>
        <v>67</v>
      </c>
    </row>
    <row r="5832" ht="14.25" spans="1:8">
      <c r="A5832" s="3" t="str">
        <f>"30502418623"</f>
        <v>30502418623</v>
      </c>
      <c r="B5832" s="3">
        <v>4</v>
      </c>
      <c r="C5832" s="3">
        <v>186</v>
      </c>
      <c r="D5832" s="3">
        <v>23</v>
      </c>
      <c r="E5832" s="3" t="s">
        <v>12</v>
      </c>
      <c r="F5832" s="4">
        <v>55</v>
      </c>
      <c r="G5832" s="4"/>
      <c r="H5832" s="4">
        <f t="shared" si="592"/>
        <v>55</v>
      </c>
    </row>
    <row r="5833" ht="14.25" spans="1:8">
      <c r="A5833" s="3" t="str">
        <f>"30502418624"</f>
        <v>30502418624</v>
      </c>
      <c r="B5833" s="3">
        <v>4</v>
      </c>
      <c r="C5833" s="3">
        <v>186</v>
      </c>
      <c r="D5833" s="3">
        <v>24</v>
      </c>
      <c r="E5833" s="3" t="s">
        <v>12</v>
      </c>
      <c r="F5833" s="3">
        <v>0</v>
      </c>
      <c r="G5833" s="4"/>
      <c r="H5833" s="3">
        <v>0</v>
      </c>
    </row>
    <row r="5834" ht="14.25" spans="1:8">
      <c r="A5834" s="3" t="str">
        <f>"30502418625"</f>
        <v>30502418625</v>
      </c>
      <c r="B5834" s="3">
        <v>4</v>
      </c>
      <c r="C5834" s="3">
        <v>186</v>
      </c>
      <c r="D5834" s="3">
        <v>25</v>
      </c>
      <c r="E5834" s="3" t="s">
        <v>12</v>
      </c>
      <c r="F5834" s="4">
        <v>57</v>
      </c>
      <c r="G5834" s="4"/>
      <c r="H5834" s="4">
        <f t="shared" ref="H5834:H5838" si="593">F5834+G5834</f>
        <v>57</v>
      </c>
    </row>
    <row r="5835" ht="14.25" spans="1:8">
      <c r="A5835" s="3" t="str">
        <f>"30502418626"</f>
        <v>30502418626</v>
      </c>
      <c r="B5835" s="3">
        <v>4</v>
      </c>
      <c r="C5835" s="3">
        <v>186</v>
      </c>
      <c r="D5835" s="3">
        <v>26</v>
      </c>
      <c r="E5835" s="3" t="s">
        <v>12</v>
      </c>
      <c r="F5835" s="4">
        <v>81.5</v>
      </c>
      <c r="G5835" s="4"/>
      <c r="H5835" s="4">
        <f t="shared" si="593"/>
        <v>81.5</v>
      </c>
    </row>
    <row r="5836" ht="14.25" spans="1:8">
      <c r="A5836" s="3" t="str">
        <f>"30502418627"</f>
        <v>30502418627</v>
      </c>
      <c r="B5836" s="3">
        <v>4</v>
      </c>
      <c r="C5836" s="3">
        <v>186</v>
      </c>
      <c r="D5836" s="3">
        <v>27</v>
      </c>
      <c r="E5836" s="3" t="s">
        <v>12</v>
      </c>
      <c r="F5836" s="3">
        <v>0</v>
      </c>
      <c r="G5836" s="4"/>
      <c r="H5836" s="3">
        <v>0</v>
      </c>
    </row>
    <row r="5837" ht="14.25" spans="1:8">
      <c r="A5837" s="3" t="str">
        <f>"30502418628"</f>
        <v>30502418628</v>
      </c>
      <c r="B5837" s="3">
        <v>4</v>
      </c>
      <c r="C5837" s="3">
        <v>186</v>
      </c>
      <c r="D5837" s="3">
        <v>28</v>
      </c>
      <c r="E5837" s="3" t="s">
        <v>12</v>
      </c>
      <c r="F5837" s="4">
        <v>82</v>
      </c>
      <c r="G5837" s="4"/>
      <c r="H5837" s="4">
        <f t="shared" si="593"/>
        <v>82</v>
      </c>
    </row>
    <row r="5838" ht="14.25" spans="1:8">
      <c r="A5838" s="3" t="str">
        <f>"30502418629"</f>
        <v>30502418629</v>
      </c>
      <c r="B5838" s="3">
        <v>4</v>
      </c>
      <c r="C5838" s="3">
        <v>186</v>
      </c>
      <c r="D5838" s="3">
        <v>29</v>
      </c>
      <c r="E5838" s="3" t="s">
        <v>12</v>
      </c>
      <c r="F5838" s="4">
        <v>69.5</v>
      </c>
      <c r="G5838" s="4"/>
      <c r="H5838" s="4">
        <f t="shared" si="593"/>
        <v>69.5</v>
      </c>
    </row>
    <row r="5839" ht="14.25" spans="1:8">
      <c r="A5839" s="3" t="str">
        <f>"30502418630"</f>
        <v>30502418630</v>
      </c>
      <c r="B5839" s="3">
        <v>4</v>
      </c>
      <c r="C5839" s="3">
        <v>186</v>
      </c>
      <c r="D5839" s="3">
        <v>30</v>
      </c>
      <c r="E5839" s="3" t="s">
        <v>12</v>
      </c>
      <c r="F5839" s="3">
        <v>0</v>
      </c>
      <c r="G5839" s="4"/>
      <c r="H5839" s="3">
        <v>0</v>
      </c>
    </row>
    <row r="5840" ht="14.25" spans="1:8">
      <c r="A5840" s="3" t="str">
        <f>"30502418701"</f>
        <v>30502418701</v>
      </c>
      <c r="B5840" s="3">
        <v>4</v>
      </c>
      <c r="C5840" s="3">
        <v>187</v>
      </c>
      <c r="D5840" s="3">
        <v>1</v>
      </c>
      <c r="E5840" s="3" t="s">
        <v>12</v>
      </c>
      <c r="F5840" s="4">
        <v>81</v>
      </c>
      <c r="G5840" s="4"/>
      <c r="H5840" s="4">
        <f t="shared" ref="H5840:H5842" si="594">F5840+G5840</f>
        <v>81</v>
      </c>
    </row>
    <row r="5841" ht="14.25" spans="1:8">
      <c r="A5841" s="3" t="str">
        <f>"30502418702"</f>
        <v>30502418702</v>
      </c>
      <c r="B5841" s="3">
        <v>4</v>
      </c>
      <c r="C5841" s="3">
        <v>187</v>
      </c>
      <c r="D5841" s="3">
        <v>2</v>
      </c>
      <c r="E5841" s="3" t="s">
        <v>12</v>
      </c>
      <c r="F5841" s="4">
        <v>74.5</v>
      </c>
      <c r="G5841" s="4"/>
      <c r="H5841" s="4">
        <f t="shared" si="594"/>
        <v>74.5</v>
      </c>
    </row>
    <row r="5842" ht="14.25" spans="1:8">
      <c r="A5842" s="3" t="str">
        <f>"30502418703"</f>
        <v>30502418703</v>
      </c>
      <c r="B5842" s="3">
        <v>4</v>
      </c>
      <c r="C5842" s="3">
        <v>187</v>
      </c>
      <c r="D5842" s="3">
        <v>3</v>
      </c>
      <c r="E5842" s="3" t="s">
        <v>12</v>
      </c>
      <c r="F5842" s="4">
        <v>53.5</v>
      </c>
      <c r="G5842" s="4"/>
      <c r="H5842" s="4">
        <f t="shared" si="594"/>
        <v>53.5</v>
      </c>
    </row>
    <row r="5843" ht="14.25" spans="1:8">
      <c r="A5843" s="3" t="str">
        <f>"30502418704"</f>
        <v>30502418704</v>
      </c>
      <c r="B5843" s="3">
        <v>4</v>
      </c>
      <c r="C5843" s="3">
        <v>187</v>
      </c>
      <c r="D5843" s="3">
        <v>4</v>
      </c>
      <c r="E5843" s="3" t="s">
        <v>12</v>
      </c>
      <c r="F5843" s="3">
        <v>0</v>
      </c>
      <c r="G5843" s="4"/>
      <c r="H5843" s="3">
        <v>0</v>
      </c>
    </row>
    <row r="5844" ht="14.25" spans="1:8">
      <c r="A5844" s="3" t="str">
        <f>"30502418705"</f>
        <v>30502418705</v>
      </c>
      <c r="B5844" s="3">
        <v>4</v>
      </c>
      <c r="C5844" s="3">
        <v>187</v>
      </c>
      <c r="D5844" s="3">
        <v>5</v>
      </c>
      <c r="E5844" s="3" t="s">
        <v>12</v>
      </c>
      <c r="F5844" s="4">
        <v>75.5</v>
      </c>
      <c r="G5844" s="4"/>
      <c r="H5844" s="4">
        <f t="shared" ref="H5844:H5864" si="595">F5844+G5844</f>
        <v>75.5</v>
      </c>
    </row>
    <row r="5845" ht="14.25" spans="1:8">
      <c r="A5845" s="3" t="str">
        <f>"30502418706"</f>
        <v>30502418706</v>
      </c>
      <c r="B5845" s="3">
        <v>4</v>
      </c>
      <c r="C5845" s="3">
        <v>187</v>
      </c>
      <c r="D5845" s="3">
        <v>6</v>
      </c>
      <c r="E5845" s="3" t="s">
        <v>12</v>
      </c>
      <c r="F5845" s="4">
        <v>83.5</v>
      </c>
      <c r="G5845" s="4"/>
      <c r="H5845" s="4">
        <f t="shared" si="595"/>
        <v>83.5</v>
      </c>
    </row>
    <row r="5846" ht="14.25" spans="1:8">
      <c r="A5846" s="3" t="str">
        <f>"30502418707"</f>
        <v>30502418707</v>
      </c>
      <c r="B5846" s="3">
        <v>4</v>
      </c>
      <c r="C5846" s="3">
        <v>187</v>
      </c>
      <c r="D5846" s="3">
        <v>7</v>
      </c>
      <c r="E5846" s="3" t="s">
        <v>12</v>
      </c>
      <c r="F5846" s="4">
        <v>60.5</v>
      </c>
      <c r="G5846" s="4"/>
      <c r="H5846" s="4">
        <f t="shared" si="595"/>
        <v>60.5</v>
      </c>
    </row>
    <row r="5847" ht="14.25" spans="1:8">
      <c r="A5847" s="3" t="str">
        <f>"30502418708"</f>
        <v>30502418708</v>
      </c>
      <c r="B5847" s="3">
        <v>4</v>
      </c>
      <c r="C5847" s="3">
        <v>187</v>
      </c>
      <c r="D5847" s="3">
        <v>8</v>
      </c>
      <c r="E5847" s="3" t="s">
        <v>12</v>
      </c>
      <c r="F5847" s="4">
        <v>79</v>
      </c>
      <c r="G5847" s="4"/>
      <c r="H5847" s="4">
        <f t="shared" si="595"/>
        <v>79</v>
      </c>
    </row>
    <row r="5848" ht="14.25" spans="1:8">
      <c r="A5848" s="3" t="str">
        <f>"30502418709"</f>
        <v>30502418709</v>
      </c>
      <c r="B5848" s="3">
        <v>4</v>
      </c>
      <c r="C5848" s="3">
        <v>187</v>
      </c>
      <c r="D5848" s="3">
        <v>9</v>
      </c>
      <c r="E5848" s="3" t="s">
        <v>12</v>
      </c>
      <c r="F5848" s="4">
        <v>66.5</v>
      </c>
      <c r="G5848" s="4"/>
      <c r="H5848" s="4">
        <f t="shared" si="595"/>
        <v>66.5</v>
      </c>
    </row>
    <row r="5849" ht="14.25" spans="1:8">
      <c r="A5849" s="3" t="str">
        <f>"30502418710"</f>
        <v>30502418710</v>
      </c>
      <c r="B5849" s="3">
        <v>4</v>
      </c>
      <c r="C5849" s="3">
        <v>187</v>
      </c>
      <c r="D5849" s="3">
        <v>10</v>
      </c>
      <c r="E5849" s="3" t="s">
        <v>12</v>
      </c>
      <c r="F5849" s="4">
        <v>82.5</v>
      </c>
      <c r="G5849" s="4"/>
      <c r="H5849" s="4">
        <f t="shared" si="595"/>
        <v>82.5</v>
      </c>
    </row>
    <row r="5850" ht="14.25" spans="1:8">
      <c r="A5850" s="3" t="str">
        <f>"30502418711"</f>
        <v>30502418711</v>
      </c>
      <c r="B5850" s="3">
        <v>4</v>
      </c>
      <c r="C5850" s="3">
        <v>187</v>
      </c>
      <c r="D5850" s="3">
        <v>11</v>
      </c>
      <c r="E5850" s="3" t="s">
        <v>12</v>
      </c>
      <c r="F5850" s="4">
        <v>86.5</v>
      </c>
      <c r="G5850" s="4"/>
      <c r="H5850" s="4">
        <f t="shared" si="595"/>
        <v>86.5</v>
      </c>
    </row>
    <row r="5851" ht="14.25" spans="1:8">
      <c r="A5851" s="3" t="str">
        <f>"30502418712"</f>
        <v>30502418712</v>
      </c>
      <c r="B5851" s="3">
        <v>4</v>
      </c>
      <c r="C5851" s="3">
        <v>187</v>
      </c>
      <c r="D5851" s="3">
        <v>12</v>
      </c>
      <c r="E5851" s="3" t="s">
        <v>12</v>
      </c>
      <c r="F5851" s="4">
        <v>89</v>
      </c>
      <c r="G5851" s="4"/>
      <c r="H5851" s="4">
        <f t="shared" si="595"/>
        <v>89</v>
      </c>
    </row>
    <row r="5852" ht="14.25" spans="1:8">
      <c r="A5852" s="3" t="str">
        <f>"30502418713"</f>
        <v>30502418713</v>
      </c>
      <c r="B5852" s="3">
        <v>4</v>
      </c>
      <c r="C5852" s="3">
        <v>187</v>
      </c>
      <c r="D5852" s="3">
        <v>13</v>
      </c>
      <c r="E5852" s="3" t="s">
        <v>12</v>
      </c>
      <c r="F5852" s="4">
        <v>75.5</v>
      </c>
      <c r="G5852" s="4"/>
      <c r="H5852" s="4">
        <f t="shared" si="595"/>
        <v>75.5</v>
      </c>
    </row>
    <row r="5853" ht="14.25" spans="1:8">
      <c r="A5853" s="3" t="str">
        <f>"30503418714"</f>
        <v>30503418714</v>
      </c>
      <c r="B5853" s="3">
        <v>4</v>
      </c>
      <c r="C5853" s="3">
        <v>187</v>
      </c>
      <c r="D5853" s="3">
        <v>14</v>
      </c>
      <c r="E5853" s="3" t="s">
        <v>12</v>
      </c>
      <c r="F5853" s="4">
        <v>81.5</v>
      </c>
      <c r="G5853" s="4"/>
      <c r="H5853" s="4">
        <f t="shared" si="595"/>
        <v>81.5</v>
      </c>
    </row>
    <row r="5854" ht="14.25" spans="1:8">
      <c r="A5854" s="3" t="str">
        <f>"30503418715"</f>
        <v>30503418715</v>
      </c>
      <c r="B5854" s="3">
        <v>4</v>
      </c>
      <c r="C5854" s="3">
        <v>187</v>
      </c>
      <c r="D5854" s="3">
        <v>15</v>
      </c>
      <c r="E5854" s="3" t="s">
        <v>12</v>
      </c>
      <c r="F5854" s="4">
        <v>54.5</v>
      </c>
      <c r="G5854" s="4"/>
      <c r="H5854" s="4">
        <f t="shared" si="595"/>
        <v>54.5</v>
      </c>
    </row>
    <row r="5855" ht="14.25" spans="1:8">
      <c r="A5855" s="3" t="str">
        <f>"30503418716"</f>
        <v>30503418716</v>
      </c>
      <c r="B5855" s="3">
        <v>4</v>
      </c>
      <c r="C5855" s="3">
        <v>187</v>
      </c>
      <c r="D5855" s="3">
        <v>16</v>
      </c>
      <c r="E5855" s="3" t="s">
        <v>12</v>
      </c>
      <c r="F5855" s="4">
        <v>93</v>
      </c>
      <c r="G5855" s="4"/>
      <c r="H5855" s="4">
        <f t="shared" si="595"/>
        <v>93</v>
      </c>
    </row>
    <row r="5856" ht="14.25" spans="1:8">
      <c r="A5856" s="3" t="str">
        <f>"30503418717"</f>
        <v>30503418717</v>
      </c>
      <c r="B5856" s="3">
        <v>4</v>
      </c>
      <c r="C5856" s="3">
        <v>187</v>
      </c>
      <c r="D5856" s="3">
        <v>17</v>
      </c>
      <c r="E5856" s="3" t="s">
        <v>12</v>
      </c>
      <c r="F5856" s="4">
        <v>70.5</v>
      </c>
      <c r="G5856" s="4"/>
      <c r="H5856" s="4">
        <f t="shared" si="595"/>
        <v>70.5</v>
      </c>
    </row>
    <row r="5857" ht="14.25" spans="1:8">
      <c r="A5857" s="3" t="str">
        <f>"30503418718"</f>
        <v>30503418718</v>
      </c>
      <c r="B5857" s="3">
        <v>4</v>
      </c>
      <c r="C5857" s="3">
        <v>187</v>
      </c>
      <c r="D5857" s="3">
        <v>18</v>
      </c>
      <c r="E5857" s="3" t="s">
        <v>12</v>
      </c>
      <c r="F5857" s="4">
        <v>60</v>
      </c>
      <c r="G5857" s="4"/>
      <c r="H5857" s="4">
        <f t="shared" si="595"/>
        <v>60</v>
      </c>
    </row>
    <row r="5858" ht="14.25" spans="1:8">
      <c r="A5858" s="3" t="str">
        <f>"30503418719"</f>
        <v>30503418719</v>
      </c>
      <c r="B5858" s="3">
        <v>4</v>
      </c>
      <c r="C5858" s="3">
        <v>187</v>
      </c>
      <c r="D5858" s="3">
        <v>19</v>
      </c>
      <c r="E5858" s="3" t="s">
        <v>12</v>
      </c>
      <c r="F5858" s="4">
        <v>52</v>
      </c>
      <c r="G5858" s="4"/>
      <c r="H5858" s="4">
        <f t="shared" si="595"/>
        <v>52</v>
      </c>
    </row>
    <row r="5859" ht="14.25" spans="1:8">
      <c r="A5859" s="3" t="str">
        <f>"30503418720"</f>
        <v>30503418720</v>
      </c>
      <c r="B5859" s="3">
        <v>4</v>
      </c>
      <c r="C5859" s="3">
        <v>187</v>
      </c>
      <c r="D5859" s="3">
        <v>20</v>
      </c>
      <c r="E5859" s="3" t="s">
        <v>12</v>
      </c>
      <c r="F5859" s="4">
        <v>75.5</v>
      </c>
      <c r="G5859" s="4"/>
      <c r="H5859" s="4">
        <f t="shared" si="595"/>
        <v>75.5</v>
      </c>
    </row>
    <row r="5860" ht="14.25" spans="1:8">
      <c r="A5860" s="3" t="str">
        <f>"30503418721"</f>
        <v>30503418721</v>
      </c>
      <c r="B5860" s="3">
        <v>4</v>
      </c>
      <c r="C5860" s="3">
        <v>187</v>
      </c>
      <c r="D5860" s="3">
        <v>21</v>
      </c>
      <c r="E5860" s="3" t="s">
        <v>12</v>
      </c>
      <c r="F5860" s="4">
        <v>60</v>
      </c>
      <c r="G5860" s="4"/>
      <c r="H5860" s="4">
        <f t="shared" si="595"/>
        <v>60</v>
      </c>
    </row>
    <row r="5861" ht="14.25" spans="1:8">
      <c r="A5861" s="3" t="str">
        <f>"30503418722"</f>
        <v>30503418722</v>
      </c>
      <c r="B5861" s="3">
        <v>4</v>
      </c>
      <c r="C5861" s="3">
        <v>187</v>
      </c>
      <c r="D5861" s="3">
        <v>22</v>
      </c>
      <c r="E5861" s="3" t="s">
        <v>12</v>
      </c>
      <c r="F5861" s="4">
        <v>72.5</v>
      </c>
      <c r="G5861" s="4"/>
      <c r="H5861" s="4">
        <f t="shared" si="595"/>
        <v>72.5</v>
      </c>
    </row>
    <row r="5862" ht="14.25" spans="1:8">
      <c r="A5862" s="3" t="str">
        <f>"30503418723"</f>
        <v>30503418723</v>
      </c>
      <c r="B5862" s="3">
        <v>4</v>
      </c>
      <c r="C5862" s="3">
        <v>187</v>
      </c>
      <c r="D5862" s="3">
        <v>23</v>
      </c>
      <c r="E5862" s="3" t="s">
        <v>12</v>
      </c>
      <c r="F5862" s="4">
        <v>66</v>
      </c>
      <c r="G5862" s="4"/>
      <c r="H5862" s="4">
        <f t="shared" si="595"/>
        <v>66</v>
      </c>
    </row>
    <row r="5863" ht="14.25" spans="1:8">
      <c r="A5863" s="3" t="str">
        <f>"30503418724"</f>
        <v>30503418724</v>
      </c>
      <c r="B5863" s="3">
        <v>4</v>
      </c>
      <c r="C5863" s="3">
        <v>187</v>
      </c>
      <c r="D5863" s="3">
        <v>24</v>
      </c>
      <c r="E5863" s="3" t="s">
        <v>12</v>
      </c>
      <c r="F5863" s="4">
        <v>62</v>
      </c>
      <c r="G5863" s="4"/>
      <c r="H5863" s="4">
        <f t="shared" si="595"/>
        <v>62</v>
      </c>
    </row>
    <row r="5864" ht="14.25" spans="1:8">
      <c r="A5864" s="3" t="str">
        <f>"30503418725"</f>
        <v>30503418725</v>
      </c>
      <c r="B5864" s="3">
        <v>4</v>
      </c>
      <c r="C5864" s="3">
        <v>187</v>
      </c>
      <c r="D5864" s="3">
        <v>25</v>
      </c>
      <c r="E5864" s="3" t="s">
        <v>12</v>
      </c>
      <c r="F5864" s="4">
        <v>62</v>
      </c>
      <c r="G5864" s="4"/>
      <c r="H5864" s="4">
        <f t="shared" si="595"/>
        <v>62</v>
      </c>
    </row>
    <row r="5865" ht="14.25" spans="1:8">
      <c r="A5865" s="3" t="str">
        <f>"30503418726"</f>
        <v>30503418726</v>
      </c>
      <c r="B5865" s="3">
        <v>4</v>
      </c>
      <c r="C5865" s="3">
        <v>187</v>
      </c>
      <c r="D5865" s="3">
        <v>26</v>
      </c>
      <c r="E5865" s="3" t="s">
        <v>12</v>
      </c>
      <c r="F5865" s="3">
        <v>0</v>
      </c>
      <c r="G5865" s="4"/>
      <c r="H5865" s="3">
        <v>0</v>
      </c>
    </row>
    <row r="5866" ht="14.25" spans="1:8">
      <c r="A5866" s="3" t="str">
        <f>"30503418727"</f>
        <v>30503418727</v>
      </c>
      <c r="B5866" s="3">
        <v>4</v>
      </c>
      <c r="C5866" s="3">
        <v>187</v>
      </c>
      <c r="D5866" s="3">
        <v>27</v>
      </c>
      <c r="E5866" s="3" t="s">
        <v>12</v>
      </c>
      <c r="F5866" s="3">
        <v>0</v>
      </c>
      <c r="G5866" s="4"/>
      <c r="H5866" s="3">
        <v>0</v>
      </c>
    </row>
    <row r="5867" ht="14.25" spans="1:8">
      <c r="A5867" s="3" t="str">
        <f>"30503418728"</f>
        <v>30503418728</v>
      </c>
      <c r="B5867" s="3">
        <v>4</v>
      </c>
      <c r="C5867" s="3">
        <v>187</v>
      </c>
      <c r="D5867" s="3">
        <v>28</v>
      </c>
      <c r="E5867" s="3" t="s">
        <v>12</v>
      </c>
      <c r="F5867" s="4">
        <v>76</v>
      </c>
      <c r="G5867" s="4"/>
      <c r="H5867" s="4">
        <f t="shared" ref="H5867:H5872" si="596">F5867+G5867</f>
        <v>76</v>
      </c>
    </row>
    <row r="5868" ht="14.25" spans="1:8">
      <c r="A5868" s="3" t="str">
        <f>"30503418729"</f>
        <v>30503418729</v>
      </c>
      <c r="B5868" s="3">
        <v>4</v>
      </c>
      <c r="C5868" s="3">
        <v>187</v>
      </c>
      <c r="D5868" s="3">
        <v>29</v>
      </c>
      <c r="E5868" s="3" t="s">
        <v>12</v>
      </c>
      <c r="F5868" s="4">
        <v>43</v>
      </c>
      <c r="G5868" s="4"/>
      <c r="H5868" s="4">
        <f t="shared" si="596"/>
        <v>43</v>
      </c>
    </row>
    <row r="5869" ht="14.25" spans="1:8">
      <c r="A5869" s="3" t="str">
        <f>"30503418730"</f>
        <v>30503418730</v>
      </c>
      <c r="B5869" s="3">
        <v>4</v>
      </c>
      <c r="C5869" s="3">
        <v>187</v>
      </c>
      <c r="D5869" s="3">
        <v>30</v>
      </c>
      <c r="E5869" s="3" t="s">
        <v>12</v>
      </c>
      <c r="F5869" s="3">
        <v>0</v>
      </c>
      <c r="G5869" s="4"/>
      <c r="H5869" s="3">
        <v>0</v>
      </c>
    </row>
    <row r="5870" ht="14.25" spans="1:8">
      <c r="A5870" s="3" t="str">
        <f>"30504418801"</f>
        <v>30504418801</v>
      </c>
      <c r="B5870" s="3">
        <v>4</v>
      </c>
      <c r="C5870" s="3">
        <v>188</v>
      </c>
      <c r="D5870" s="3">
        <v>1</v>
      </c>
      <c r="E5870" s="3" t="s">
        <v>12</v>
      </c>
      <c r="F5870" s="4">
        <v>81.5</v>
      </c>
      <c r="G5870" s="4"/>
      <c r="H5870" s="4">
        <f t="shared" si="596"/>
        <v>81.5</v>
      </c>
    </row>
    <row r="5871" ht="14.25" spans="1:8">
      <c r="A5871" s="3" t="str">
        <f>"30504418802"</f>
        <v>30504418802</v>
      </c>
      <c r="B5871" s="3">
        <v>4</v>
      </c>
      <c r="C5871" s="3">
        <v>188</v>
      </c>
      <c r="D5871" s="3">
        <v>2</v>
      </c>
      <c r="E5871" s="3" t="s">
        <v>12</v>
      </c>
      <c r="F5871" s="4">
        <v>77.5</v>
      </c>
      <c r="G5871" s="4"/>
      <c r="H5871" s="4">
        <f t="shared" si="596"/>
        <v>77.5</v>
      </c>
    </row>
    <row r="5872" ht="14.25" spans="1:8">
      <c r="A5872" s="3" t="str">
        <f>"30504418803"</f>
        <v>30504418803</v>
      </c>
      <c r="B5872" s="3">
        <v>4</v>
      </c>
      <c r="C5872" s="3">
        <v>188</v>
      </c>
      <c r="D5872" s="3">
        <v>3</v>
      </c>
      <c r="E5872" s="3" t="s">
        <v>12</v>
      </c>
      <c r="F5872" s="4">
        <v>60</v>
      </c>
      <c r="G5872" s="4"/>
      <c r="H5872" s="4">
        <f t="shared" si="596"/>
        <v>60</v>
      </c>
    </row>
    <row r="5873" ht="14.25" spans="1:8">
      <c r="A5873" s="3" t="str">
        <f>"30504418804"</f>
        <v>30504418804</v>
      </c>
      <c r="B5873" s="3">
        <v>4</v>
      </c>
      <c r="C5873" s="3">
        <v>188</v>
      </c>
      <c r="D5873" s="3">
        <v>4</v>
      </c>
      <c r="E5873" s="3" t="s">
        <v>12</v>
      </c>
      <c r="F5873" s="3">
        <v>0</v>
      </c>
      <c r="G5873" s="4"/>
      <c r="H5873" s="3">
        <v>0</v>
      </c>
    </row>
    <row r="5874" ht="14.25" spans="1:8">
      <c r="A5874" s="3" t="str">
        <f>"30504418805"</f>
        <v>30504418805</v>
      </c>
      <c r="B5874" s="3">
        <v>4</v>
      </c>
      <c r="C5874" s="3">
        <v>188</v>
      </c>
      <c r="D5874" s="3">
        <v>5</v>
      </c>
      <c r="E5874" s="3" t="s">
        <v>12</v>
      </c>
      <c r="F5874" s="4">
        <v>79</v>
      </c>
      <c r="G5874" s="4"/>
      <c r="H5874" s="4">
        <f t="shared" ref="H5874:H5876" si="597">F5874+G5874</f>
        <v>79</v>
      </c>
    </row>
    <row r="5875" ht="14.25" spans="1:8">
      <c r="A5875" s="3" t="str">
        <f>"30504418806"</f>
        <v>30504418806</v>
      </c>
      <c r="B5875" s="3">
        <v>4</v>
      </c>
      <c r="C5875" s="3">
        <v>188</v>
      </c>
      <c r="D5875" s="3">
        <v>6</v>
      </c>
      <c r="E5875" s="3" t="s">
        <v>12</v>
      </c>
      <c r="F5875" s="4">
        <v>80.5</v>
      </c>
      <c r="G5875" s="4"/>
      <c r="H5875" s="4">
        <f t="shared" si="597"/>
        <v>80.5</v>
      </c>
    </row>
    <row r="5876" ht="14.25" spans="1:8">
      <c r="A5876" s="3" t="str">
        <f>"30504418807"</f>
        <v>30504418807</v>
      </c>
      <c r="B5876" s="3">
        <v>4</v>
      </c>
      <c r="C5876" s="3">
        <v>188</v>
      </c>
      <c r="D5876" s="3">
        <v>7</v>
      </c>
      <c r="E5876" s="3" t="s">
        <v>12</v>
      </c>
      <c r="F5876" s="4">
        <v>82</v>
      </c>
      <c r="G5876" s="4"/>
      <c r="H5876" s="4">
        <f t="shared" si="597"/>
        <v>82</v>
      </c>
    </row>
    <row r="5877" ht="14.25" spans="1:8">
      <c r="A5877" s="3" t="str">
        <f>"30504418808"</f>
        <v>30504418808</v>
      </c>
      <c r="B5877" s="3">
        <v>4</v>
      </c>
      <c r="C5877" s="3">
        <v>188</v>
      </c>
      <c r="D5877" s="3">
        <v>8</v>
      </c>
      <c r="E5877" s="3" t="s">
        <v>12</v>
      </c>
      <c r="F5877" s="3">
        <v>0</v>
      </c>
      <c r="G5877" s="4"/>
      <c r="H5877" s="3">
        <v>0</v>
      </c>
    </row>
    <row r="5878" ht="14.25" spans="1:8">
      <c r="A5878" s="3" t="str">
        <f>"30504418809"</f>
        <v>30504418809</v>
      </c>
      <c r="B5878" s="3">
        <v>4</v>
      </c>
      <c r="C5878" s="3">
        <v>188</v>
      </c>
      <c r="D5878" s="3">
        <v>9</v>
      </c>
      <c r="E5878" s="3" t="s">
        <v>12</v>
      </c>
      <c r="F5878" s="3">
        <v>0</v>
      </c>
      <c r="G5878" s="4"/>
      <c r="H5878" s="3">
        <v>0</v>
      </c>
    </row>
    <row r="5879" ht="14.25" spans="1:8">
      <c r="A5879" s="3" t="str">
        <f>"30504418810"</f>
        <v>30504418810</v>
      </c>
      <c r="B5879" s="3">
        <v>4</v>
      </c>
      <c r="C5879" s="3">
        <v>188</v>
      </c>
      <c r="D5879" s="3">
        <v>10</v>
      </c>
      <c r="E5879" s="3" t="s">
        <v>12</v>
      </c>
      <c r="F5879" s="4">
        <v>68.5</v>
      </c>
      <c r="G5879" s="4"/>
      <c r="H5879" s="4">
        <f t="shared" ref="H5879:H5881" si="598">F5879+G5879</f>
        <v>68.5</v>
      </c>
    </row>
    <row r="5880" ht="14.25" spans="1:8">
      <c r="A5880" s="3" t="str">
        <f>"30504418811"</f>
        <v>30504418811</v>
      </c>
      <c r="B5880" s="3">
        <v>4</v>
      </c>
      <c r="C5880" s="3">
        <v>188</v>
      </c>
      <c r="D5880" s="3">
        <v>11</v>
      </c>
      <c r="E5880" s="3" t="s">
        <v>12</v>
      </c>
      <c r="F5880" s="4">
        <v>78.5</v>
      </c>
      <c r="G5880" s="4"/>
      <c r="H5880" s="4">
        <f t="shared" si="598"/>
        <v>78.5</v>
      </c>
    </row>
    <row r="5881" ht="14.25" spans="1:8">
      <c r="A5881" s="3" t="str">
        <f>"30504418812"</f>
        <v>30504418812</v>
      </c>
      <c r="B5881" s="3">
        <v>4</v>
      </c>
      <c r="C5881" s="3">
        <v>188</v>
      </c>
      <c r="D5881" s="3">
        <v>12</v>
      </c>
      <c r="E5881" s="3" t="s">
        <v>12</v>
      </c>
      <c r="F5881" s="4">
        <v>49</v>
      </c>
      <c r="G5881" s="4">
        <v>10</v>
      </c>
      <c r="H5881" s="4">
        <f t="shared" si="598"/>
        <v>59</v>
      </c>
    </row>
    <row r="5882" ht="14.25" spans="1:8">
      <c r="A5882" s="3" t="str">
        <f>"30504418813"</f>
        <v>30504418813</v>
      </c>
      <c r="B5882" s="3">
        <v>4</v>
      </c>
      <c r="C5882" s="3">
        <v>188</v>
      </c>
      <c r="D5882" s="3">
        <v>13</v>
      </c>
      <c r="E5882" s="3" t="s">
        <v>12</v>
      </c>
      <c r="F5882" s="3">
        <v>0</v>
      </c>
      <c r="G5882" s="4"/>
      <c r="H5882" s="3">
        <v>0</v>
      </c>
    </row>
    <row r="5883" ht="14.25" spans="1:8">
      <c r="A5883" s="3" t="str">
        <f>"30504418814"</f>
        <v>30504418814</v>
      </c>
      <c r="B5883" s="3">
        <v>4</v>
      </c>
      <c r="C5883" s="3">
        <v>188</v>
      </c>
      <c r="D5883" s="3">
        <v>14</v>
      </c>
      <c r="E5883" s="3" t="s">
        <v>12</v>
      </c>
      <c r="F5883" s="3">
        <v>0</v>
      </c>
      <c r="G5883" s="4"/>
      <c r="H5883" s="3">
        <v>0</v>
      </c>
    </row>
    <row r="5884" ht="14.25" spans="1:8">
      <c r="A5884" s="3" t="str">
        <f>"30504418815"</f>
        <v>30504418815</v>
      </c>
      <c r="B5884" s="3">
        <v>4</v>
      </c>
      <c r="C5884" s="3">
        <v>188</v>
      </c>
      <c r="D5884" s="3">
        <v>15</v>
      </c>
      <c r="E5884" s="3" t="s">
        <v>12</v>
      </c>
      <c r="F5884" s="4">
        <v>50</v>
      </c>
      <c r="G5884" s="4"/>
      <c r="H5884" s="4">
        <f t="shared" ref="H5884:H5888" si="599">F5884+G5884</f>
        <v>50</v>
      </c>
    </row>
    <row r="5885" ht="14.25" spans="1:8">
      <c r="A5885" s="3" t="str">
        <f>"30504418816"</f>
        <v>30504418816</v>
      </c>
      <c r="B5885" s="3">
        <v>4</v>
      </c>
      <c r="C5885" s="3">
        <v>188</v>
      </c>
      <c r="D5885" s="3">
        <v>16</v>
      </c>
      <c r="E5885" s="3" t="s">
        <v>12</v>
      </c>
      <c r="F5885" s="4">
        <v>73</v>
      </c>
      <c r="G5885" s="4"/>
      <c r="H5885" s="4">
        <f t="shared" si="599"/>
        <v>73</v>
      </c>
    </row>
    <row r="5886" ht="14.25" spans="1:8">
      <c r="A5886" s="3" t="str">
        <f>"30504418817"</f>
        <v>30504418817</v>
      </c>
      <c r="B5886" s="3">
        <v>4</v>
      </c>
      <c r="C5886" s="3">
        <v>188</v>
      </c>
      <c r="D5886" s="3">
        <v>17</v>
      </c>
      <c r="E5886" s="3" t="s">
        <v>12</v>
      </c>
      <c r="F5886" s="4">
        <v>80.5</v>
      </c>
      <c r="G5886" s="4"/>
      <c r="H5886" s="4">
        <f t="shared" si="599"/>
        <v>80.5</v>
      </c>
    </row>
    <row r="5887" ht="14.25" spans="1:8">
      <c r="A5887" s="3" t="str">
        <f>"30504418818"</f>
        <v>30504418818</v>
      </c>
      <c r="B5887" s="3">
        <v>4</v>
      </c>
      <c r="C5887" s="3">
        <v>188</v>
      </c>
      <c r="D5887" s="3">
        <v>18</v>
      </c>
      <c r="E5887" s="3" t="s">
        <v>12</v>
      </c>
      <c r="F5887" s="4">
        <v>57</v>
      </c>
      <c r="G5887" s="4"/>
      <c r="H5887" s="4">
        <f t="shared" si="599"/>
        <v>57</v>
      </c>
    </row>
    <row r="5888" ht="14.25" spans="1:8">
      <c r="A5888" s="3" t="str">
        <f>"30504418819"</f>
        <v>30504418819</v>
      </c>
      <c r="B5888" s="3">
        <v>4</v>
      </c>
      <c r="C5888" s="3">
        <v>188</v>
      </c>
      <c r="D5888" s="3">
        <v>19</v>
      </c>
      <c r="E5888" s="3" t="s">
        <v>12</v>
      </c>
      <c r="F5888" s="4">
        <v>67</v>
      </c>
      <c r="G5888" s="4"/>
      <c r="H5888" s="4">
        <f t="shared" si="599"/>
        <v>67</v>
      </c>
    </row>
    <row r="5889" ht="14.25" spans="1:8">
      <c r="A5889" s="3" t="str">
        <f>"30505418820"</f>
        <v>30505418820</v>
      </c>
      <c r="B5889" s="3">
        <v>4</v>
      </c>
      <c r="C5889" s="3">
        <v>188</v>
      </c>
      <c r="D5889" s="3">
        <v>20</v>
      </c>
      <c r="E5889" s="3" t="s">
        <v>12</v>
      </c>
      <c r="F5889" s="3">
        <v>0</v>
      </c>
      <c r="G5889" s="4"/>
      <c r="H5889" s="3">
        <v>0</v>
      </c>
    </row>
    <row r="5890" ht="14.25" spans="1:8">
      <c r="A5890" s="3" t="str">
        <f>"30505418821"</f>
        <v>30505418821</v>
      </c>
      <c r="B5890" s="3">
        <v>4</v>
      </c>
      <c r="C5890" s="3">
        <v>188</v>
      </c>
      <c r="D5890" s="3">
        <v>21</v>
      </c>
      <c r="E5890" s="3" t="s">
        <v>12</v>
      </c>
      <c r="F5890" s="4">
        <v>62.5</v>
      </c>
      <c r="G5890" s="4"/>
      <c r="H5890" s="4">
        <f t="shared" ref="H5890:H5893" si="600">F5890+G5890</f>
        <v>62.5</v>
      </c>
    </row>
    <row r="5891" ht="14.25" spans="1:8">
      <c r="A5891" s="3" t="str">
        <f>"30505418822"</f>
        <v>30505418822</v>
      </c>
      <c r="B5891" s="3">
        <v>4</v>
      </c>
      <c r="C5891" s="3">
        <v>188</v>
      </c>
      <c r="D5891" s="3">
        <v>22</v>
      </c>
      <c r="E5891" s="3" t="s">
        <v>12</v>
      </c>
      <c r="F5891" s="4">
        <v>64</v>
      </c>
      <c r="G5891" s="4"/>
      <c r="H5891" s="4">
        <f t="shared" si="600"/>
        <v>64</v>
      </c>
    </row>
    <row r="5892" ht="14.25" spans="1:8">
      <c r="A5892" s="3" t="str">
        <f>"30505418823"</f>
        <v>30505418823</v>
      </c>
      <c r="B5892" s="3">
        <v>4</v>
      </c>
      <c r="C5892" s="3">
        <v>188</v>
      </c>
      <c r="D5892" s="3">
        <v>23</v>
      </c>
      <c r="E5892" s="3" t="s">
        <v>12</v>
      </c>
      <c r="F5892" s="4">
        <v>76.5</v>
      </c>
      <c r="G5892" s="4"/>
      <c r="H5892" s="4">
        <f t="shared" si="600"/>
        <v>76.5</v>
      </c>
    </row>
    <row r="5893" ht="14.25" spans="1:8">
      <c r="A5893" s="3" t="str">
        <f>"30505418824"</f>
        <v>30505418824</v>
      </c>
      <c r="B5893" s="3">
        <v>4</v>
      </c>
      <c r="C5893" s="3">
        <v>188</v>
      </c>
      <c r="D5893" s="3">
        <v>24</v>
      </c>
      <c r="E5893" s="3" t="s">
        <v>12</v>
      </c>
      <c r="F5893" s="4">
        <v>64</v>
      </c>
      <c r="G5893" s="4"/>
      <c r="H5893" s="4">
        <f t="shared" si="600"/>
        <v>64</v>
      </c>
    </row>
    <row r="5894" ht="14.25" spans="1:8">
      <c r="A5894" s="3" t="str">
        <f>"30505418825"</f>
        <v>30505418825</v>
      </c>
      <c r="B5894" s="3">
        <v>4</v>
      </c>
      <c r="C5894" s="3">
        <v>188</v>
      </c>
      <c r="D5894" s="3">
        <v>25</v>
      </c>
      <c r="E5894" s="3" t="s">
        <v>12</v>
      </c>
      <c r="F5894" s="3">
        <v>0</v>
      </c>
      <c r="G5894" s="4"/>
      <c r="H5894" s="3">
        <v>0</v>
      </c>
    </row>
    <row r="5895" ht="14.25" spans="1:8">
      <c r="A5895" s="3" t="str">
        <f>"30505418826"</f>
        <v>30505418826</v>
      </c>
      <c r="B5895" s="3">
        <v>4</v>
      </c>
      <c r="C5895" s="3">
        <v>188</v>
      </c>
      <c r="D5895" s="3">
        <v>26</v>
      </c>
      <c r="E5895" s="3" t="s">
        <v>12</v>
      </c>
      <c r="F5895" s="4">
        <v>83.5</v>
      </c>
      <c r="G5895" s="4"/>
      <c r="H5895" s="4">
        <f t="shared" ref="H5895:H5898" si="601">F5895+G5895</f>
        <v>83.5</v>
      </c>
    </row>
    <row r="5896" ht="14.25" spans="1:8">
      <c r="A5896" s="3" t="str">
        <f>"30505418827"</f>
        <v>30505418827</v>
      </c>
      <c r="B5896" s="3">
        <v>4</v>
      </c>
      <c r="C5896" s="3">
        <v>188</v>
      </c>
      <c r="D5896" s="3">
        <v>27</v>
      </c>
      <c r="E5896" s="3" t="s">
        <v>12</v>
      </c>
      <c r="F5896" s="4">
        <v>52.5</v>
      </c>
      <c r="G5896" s="4"/>
      <c r="H5896" s="4">
        <f t="shared" si="601"/>
        <v>52.5</v>
      </c>
    </row>
    <row r="5897" ht="14.25" spans="1:8">
      <c r="A5897" s="3" t="str">
        <f>"30505418828"</f>
        <v>30505418828</v>
      </c>
      <c r="B5897" s="3">
        <v>4</v>
      </c>
      <c r="C5897" s="3">
        <v>188</v>
      </c>
      <c r="D5897" s="3">
        <v>28</v>
      </c>
      <c r="E5897" s="3" t="s">
        <v>12</v>
      </c>
      <c r="F5897" s="4">
        <v>53</v>
      </c>
      <c r="G5897" s="4"/>
      <c r="H5897" s="4">
        <f t="shared" si="601"/>
        <v>53</v>
      </c>
    </row>
    <row r="5898" ht="14.25" spans="1:8">
      <c r="A5898" s="3" t="str">
        <f>"30505418829"</f>
        <v>30505418829</v>
      </c>
      <c r="B5898" s="3">
        <v>4</v>
      </c>
      <c r="C5898" s="3">
        <v>188</v>
      </c>
      <c r="D5898" s="3">
        <v>29</v>
      </c>
      <c r="E5898" s="3" t="s">
        <v>12</v>
      </c>
      <c r="F5898" s="4">
        <v>58.5</v>
      </c>
      <c r="G5898" s="4"/>
      <c r="H5898" s="4">
        <f t="shared" si="601"/>
        <v>58.5</v>
      </c>
    </row>
    <row r="5899" ht="14.25" spans="1:8">
      <c r="A5899" s="3" t="str">
        <f>"30505418830"</f>
        <v>30505418830</v>
      </c>
      <c r="B5899" s="3">
        <v>4</v>
      </c>
      <c r="C5899" s="3">
        <v>188</v>
      </c>
      <c r="D5899" s="3">
        <v>30</v>
      </c>
      <c r="E5899" s="3" t="s">
        <v>12</v>
      </c>
      <c r="F5899" s="3">
        <v>0</v>
      </c>
      <c r="G5899" s="4"/>
      <c r="H5899" s="3">
        <v>0</v>
      </c>
    </row>
    <row r="5900" ht="14.25" spans="1:8">
      <c r="A5900" s="3" t="str">
        <f>"30505418901"</f>
        <v>30505418901</v>
      </c>
      <c r="B5900" s="3">
        <v>4</v>
      </c>
      <c r="C5900" s="3">
        <v>189</v>
      </c>
      <c r="D5900" s="3">
        <v>1</v>
      </c>
      <c r="E5900" s="3" t="s">
        <v>12</v>
      </c>
      <c r="F5900" s="4">
        <v>55.5</v>
      </c>
      <c r="G5900" s="4"/>
      <c r="H5900" s="4">
        <f t="shared" ref="H5900:H5904" si="602">F5900+G5900</f>
        <v>55.5</v>
      </c>
    </row>
    <row r="5901" ht="14.25" spans="1:8">
      <c r="A5901" s="3" t="str">
        <f>"30505418902"</f>
        <v>30505418902</v>
      </c>
      <c r="B5901" s="3">
        <v>4</v>
      </c>
      <c r="C5901" s="3">
        <v>189</v>
      </c>
      <c r="D5901" s="3">
        <v>2</v>
      </c>
      <c r="E5901" s="3" t="s">
        <v>12</v>
      </c>
      <c r="F5901" s="4">
        <v>64</v>
      </c>
      <c r="G5901" s="4"/>
      <c r="H5901" s="4">
        <f t="shared" si="602"/>
        <v>64</v>
      </c>
    </row>
    <row r="5902" ht="14.25" spans="1:8">
      <c r="A5902" s="3" t="str">
        <f>"30505418903"</f>
        <v>30505418903</v>
      </c>
      <c r="B5902" s="3">
        <v>4</v>
      </c>
      <c r="C5902" s="3">
        <v>189</v>
      </c>
      <c r="D5902" s="3">
        <v>3</v>
      </c>
      <c r="E5902" s="3" t="s">
        <v>12</v>
      </c>
      <c r="F5902" s="4">
        <v>48.5</v>
      </c>
      <c r="G5902" s="4"/>
      <c r="H5902" s="4">
        <f t="shared" si="602"/>
        <v>48.5</v>
      </c>
    </row>
    <row r="5903" ht="14.25" spans="1:8">
      <c r="A5903" s="3" t="str">
        <f>"30505418904"</f>
        <v>30505418904</v>
      </c>
      <c r="B5903" s="3">
        <v>4</v>
      </c>
      <c r="C5903" s="3">
        <v>189</v>
      </c>
      <c r="D5903" s="3">
        <v>4</v>
      </c>
      <c r="E5903" s="3" t="s">
        <v>12</v>
      </c>
      <c r="F5903" s="4">
        <v>59.5</v>
      </c>
      <c r="G5903" s="4"/>
      <c r="H5903" s="4">
        <f t="shared" si="602"/>
        <v>59.5</v>
      </c>
    </row>
    <row r="5904" ht="14.25" spans="1:8">
      <c r="A5904" s="3" t="str">
        <f>"30505418905"</f>
        <v>30505418905</v>
      </c>
      <c r="B5904" s="3">
        <v>4</v>
      </c>
      <c r="C5904" s="3">
        <v>189</v>
      </c>
      <c r="D5904" s="3">
        <v>5</v>
      </c>
      <c r="E5904" s="3" t="s">
        <v>12</v>
      </c>
      <c r="F5904" s="4">
        <v>72</v>
      </c>
      <c r="G5904" s="4"/>
      <c r="H5904" s="4">
        <f t="shared" si="602"/>
        <v>72</v>
      </c>
    </row>
    <row r="5905" ht="14.25" spans="1:8">
      <c r="A5905" s="3" t="str">
        <f>"30505418906"</f>
        <v>30505418906</v>
      </c>
      <c r="B5905" s="3">
        <v>4</v>
      </c>
      <c r="C5905" s="3">
        <v>189</v>
      </c>
      <c r="D5905" s="3">
        <v>6</v>
      </c>
      <c r="E5905" s="3" t="s">
        <v>12</v>
      </c>
      <c r="F5905" s="3">
        <v>0</v>
      </c>
      <c r="G5905" s="4"/>
      <c r="H5905" s="3">
        <v>0</v>
      </c>
    </row>
    <row r="5906" ht="14.25" spans="1:8">
      <c r="A5906" s="3" t="str">
        <f>"30505418907"</f>
        <v>30505418907</v>
      </c>
      <c r="B5906" s="3">
        <v>4</v>
      </c>
      <c r="C5906" s="3">
        <v>189</v>
      </c>
      <c r="D5906" s="3">
        <v>7</v>
      </c>
      <c r="E5906" s="3" t="s">
        <v>12</v>
      </c>
      <c r="F5906" s="4">
        <v>70</v>
      </c>
      <c r="G5906" s="4"/>
      <c r="H5906" s="4">
        <f t="shared" ref="H5906:H5921" si="603">F5906+G5906</f>
        <v>70</v>
      </c>
    </row>
    <row r="5907" ht="14.25" spans="1:8">
      <c r="A5907" s="3" t="str">
        <f>"30505418908"</f>
        <v>30505418908</v>
      </c>
      <c r="B5907" s="3">
        <v>4</v>
      </c>
      <c r="C5907" s="3">
        <v>189</v>
      </c>
      <c r="D5907" s="3">
        <v>8</v>
      </c>
      <c r="E5907" s="3" t="s">
        <v>12</v>
      </c>
      <c r="F5907" s="4">
        <v>82.5</v>
      </c>
      <c r="G5907" s="4"/>
      <c r="H5907" s="4">
        <f t="shared" si="603"/>
        <v>82.5</v>
      </c>
    </row>
    <row r="5908" ht="14.25" spans="1:8">
      <c r="A5908" s="3" t="str">
        <f>"30505418909"</f>
        <v>30505418909</v>
      </c>
      <c r="B5908" s="3">
        <v>4</v>
      </c>
      <c r="C5908" s="3">
        <v>189</v>
      </c>
      <c r="D5908" s="3">
        <v>9</v>
      </c>
      <c r="E5908" s="3" t="s">
        <v>12</v>
      </c>
      <c r="F5908" s="4">
        <v>68.5</v>
      </c>
      <c r="G5908" s="4"/>
      <c r="H5908" s="4">
        <f t="shared" si="603"/>
        <v>68.5</v>
      </c>
    </row>
    <row r="5909" ht="14.25" spans="1:8">
      <c r="A5909" s="3" t="str">
        <f>"30505418910"</f>
        <v>30505418910</v>
      </c>
      <c r="B5909" s="3">
        <v>4</v>
      </c>
      <c r="C5909" s="3">
        <v>189</v>
      </c>
      <c r="D5909" s="3">
        <v>10</v>
      </c>
      <c r="E5909" s="3" t="s">
        <v>12</v>
      </c>
      <c r="F5909" s="4">
        <v>50.5</v>
      </c>
      <c r="G5909" s="4"/>
      <c r="H5909" s="4">
        <f t="shared" si="603"/>
        <v>50.5</v>
      </c>
    </row>
    <row r="5910" ht="14.25" spans="1:8">
      <c r="A5910" s="3" t="str">
        <f>"30505418911"</f>
        <v>30505418911</v>
      </c>
      <c r="B5910" s="3">
        <v>4</v>
      </c>
      <c r="C5910" s="3">
        <v>189</v>
      </c>
      <c r="D5910" s="3">
        <v>11</v>
      </c>
      <c r="E5910" s="3" t="s">
        <v>12</v>
      </c>
      <c r="F5910" s="4">
        <v>77.5</v>
      </c>
      <c r="G5910" s="4"/>
      <c r="H5910" s="4">
        <f t="shared" si="603"/>
        <v>77.5</v>
      </c>
    </row>
    <row r="5911" ht="14.25" spans="1:8">
      <c r="A5911" s="3" t="str">
        <f>"30505418912"</f>
        <v>30505418912</v>
      </c>
      <c r="B5911" s="3">
        <v>4</v>
      </c>
      <c r="C5911" s="3">
        <v>189</v>
      </c>
      <c r="D5911" s="3">
        <v>12</v>
      </c>
      <c r="E5911" s="3" t="s">
        <v>12</v>
      </c>
      <c r="F5911" s="4">
        <v>67.5</v>
      </c>
      <c r="G5911" s="4"/>
      <c r="H5911" s="4">
        <f t="shared" si="603"/>
        <v>67.5</v>
      </c>
    </row>
    <row r="5912" ht="14.25" spans="1:8">
      <c r="A5912" s="3" t="str">
        <f>"30505418913"</f>
        <v>30505418913</v>
      </c>
      <c r="B5912" s="3">
        <v>4</v>
      </c>
      <c r="C5912" s="3">
        <v>189</v>
      </c>
      <c r="D5912" s="3">
        <v>13</v>
      </c>
      <c r="E5912" s="3" t="s">
        <v>12</v>
      </c>
      <c r="F5912" s="4">
        <v>45</v>
      </c>
      <c r="G5912" s="4"/>
      <c r="H5912" s="4">
        <f t="shared" si="603"/>
        <v>45</v>
      </c>
    </row>
    <row r="5913" ht="14.25" spans="1:8">
      <c r="A5913" s="3" t="str">
        <f>"30505418914"</f>
        <v>30505418914</v>
      </c>
      <c r="B5913" s="3">
        <v>4</v>
      </c>
      <c r="C5913" s="3">
        <v>189</v>
      </c>
      <c r="D5913" s="3">
        <v>14</v>
      </c>
      <c r="E5913" s="3" t="s">
        <v>12</v>
      </c>
      <c r="F5913" s="4">
        <v>66.5</v>
      </c>
      <c r="G5913" s="4"/>
      <c r="H5913" s="4">
        <f t="shared" si="603"/>
        <v>66.5</v>
      </c>
    </row>
    <row r="5914" ht="14.25" spans="1:8">
      <c r="A5914" s="3" t="str">
        <f>"30505418915"</f>
        <v>30505418915</v>
      </c>
      <c r="B5914" s="3">
        <v>4</v>
      </c>
      <c r="C5914" s="3">
        <v>189</v>
      </c>
      <c r="D5914" s="3">
        <v>15</v>
      </c>
      <c r="E5914" s="3" t="s">
        <v>12</v>
      </c>
      <c r="F5914" s="4">
        <v>65</v>
      </c>
      <c r="G5914" s="4"/>
      <c r="H5914" s="4">
        <f t="shared" si="603"/>
        <v>65</v>
      </c>
    </row>
    <row r="5915" ht="14.25" spans="1:8">
      <c r="A5915" s="3" t="str">
        <f>"30505418916"</f>
        <v>30505418916</v>
      </c>
      <c r="B5915" s="3">
        <v>4</v>
      </c>
      <c r="C5915" s="3">
        <v>189</v>
      </c>
      <c r="D5915" s="3">
        <v>16</v>
      </c>
      <c r="E5915" s="3" t="s">
        <v>12</v>
      </c>
      <c r="F5915" s="4">
        <v>58.5</v>
      </c>
      <c r="G5915" s="4"/>
      <c r="H5915" s="4">
        <f t="shared" si="603"/>
        <v>58.5</v>
      </c>
    </row>
    <row r="5916" ht="14.25" spans="1:8">
      <c r="A5916" s="3" t="str">
        <f>"30506418917"</f>
        <v>30506418917</v>
      </c>
      <c r="B5916" s="3">
        <v>4</v>
      </c>
      <c r="C5916" s="3">
        <v>189</v>
      </c>
      <c r="D5916" s="3">
        <v>17</v>
      </c>
      <c r="E5916" s="3" t="s">
        <v>12</v>
      </c>
      <c r="F5916" s="4">
        <v>78.5</v>
      </c>
      <c r="G5916" s="4"/>
      <c r="H5916" s="4">
        <f t="shared" si="603"/>
        <v>78.5</v>
      </c>
    </row>
    <row r="5917" ht="14.25" spans="1:8">
      <c r="A5917" s="3" t="str">
        <f>"30506418918"</f>
        <v>30506418918</v>
      </c>
      <c r="B5917" s="3">
        <v>4</v>
      </c>
      <c r="C5917" s="3">
        <v>189</v>
      </c>
      <c r="D5917" s="3">
        <v>18</v>
      </c>
      <c r="E5917" s="3" t="s">
        <v>12</v>
      </c>
      <c r="F5917" s="4">
        <v>60.5</v>
      </c>
      <c r="G5917" s="4"/>
      <c r="H5917" s="4">
        <f t="shared" si="603"/>
        <v>60.5</v>
      </c>
    </row>
    <row r="5918" ht="14.25" spans="1:8">
      <c r="A5918" s="3" t="str">
        <f>"30506418919"</f>
        <v>30506418919</v>
      </c>
      <c r="B5918" s="3">
        <v>4</v>
      </c>
      <c r="C5918" s="3">
        <v>189</v>
      </c>
      <c r="D5918" s="3">
        <v>19</v>
      </c>
      <c r="E5918" s="3" t="s">
        <v>12</v>
      </c>
      <c r="F5918" s="4">
        <v>80</v>
      </c>
      <c r="G5918" s="4"/>
      <c r="H5918" s="4">
        <f t="shared" si="603"/>
        <v>80</v>
      </c>
    </row>
    <row r="5919" ht="14.25" spans="1:8">
      <c r="A5919" s="3" t="str">
        <f>"30506418920"</f>
        <v>30506418920</v>
      </c>
      <c r="B5919" s="3">
        <v>4</v>
      </c>
      <c r="C5919" s="3">
        <v>189</v>
      </c>
      <c r="D5919" s="3">
        <v>20</v>
      </c>
      <c r="E5919" s="3" t="s">
        <v>12</v>
      </c>
      <c r="F5919" s="4">
        <v>41</v>
      </c>
      <c r="G5919" s="4"/>
      <c r="H5919" s="4">
        <f t="shared" si="603"/>
        <v>41</v>
      </c>
    </row>
    <row r="5920" ht="14.25" spans="1:8">
      <c r="A5920" s="3" t="str">
        <f>"30506418921"</f>
        <v>30506418921</v>
      </c>
      <c r="B5920" s="3">
        <v>4</v>
      </c>
      <c r="C5920" s="3">
        <v>189</v>
      </c>
      <c r="D5920" s="3">
        <v>21</v>
      </c>
      <c r="E5920" s="3" t="s">
        <v>12</v>
      </c>
      <c r="F5920" s="4">
        <v>84</v>
      </c>
      <c r="G5920" s="4"/>
      <c r="H5920" s="4">
        <f t="shared" si="603"/>
        <v>84</v>
      </c>
    </row>
    <row r="5921" ht="14.25" spans="1:8">
      <c r="A5921" s="3" t="str">
        <f>"30506418922"</f>
        <v>30506418922</v>
      </c>
      <c r="B5921" s="3">
        <v>4</v>
      </c>
      <c r="C5921" s="3">
        <v>189</v>
      </c>
      <c r="D5921" s="3">
        <v>22</v>
      </c>
      <c r="E5921" s="3" t="s">
        <v>12</v>
      </c>
      <c r="F5921" s="4">
        <v>59</v>
      </c>
      <c r="G5921" s="4"/>
      <c r="H5921" s="4">
        <f t="shared" si="603"/>
        <v>59</v>
      </c>
    </row>
    <row r="5922" ht="14.25" spans="1:8">
      <c r="A5922" s="3" t="str">
        <f>"30506418923"</f>
        <v>30506418923</v>
      </c>
      <c r="B5922" s="3">
        <v>4</v>
      </c>
      <c r="C5922" s="3">
        <v>189</v>
      </c>
      <c r="D5922" s="3">
        <v>23</v>
      </c>
      <c r="E5922" s="3" t="s">
        <v>12</v>
      </c>
      <c r="F5922" s="3">
        <v>0</v>
      </c>
      <c r="G5922" s="4"/>
      <c r="H5922" s="3">
        <v>0</v>
      </c>
    </row>
    <row r="5923" ht="14.25" spans="1:8">
      <c r="A5923" s="3" t="str">
        <f>"30506418924"</f>
        <v>30506418924</v>
      </c>
      <c r="B5923" s="3">
        <v>4</v>
      </c>
      <c r="C5923" s="3">
        <v>189</v>
      </c>
      <c r="D5923" s="3">
        <v>24</v>
      </c>
      <c r="E5923" s="3" t="s">
        <v>12</v>
      </c>
      <c r="F5923" s="4">
        <v>52</v>
      </c>
      <c r="G5923" s="4"/>
      <c r="H5923" s="4">
        <f t="shared" ref="H5923:H5956" si="604">F5923+G5923</f>
        <v>52</v>
      </c>
    </row>
    <row r="5924" ht="14.25" spans="1:8">
      <c r="A5924" s="3" t="str">
        <f>"30506418925"</f>
        <v>30506418925</v>
      </c>
      <c r="B5924" s="3">
        <v>4</v>
      </c>
      <c r="C5924" s="3">
        <v>189</v>
      </c>
      <c r="D5924" s="3">
        <v>25</v>
      </c>
      <c r="E5924" s="3" t="s">
        <v>12</v>
      </c>
      <c r="F5924" s="4">
        <v>86.5</v>
      </c>
      <c r="G5924" s="4"/>
      <c r="H5924" s="4">
        <f t="shared" si="604"/>
        <v>86.5</v>
      </c>
    </row>
    <row r="5925" ht="14.25" spans="1:8">
      <c r="A5925" s="3" t="str">
        <f>"30506418926"</f>
        <v>30506418926</v>
      </c>
      <c r="B5925" s="3">
        <v>4</v>
      </c>
      <c r="C5925" s="3">
        <v>189</v>
      </c>
      <c r="D5925" s="3">
        <v>26</v>
      </c>
      <c r="E5925" s="3" t="s">
        <v>12</v>
      </c>
      <c r="F5925" s="4">
        <v>80</v>
      </c>
      <c r="G5925" s="4"/>
      <c r="H5925" s="4">
        <f t="shared" si="604"/>
        <v>80</v>
      </c>
    </row>
    <row r="5926" ht="14.25" spans="1:8">
      <c r="A5926" s="3" t="str">
        <f>"30506418927"</f>
        <v>30506418927</v>
      </c>
      <c r="B5926" s="3">
        <v>4</v>
      </c>
      <c r="C5926" s="3">
        <v>189</v>
      </c>
      <c r="D5926" s="3">
        <v>27</v>
      </c>
      <c r="E5926" s="3" t="s">
        <v>12</v>
      </c>
      <c r="F5926" s="4">
        <v>51.5</v>
      </c>
      <c r="G5926" s="4"/>
      <c r="H5926" s="4">
        <f t="shared" si="604"/>
        <v>51.5</v>
      </c>
    </row>
    <row r="5927" ht="14.25" spans="1:8">
      <c r="A5927" s="3" t="str">
        <f>"30506418928"</f>
        <v>30506418928</v>
      </c>
      <c r="B5927" s="3">
        <v>4</v>
      </c>
      <c r="C5927" s="3">
        <v>189</v>
      </c>
      <c r="D5927" s="3">
        <v>28</v>
      </c>
      <c r="E5927" s="3" t="s">
        <v>12</v>
      </c>
      <c r="F5927" s="4">
        <v>54.5</v>
      </c>
      <c r="G5927" s="4"/>
      <c r="H5927" s="4">
        <f t="shared" si="604"/>
        <v>54.5</v>
      </c>
    </row>
    <row r="5928" ht="14.25" spans="1:8">
      <c r="A5928" s="3" t="str">
        <f>"30506418929"</f>
        <v>30506418929</v>
      </c>
      <c r="B5928" s="3">
        <v>4</v>
      </c>
      <c r="C5928" s="3">
        <v>189</v>
      </c>
      <c r="D5928" s="3">
        <v>29</v>
      </c>
      <c r="E5928" s="3" t="s">
        <v>12</v>
      </c>
      <c r="F5928" s="4">
        <v>57</v>
      </c>
      <c r="G5928" s="4"/>
      <c r="H5928" s="4">
        <f t="shared" si="604"/>
        <v>57</v>
      </c>
    </row>
    <row r="5929" ht="14.25" spans="1:8">
      <c r="A5929" s="3" t="str">
        <f>"30506418930"</f>
        <v>30506418930</v>
      </c>
      <c r="B5929" s="3">
        <v>4</v>
      </c>
      <c r="C5929" s="3">
        <v>189</v>
      </c>
      <c r="D5929" s="3">
        <v>30</v>
      </c>
      <c r="E5929" s="3" t="s">
        <v>12</v>
      </c>
      <c r="F5929" s="4">
        <v>59.5</v>
      </c>
      <c r="G5929" s="4"/>
      <c r="H5929" s="4">
        <f t="shared" si="604"/>
        <v>59.5</v>
      </c>
    </row>
    <row r="5930" ht="14.25" spans="1:8">
      <c r="A5930" s="3" t="str">
        <f>"30506419001"</f>
        <v>30506419001</v>
      </c>
      <c r="B5930" s="3">
        <v>4</v>
      </c>
      <c r="C5930" s="3">
        <v>190</v>
      </c>
      <c r="D5930" s="3">
        <v>1</v>
      </c>
      <c r="E5930" s="3" t="s">
        <v>12</v>
      </c>
      <c r="F5930" s="4">
        <v>53</v>
      </c>
      <c r="G5930" s="4"/>
      <c r="H5930" s="4">
        <f t="shared" si="604"/>
        <v>53</v>
      </c>
    </row>
    <row r="5931" ht="14.25" spans="1:8">
      <c r="A5931" s="3" t="str">
        <f>"30506419002"</f>
        <v>30506419002</v>
      </c>
      <c r="B5931" s="3">
        <v>4</v>
      </c>
      <c r="C5931" s="3">
        <v>190</v>
      </c>
      <c r="D5931" s="3">
        <v>2</v>
      </c>
      <c r="E5931" s="3" t="s">
        <v>12</v>
      </c>
      <c r="F5931" s="4">
        <v>73</v>
      </c>
      <c r="G5931" s="4"/>
      <c r="H5931" s="4">
        <f t="shared" si="604"/>
        <v>73</v>
      </c>
    </row>
    <row r="5932" ht="14.25" spans="1:8">
      <c r="A5932" s="3" t="str">
        <f>"30506419003"</f>
        <v>30506419003</v>
      </c>
      <c r="B5932" s="3">
        <v>4</v>
      </c>
      <c r="C5932" s="3">
        <v>190</v>
      </c>
      <c r="D5932" s="3">
        <v>3</v>
      </c>
      <c r="E5932" s="3" t="s">
        <v>12</v>
      </c>
      <c r="F5932" s="4">
        <v>47.5</v>
      </c>
      <c r="G5932" s="4"/>
      <c r="H5932" s="4">
        <f t="shared" si="604"/>
        <v>47.5</v>
      </c>
    </row>
    <row r="5933" ht="14.25" spans="1:8">
      <c r="A5933" s="3" t="str">
        <f>"30506419004"</f>
        <v>30506419004</v>
      </c>
      <c r="B5933" s="3">
        <v>4</v>
      </c>
      <c r="C5933" s="3">
        <v>190</v>
      </c>
      <c r="D5933" s="3">
        <v>4</v>
      </c>
      <c r="E5933" s="3" t="s">
        <v>12</v>
      </c>
      <c r="F5933" s="4">
        <v>53</v>
      </c>
      <c r="G5933" s="4"/>
      <c r="H5933" s="4">
        <f t="shared" si="604"/>
        <v>53</v>
      </c>
    </row>
    <row r="5934" ht="14.25" spans="1:8">
      <c r="A5934" s="3" t="str">
        <f>"30506419005"</f>
        <v>30506419005</v>
      </c>
      <c r="B5934" s="3">
        <v>4</v>
      </c>
      <c r="C5934" s="3">
        <v>190</v>
      </c>
      <c r="D5934" s="3">
        <v>5</v>
      </c>
      <c r="E5934" s="3" t="s">
        <v>12</v>
      </c>
      <c r="F5934" s="4">
        <v>58.5</v>
      </c>
      <c r="G5934" s="4"/>
      <c r="H5934" s="4">
        <f t="shared" si="604"/>
        <v>58.5</v>
      </c>
    </row>
    <row r="5935" ht="14.25" spans="1:8">
      <c r="A5935" s="3" t="str">
        <f>"30506419006"</f>
        <v>30506419006</v>
      </c>
      <c r="B5935" s="3">
        <v>4</v>
      </c>
      <c r="C5935" s="3">
        <v>190</v>
      </c>
      <c r="D5935" s="3">
        <v>6</v>
      </c>
      <c r="E5935" s="3" t="s">
        <v>12</v>
      </c>
      <c r="F5935" s="4">
        <v>52</v>
      </c>
      <c r="G5935" s="4"/>
      <c r="H5935" s="4">
        <f t="shared" si="604"/>
        <v>52</v>
      </c>
    </row>
    <row r="5936" ht="14.25" spans="1:8">
      <c r="A5936" s="3" t="str">
        <f>"30506419007"</f>
        <v>30506419007</v>
      </c>
      <c r="B5936" s="3">
        <v>4</v>
      </c>
      <c r="C5936" s="3">
        <v>190</v>
      </c>
      <c r="D5936" s="3">
        <v>7</v>
      </c>
      <c r="E5936" s="3" t="s">
        <v>12</v>
      </c>
      <c r="F5936" s="4">
        <v>55.5</v>
      </c>
      <c r="G5936" s="4"/>
      <c r="H5936" s="4">
        <f t="shared" si="604"/>
        <v>55.5</v>
      </c>
    </row>
    <row r="5937" ht="14.25" spans="1:8">
      <c r="A5937" s="3" t="str">
        <f>"30506419008"</f>
        <v>30506419008</v>
      </c>
      <c r="B5937" s="3">
        <v>4</v>
      </c>
      <c r="C5937" s="3">
        <v>190</v>
      </c>
      <c r="D5937" s="3">
        <v>8</v>
      </c>
      <c r="E5937" s="3" t="s">
        <v>12</v>
      </c>
      <c r="F5937" s="4">
        <v>50</v>
      </c>
      <c r="G5937" s="4"/>
      <c r="H5937" s="4">
        <f t="shared" si="604"/>
        <v>50</v>
      </c>
    </row>
    <row r="5938" ht="14.25" spans="1:8">
      <c r="A5938" s="3" t="str">
        <f>"30506419009"</f>
        <v>30506419009</v>
      </c>
      <c r="B5938" s="3">
        <v>4</v>
      </c>
      <c r="C5938" s="3">
        <v>190</v>
      </c>
      <c r="D5938" s="3">
        <v>9</v>
      </c>
      <c r="E5938" s="3" t="s">
        <v>12</v>
      </c>
      <c r="F5938" s="4">
        <v>68.5</v>
      </c>
      <c r="G5938" s="4"/>
      <c r="H5938" s="4">
        <f t="shared" si="604"/>
        <v>68.5</v>
      </c>
    </row>
    <row r="5939" ht="14.25" spans="1:8">
      <c r="A5939" s="3" t="str">
        <f>"30506419010"</f>
        <v>30506419010</v>
      </c>
      <c r="B5939" s="3">
        <v>4</v>
      </c>
      <c r="C5939" s="3">
        <v>190</v>
      </c>
      <c r="D5939" s="3">
        <v>10</v>
      </c>
      <c r="E5939" s="3" t="s">
        <v>12</v>
      </c>
      <c r="F5939" s="4">
        <v>42.5</v>
      </c>
      <c r="G5939" s="4"/>
      <c r="H5939" s="4">
        <f t="shared" si="604"/>
        <v>42.5</v>
      </c>
    </row>
    <row r="5940" ht="14.25" spans="1:8">
      <c r="A5940" s="3" t="str">
        <f>"30506419011"</f>
        <v>30506419011</v>
      </c>
      <c r="B5940" s="3">
        <v>4</v>
      </c>
      <c r="C5940" s="3">
        <v>190</v>
      </c>
      <c r="D5940" s="3">
        <v>11</v>
      </c>
      <c r="E5940" s="3" t="s">
        <v>12</v>
      </c>
      <c r="F5940" s="4">
        <v>54.5</v>
      </c>
      <c r="G5940" s="4"/>
      <c r="H5940" s="4">
        <f t="shared" si="604"/>
        <v>54.5</v>
      </c>
    </row>
    <row r="5941" ht="14.25" spans="1:8">
      <c r="A5941" s="3" t="str">
        <f>"30506419012"</f>
        <v>30506419012</v>
      </c>
      <c r="B5941" s="3">
        <v>4</v>
      </c>
      <c r="C5941" s="3">
        <v>190</v>
      </c>
      <c r="D5941" s="3">
        <v>12</v>
      </c>
      <c r="E5941" s="3" t="s">
        <v>12</v>
      </c>
      <c r="F5941" s="4">
        <v>76</v>
      </c>
      <c r="G5941" s="4"/>
      <c r="H5941" s="4">
        <f t="shared" si="604"/>
        <v>76</v>
      </c>
    </row>
    <row r="5942" ht="14.25" spans="1:8">
      <c r="A5942" s="3" t="str">
        <f>"30506419013"</f>
        <v>30506419013</v>
      </c>
      <c r="B5942" s="3">
        <v>4</v>
      </c>
      <c r="C5942" s="3">
        <v>190</v>
      </c>
      <c r="D5942" s="3">
        <v>13</v>
      </c>
      <c r="E5942" s="3" t="s">
        <v>12</v>
      </c>
      <c r="F5942" s="4">
        <v>56.5</v>
      </c>
      <c r="G5942" s="4"/>
      <c r="H5942" s="4">
        <f t="shared" si="604"/>
        <v>56.5</v>
      </c>
    </row>
    <row r="5943" ht="14.25" spans="1:8">
      <c r="A5943" s="3" t="str">
        <f>"30506419014"</f>
        <v>30506419014</v>
      </c>
      <c r="B5943" s="3">
        <v>4</v>
      </c>
      <c r="C5943" s="3">
        <v>190</v>
      </c>
      <c r="D5943" s="3">
        <v>14</v>
      </c>
      <c r="E5943" s="3" t="s">
        <v>12</v>
      </c>
      <c r="F5943" s="4">
        <v>56.5</v>
      </c>
      <c r="G5943" s="4"/>
      <c r="H5943" s="4">
        <f t="shared" si="604"/>
        <v>56.5</v>
      </c>
    </row>
    <row r="5944" ht="14.25" spans="1:8">
      <c r="A5944" s="3" t="str">
        <f>"30506419015"</f>
        <v>30506419015</v>
      </c>
      <c r="B5944" s="3">
        <v>4</v>
      </c>
      <c r="C5944" s="3">
        <v>190</v>
      </c>
      <c r="D5944" s="3">
        <v>15</v>
      </c>
      <c r="E5944" s="3" t="s">
        <v>12</v>
      </c>
      <c r="F5944" s="4">
        <v>76.5</v>
      </c>
      <c r="G5944" s="4"/>
      <c r="H5944" s="4">
        <f t="shared" si="604"/>
        <v>76.5</v>
      </c>
    </row>
    <row r="5945" ht="14.25" spans="1:8">
      <c r="A5945" s="3" t="str">
        <f>"30506419016"</f>
        <v>30506419016</v>
      </c>
      <c r="B5945" s="3">
        <v>4</v>
      </c>
      <c r="C5945" s="3">
        <v>190</v>
      </c>
      <c r="D5945" s="3">
        <v>16</v>
      </c>
      <c r="E5945" s="3" t="s">
        <v>12</v>
      </c>
      <c r="F5945" s="4">
        <v>84.5</v>
      </c>
      <c r="G5945" s="4"/>
      <c r="H5945" s="4">
        <f t="shared" si="604"/>
        <v>84.5</v>
      </c>
    </row>
    <row r="5946" ht="14.25" spans="1:8">
      <c r="A5946" s="3" t="str">
        <f>"30506419017"</f>
        <v>30506419017</v>
      </c>
      <c r="B5946" s="3">
        <v>4</v>
      </c>
      <c r="C5946" s="3">
        <v>190</v>
      </c>
      <c r="D5946" s="3">
        <v>17</v>
      </c>
      <c r="E5946" s="3" t="s">
        <v>12</v>
      </c>
      <c r="F5946" s="4">
        <v>68.5</v>
      </c>
      <c r="G5946" s="4"/>
      <c r="H5946" s="4">
        <f t="shared" si="604"/>
        <v>68.5</v>
      </c>
    </row>
    <row r="5947" ht="14.25" spans="1:8">
      <c r="A5947" s="3" t="str">
        <f>"30506419018"</f>
        <v>30506419018</v>
      </c>
      <c r="B5947" s="3">
        <v>4</v>
      </c>
      <c r="C5947" s="3">
        <v>190</v>
      </c>
      <c r="D5947" s="3">
        <v>18</v>
      </c>
      <c r="E5947" s="3" t="s">
        <v>12</v>
      </c>
      <c r="F5947" s="4">
        <v>55.5</v>
      </c>
      <c r="G5947" s="4"/>
      <c r="H5947" s="4">
        <f t="shared" si="604"/>
        <v>55.5</v>
      </c>
    </row>
    <row r="5948" ht="14.25" spans="1:8">
      <c r="A5948" s="3" t="str">
        <f>"30506419019"</f>
        <v>30506419019</v>
      </c>
      <c r="B5948" s="3">
        <v>4</v>
      </c>
      <c r="C5948" s="3">
        <v>190</v>
      </c>
      <c r="D5948" s="3">
        <v>19</v>
      </c>
      <c r="E5948" s="3" t="s">
        <v>12</v>
      </c>
      <c r="F5948" s="4">
        <v>68</v>
      </c>
      <c r="G5948" s="4"/>
      <c r="H5948" s="4">
        <f t="shared" si="604"/>
        <v>68</v>
      </c>
    </row>
    <row r="5949" ht="14.25" spans="1:8">
      <c r="A5949" s="3" t="str">
        <f>"30506419020"</f>
        <v>30506419020</v>
      </c>
      <c r="B5949" s="3">
        <v>4</v>
      </c>
      <c r="C5949" s="3">
        <v>190</v>
      </c>
      <c r="D5949" s="3">
        <v>20</v>
      </c>
      <c r="E5949" s="3" t="s">
        <v>12</v>
      </c>
      <c r="F5949" s="4">
        <v>65</v>
      </c>
      <c r="G5949" s="4"/>
      <c r="H5949" s="4">
        <f t="shared" si="604"/>
        <v>65</v>
      </c>
    </row>
    <row r="5950" ht="14.25" spans="1:8">
      <c r="A5950" s="3" t="str">
        <f>"30506419021"</f>
        <v>30506419021</v>
      </c>
      <c r="B5950" s="3">
        <v>4</v>
      </c>
      <c r="C5950" s="3">
        <v>190</v>
      </c>
      <c r="D5950" s="3">
        <v>21</v>
      </c>
      <c r="E5950" s="3" t="s">
        <v>12</v>
      </c>
      <c r="F5950" s="4">
        <v>62</v>
      </c>
      <c r="G5950" s="4"/>
      <c r="H5950" s="4">
        <f t="shared" si="604"/>
        <v>62</v>
      </c>
    </row>
    <row r="5951" ht="14.25" spans="1:8">
      <c r="A5951" s="3" t="str">
        <f>"30506419022"</f>
        <v>30506419022</v>
      </c>
      <c r="B5951" s="3">
        <v>4</v>
      </c>
      <c r="C5951" s="3">
        <v>190</v>
      </c>
      <c r="D5951" s="3">
        <v>22</v>
      </c>
      <c r="E5951" s="3" t="s">
        <v>12</v>
      </c>
      <c r="F5951" s="4">
        <v>60.5</v>
      </c>
      <c r="G5951" s="4"/>
      <c r="H5951" s="4">
        <f t="shared" si="604"/>
        <v>60.5</v>
      </c>
    </row>
    <row r="5952" ht="14.25" spans="1:8">
      <c r="A5952" s="3" t="str">
        <f>"30506419023"</f>
        <v>30506419023</v>
      </c>
      <c r="B5952" s="3">
        <v>4</v>
      </c>
      <c r="C5952" s="3">
        <v>190</v>
      </c>
      <c r="D5952" s="3">
        <v>23</v>
      </c>
      <c r="E5952" s="3" t="s">
        <v>12</v>
      </c>
      <c r="F5952" s="4">
        <v>60.5</v>
      </c>
      <c r="G5952" s="4"/>
      <c r="H5952" s="4">
        <f t="shared" si="604"/>
        <v>60.5</v>
      </c>
    </row>
    <row r="5953" ht="14.25" spans="1:8">
      <c r="A5953" s="3" t="str">
        <f>"30506419024"</f>
        <v>30506419024</v>
      </c>
      <c r="B5953" s="3">
        <v>4</v>
      </c>
      <c r="C5953" s="3">
        <v>190</v>
      </c>
      <c r="D5953" s="3">
        <v>24</v>
      </c>
      <c r="E5953" s="3" t="s">
        <v>12</v>
      </c>
      <c r="F5953" s="4">
        <v>69.5</v>
      </c>
      <c r="G5953" s="4"/>
      <c r="H5953" s="4">
        <f t="shared" si="604"/>
        <v>69.5</v>
      </c>
    </row>
    <row r="5954" ht="14.25" spans="1:8">
      <c r="A5954" s="3" t="str">
        <f>"30506419025"</f>
        <v>30506419025</v>
      </c>
      <c r="B5954" s="3">
        <v>4</v>
      </c>
      <c r="C5954" s="3">
        <v>190</v>
      </c>
      <c r="D5954" s="3">
        <v>25</v>
      </c>
      <c r="E5954" s="3" t="s">
        <v>12</v>
      </c>
      <c r="F5954" s="4">
        <v>55</v>
      </c>
      <c r="G5954" s="4"/>
      <c r="H5954" s="4">
        <f t="shared" si="604"/>
        <v>55</v>
      </c>
    </row>
    <row r="5955" ht="14.25" spans="1:8">
      <c r="A5955" s="3" t="str">
        <f>"30506419026"</f>
        <v>30506419026</v>
      </c>
      <c r="B5955" s="3">
        <v>4</v>
      </c>
      <c r="C5955" s="3">
        <v>190</v>
      </c>
      <c r="D5955" s="3">
        <v>26</v>
      </c>
      <c r="E5955" s="3" t="s">
        <v>12</v>
      </c>
      <c r="F5955" s="4">
        <v>75</v>
      </c>
      <c r="G5955" s="4"/>
      <c r="H5955" s="4">
        <f t="shared" si="604"/>
        <v>75</v>
      </c>
    </row>
    <row r="5956" ht="14.25" spans="1:8">
      <c r="A5956" s="3" t="str">
        <f>"30506419027"</f>
        <v>30506419027</v>
      </c>
      <c r="B5956" s="3">
        <v>4</v>
      </c>
      <c r="C5956" s="3">
        <v>190</v>
      </c>
      <c r="D5956" s="3">
        <v>27</v>
      </c>
      <c r="E5956" s="3" t="s">
        <v>12</v>
      </c>
      <c r="F5956" s="4">
        <v>56</v>
      </c>
      <c r="G5956" s="4"/>
      <c r="H5956" s="4">
        <f t="shared" si="604"/>
        <v>56</v>
      </c>
    </row>
    <row r="5957" ht="14.25" spans="1:8">
      <c r="A5957" s="3" t="str">
        <f>"30506419028"</f>
        <v>30506419028</v>
      </c>
      <c r="B5957" s="3">
        <v>4</v>
      </c>
      <c r="C5957" s="3">
        <v>190</v>
      </c>
      <c r="D5957" s="3">
        <v>28</v>
      </c>
      <c r="E5957" s="3" t="s">
        <v>12</v>
      </c>
      <c r="F5957" s="3">
        <v>0</v>
      </c>
      <c r="G5957" s="4"/>
      <c r="H5957" s="3">
        <v>0</v>
      </c>
    </row>
    <row r="5958" ht="14.25" spans="1:8">
      <c r="A5958" s="3" t="str">
        <f>"30506419029"</f>
        <v>30506419029</v>
      </c>
      <c r="B5958" s="3">
        <v>4</v>
      </c>
      <c r="C5958" s="3">
        <v>190</v>
      </c>
      <c r="D5958" s="3">
        <v>29</v>
      </c>
      <c r="E5958" s="3" t="s">
        <v>12</v>
      </c>
      <c r="F5958" s="3">
        <v>0</v>
      </c>
      <c r="G5958" s="4"/>
      <c r="H5958" s="3">
        <v>0</v>
      </c>
    </row>
    <row r="5959" ht="14.25" spans="1:8">
      <c r="A5959" s="3" t="str">
        <f>"30506419030"</f>
        <v>30506419030</v>
      </c>
      <c r="B5959" s="3">
        <v>4</v>
      </c>
      <c r="C5959" s="3">
        <v>190</v>
      </c>
      <c r="D5959" s="3">
        <v>30</v>
      </c>
      <c r="E5959" s="3" t="s">
        <v>12</v>
      </c>
      <c r="F5959" s="4">
        <v>70</v>
      </c>
      <c r="G5959" s="4"/>
      <c r="H5959" s="4">
        <f t="shared" ref="H5959:H5979" si="605">F5959+G5959</f>
        <v>70</v>
      </c>
    </row>
    <row r="5960" ht="14.25" spans="1:8">
      <c r="A5960" s="3" t="str">
        <f>"30506519101"</f>
        <v>30506519101</v>
      </c>
      <c r="B5960" s="3">
        <v>5</v>
      </c>
      <c r="C5960" s="3">
        <v>191</v>
      </c>
      <c r="D5960" s="3">
        <v>1</v>
      </c>
      <c r="E5960" s="3" t="s">
        <v>9</v>
      </c>
      <c r="F5960" s="4">
        <v>51</v>
      </c>
      <c r="G5960" s="4"/>
      <c r="H5960" s="4">
        <f t="shared" si="605"/>
        <v>51</v>
      </c>
    </row>
    <row r="5961" ht="14.25" spans="1:8">
      <c r="A5961" s="3" t="str">
        <f>"30506519102"</f>
        <v>30506519102</v>
      </c>
      <c r="B5961" s="3">
        <v>5</v>
      </c>
      <c r="C5961" s="3">
        <v>191</v>
      </c>
      <c r="D5961" s="3">
        <v>2</v>
      </c>
      <c r="E5961" s="3" t="s">
        <v>9</v>
      </c>
      <c r="F5961" s="4">
        <v>85.5</v>
      </c>
      <c r="G5961" s="4"/>
      <c r="H5961" s="4">
        <f t="shared" si="605"/>
        <v>85.5</v>
      </c>
    </row>
    <row r="5962" ht="14.25" spans="1:8">
      <c r="A5962" s="3" t="str">
        <f>"30506519103"</f>
        <v>30506519103</v>
      </c>
      <c r="B5962" s="3">
        <v>5</v>
      </c>
      <c r="C5962" s="3">
        <v>191</v>
      </c>
      <c r="D5962" s="3">
        <v>3</v>
      </c>
      <c r="E5962" s="3" t="s">
        <v>9</v>
      </c>
      <c r="F5962" s="4">
        <v>55</v>
      </c>
      <c r="G5962" s="4"/>
      <c r="H5962" s="4">
        <f t="shared" si="605"/>
        <v>55</v>
      </c>
    </row>
    <row r="5963" ht="14.25" spans="1:8">
      <c r="A5963" s="3" t="str">
        <f>"30506519104"</f>
        <v>30506519104</v>
      </c>
      <c r="B5963" s="3">
        <v>5</v>
      </c>
      <c r="C5963" s="3">
        <v>191</v>
      </c>
      <c r="D5963" s="3">
        <v>4</v>
      </c>
      <c r="E5963" s="3" t="s">
        <v>9</v>
      </c>
      <c r="F5963" s="4">
        <v>53</v>
      </c>
      <c r="G5963" s="4"/>
      <c r="H5963" s="4">
        <f t="shared" si="605"/>
        <v>53</v>
      </c>
    </row>
    <row r="5964" ht="14.25" spans="1:8">
      <c r="A5964" s="3" t="str">
        <f>"30506519105"</f>
        <v>30506519105</v>
      </c>
      <c r="B5964" s="3">
        <v>5</v>
      </c>
      <c r="C5964" s="3">
        <v>191</v>
      </c>
      <c r="D5964" s="3">
        <v>5</v>
      </c>
      <c r="E5964" s="3" t="s">
        <v>9</v>
      </c>
      <c r="F5964" s="4">
        <v>66</v>
      </c>
      <c r="G5964" s="4"/>
      <c r="H5964" s="4">
        <f t="shared" si="605"/>
        <v>66</v>
      </c>
    </row>
    <row r="5965" ht="14.25" spans="1:8">
      <c r="A5965" s="3" t="str">
        <f>"30506519106"</f>
        <v>30506519106</v>
      </c>
      <c r="B5965" s="3">
        <v>5</v>
      </c>
      <c r="C5965" s="3">
        <v>191</v>
      </c>
      <c r="D5965" s="3">
        <v>6</v>
      </c>
      <c r="E5965" s="3" t="s">
        <v>9</v>
      </c>
      <c r="F5965" s="4">
        <v>55</v>
      </c>
      <c r="G5965" s="4"/>
      <c r="H5965" s="4">
        <f t="shared" si="605"/>
        <v>55</v>
      </c>
    </row>
    <row r="5966" ht="14.25" spans="1:8">
      <c r="A5966" s="3" t="str">
        <f>"30506519107"</f>
        <v>30506519107</v>
      </c>
      <c r="B5966" s="3">
        <v>5</v>
      </c>
      <c r="C5966" s="3">
        <v>191</v>
      </c>
      <c r="D5966" s="3">
        <v>7</v>
      </c>
      <c r="E5966" s="3" t="s">
        <v>9</v>
      </c>
      <c r="F5966" s="4">
        <v>45</v>
      </c>
      <c r="G5966" s="4"/>
      <c r="H5966" s="4">
        <f t="shared" si="605"/>
        <v>45</v>
      </c>
    </row>
    <row r="5967" ht="14.25" spans="1:8">
      <c r="A5967" s="3" t="str">
        <f>"30506519108"</f>
        <v>30506519108</v>
      </c>
      <c r="B5967" s="3">
        <v>5</v>
      </c>
      <c r="C5967" s="3">
        <v>191</v>
      </c>
      <c r="D5967" s="3">
        <v>8</v>
      </c>
      <c r="E5967" s="3" t="s">
        <v>9</v>
      </c>
      <c r="F5967" s="4">
        <v>63</v>
      </c>
      <c r="G5967" s="4"/>
      <c r="H5967" s="4">
        <f t="shared" si="605"/>
        <v>63</v>
      </c>
    </row>
    <row r="5968" ht="14.25" spans="1:8">
      <c r="A5968" s="3" t="str">
        <f>"30506519109"</f>
        <v>30506519109</v>
      </c>
      <c r="B5968" s="3">
        <v>5</v>
      </c>
      <c r="C5968" s="3">
        <v>191</v>
      </c>
      <c r="D5968" s="3">
        <v>9</v>
      </c>
      <c r="E5968" s="3" t="s">
        <v>9</v>
      </c>
      <c r="F5968" s="4">
        <v>60</v>
      </c>
      <c r="G5968" s="4"/>
      <c r="H5968" s="4">
        <f t="shared" si="605"/>
        <v>60</v>
      </c>
    </row>
    <row r="5969" ht="14.25" spans="1:8">
      <c r="A5969" s="3" t="str">
        <f>"30506519110"</f>
        <v>30506519110</v>
      </c>
      <c r="B5969" s="3">
        <v>5</v>
      </c>
      <c r="C5969" s="3">
        <v>191</v>
      </c>
      <c r="D5969" s="3">
        <v>10</v>
      </c>
      <c r="E5969" s="3" t="s">
        <v>9</v>
      </c>
      <c r="F5969" s="4">
        <v>65.5</v>
      </c>
      <c r="G5969" s="4"/>
      <c r="H5969" s="4">
        <f t="shared" si="605"/>
        <v>65.5</v>
      </c>
    </row>
    <row r="5970" ht="14.25" spans="1:8">
      <c r="A5970" s="3" t="str">
        <f>"30506519111"</f>
        <v>30506519111</v>
      </c>
      <c r="B5970" s="3">
        <v>5</v>
      </c>
      <c r="C5970" s="3">
        <v>191</v>
      </c>
      <c r="D5970" s="3">
        <v>11</v>
      </c>
      <c r="E5970" s="3" t="s">
        <v>9</v>
      </c>
      <c r="F5970" s="4">
        <v>55</v>
      </c>
      <c r="G5970" s="4"/>
      <c r="H5970" s="4">
        <f t="shared" si="605"/>
        <v>55</v>
      </c>
    </row>
    <row r="5971" ht="14.25" spans="1:8">
      <c r="A5971" s="3" t="str">
        <f>"30506519112"</f>
        <v>30506519112</v>
      </c>
      <c r="B5971" s="3">
        <v>5</v>
      </c>
      <c r="C5971" s="3">
        <v>191</v>
      </c>
      <c r="D5971" s="3">
        <v>12</v>
      </c>
      <c r="E5971" s="3" t="s">
        <v>9</v>
      </c>
      <c r="F5971" s="4">
        <v>55.5</v>
      </c>
      <c r="G5971" s="4"/>
      <c r="H5971" s="4">
        <f t="shared" si="605"/>
        <v>55.5</v>
      </c>
    </row>
    <row r="5972" ht="14.25" spans="1:8">
      <c r="A5972" s="3" t="str">
        <f>"30506519113"</f>
        <v>30506519113</v>
      </c>
      <c r="B5972" s="3">
        <v>5</v>
      </c>
      <c r="C5972" s="3">
        <v>191</v>
      </c>
      <c r="D5972" s="3">
        <v>13</v>
      </c>
      <c r="E5972" s="3" t="s">
        <v>9</v>
      </c>
      <c r="F5972" s="4">
        <v>60</v>
      </c>
      <c r="G5972" s="4"/>
      <c r="H5972" s="4">
        <f t="shared" si="605"/>
        <v>60</v>
      </c>
    </row>
    <row r="5973" ht="14.25" spans="1:8">
      <c r="A5973" s="3" t="str">
        <f>"30506519114"</f>
        <v>30506519114</v>
      </c>
      <c r="B5973" s="3">
        <v>5</v>
      </c>
      <c r="C5973" s="3">
        <v>191</v>
      </c>
      <c r="D5973" s="3">
        <v>14</v>
      </c>
      <c r="E5973" s="3" t="s">
        <v>9</v>
      </c>
      <c r="F5973" s="4">
        <v>57</v>
      </c>
      <c r="G5973" s="4"/>
      <c r="H5973" s="4">
        <f t="shared" si="605"/>
        <v>57</v>
      </c>
    </row>
    <row r="5974" ht="14.25" spans="1:8">
      <c r="A5974" s="3" t="str">
        <f>"30506519115"</f>
        <v>30506519115</v>
      </c>
      <c r="B5974" s="3">
        <v>5</v>
      </c>
      <c r="C5974" s="3">
        <v>191</v>
      </c>
      <c r="D5974" s="3">
        <v>15</v>
      </c>
      <c r="E5974" s="3" t="s">
        <v>9</v>
      </c>
      <c r="F5974" s="4">
        <v>80</v>
      </c>
      <c r="G5974" s="4"/>
      <c r="H5974" s="4">
        <f t="shared" si="605"/>
        <v>80</v>
      </c>
    </row>
    <row r="5975" ht="14.25" spans="1:8">
      <c r="A5975" s="3" t="str">
        <f>"30506519116"</f>
        <v>30506519116</v>
      </c>
      <c r="B5975" s="3">
        <v>5</v>
      </c>
      <c r="C5975" s="3">
        <v>191</v>
      </c>
      <c r="D5975" s="3">
        <v>16</v>
      </c>
      <c r="E5975" s="3" t="s">
        <v>9</v>
      </c>
      <c r="F5975" s="4">
        <v>59</v>
      </c>
      <c r="G5975" s="4"/>
      <c r="H5975" s="4">
        <f t="shared" si="605"/>
        <v>59</v>
      </c>
    </row>
    <row r="5976" ht="14.25" spans="1:8">
      <c r="A5976" s="3" t="str">
        <f>"30506519117"</f>
        <v>30506519117</v>
      </c>
      <c r="B5976" s="3">
        <v>5</v>
      </c>
      <c r="C5976" s="3">
        <v>191</v>
      </c>
      <c r="D5976" s="3">
        <v>17</v>
      </c>
      <c r="E5976" s="3" t="s">
        <v>9</v>
      </c>
      <c r="F5976" s="4">
        <v>81.5</v>
      </c>
      <c r="G5976" s="4"/>
      <c r="H5976" s="4">
        <f t="shared" si="605"/>
        <v>81.5</v>
      </c>
    </row>
    <row r="5977" ht="14.25" spans="1:8">
      <c r="A5977" s="3" t="str">
        <f>"30506519118"</f>
        <v>30506519118</v>
      </c>
      <c r="B5977" s="3">
        <v>5</v>
      </c>
      <c r="C5977" s="3">
        <v>191</v>
      </c>
      <c r="D5977" s="3">
        <v>18</v>
      </c>
      <c r="E5977" s="3" t="s">
        <v>9</v>
      </c>
      <c r="F5977" s="4">
        <v>56</v>
      </c>
      <c r="G5977" s="4"/>
      <c r="H5977" s="4">
        <f t="shared" si="605"/>
        <v>56</v>
      </c>
    </row>
    <row r="5978" ht="14.25" spans="1:8">
      <c r="A5978" s="3" t="str">
        <f>"30506519119"</f>
        <v>30506519119</v>
      </c>
      <c r="B5978" s="3">
        <v>5</v>
      </c>
      <c r="C5978" s="3">
        <v>191</v>
      </c>
      <c r="D5978" s="3">
        <v>19</v>
      </c>
      <c r="E5978" s="3" t="s">
        <v>9</v>
      </c>
      <c r="F5978" s="4">
        <v>74</v>
      </c>
      <c r="G5978" s="4"/>
      <c r="H5978" s="4">
        <f t="shared" si="605"/>
        <v>74</v>
      </c>
    </row>
    <row r="5979" ht="14.25" spans="1:8">
      <c r="A5979" s="3" t="str">
        <f>"30507519120"</f>
        <v>30507519120</v>
      </c>
      <c r="B5979" s="3">
        <v>5</v>
      </c>
      <c r="C5979" s="3">
        <v>191</v>
      </c>
      <c r="D5979" s="3">
        <v>20</v>
      </c>
      <c r="E5979" s="3" t="s">
        <v>9</v>
      </c>
      <c r="F5979" s="4">
        <v>77</v>
      </c>
      <c r="G5979" s="4"/>
      <c r="H5979" s="4">
        <f t="shared" si="605"/>
        <v>77</v>
      </c>
    </row>
    <row r="5980" ht="14.25" spans="1:8">
      <c r="A5980" s="3" t="str">
        <f>"30507519121"</f>
        <v>30507519121</v>
      </c>
      <c r="B5980" s="3">
        <v>5</v>
      </c>
      <c r="C5980" s="3">
        <v>191</v>
      </c>
      <c r="D5980" s="3">
        <v>21</v>
      </c>
      <c r="E5980" s="3" t="s">
        <v>9</v>
      </c>
      <c r="F5980" s="3">
        <v>0</v>
      </c>
      <c r="G5980" s="4"/>
      <c r="H5980" s="3">
        <v>0</v>
      </c>
    </row>
    <row r="5981" ht="14.25" spans="1:8">
      <c r="A5981" s="3" t="str">
        <f>"30507519122"</f>
        <v>30507519122</v>
      </c>
      <c r="B5981" s="3">
        <v>5</v>
      </c>
      <c r="C5981" s="3">
        <v>191</v>
      </c>
      <c r="D5981" s="3">
        <v>22</v>
      </c>
      <c r="E5981" s="3" t="s">
        <v>9</v>
      </c>
      <c r="F5981" s="4">
        <v>59.5</v>
      </c>
      <c r="G5981" s="4"/>
      <c r="H5981" s="4">
        <f t="shared" ref="H5981:H6042" si="606">F5981+G5981</f>
        <v>59.5</v>
      </c>
    </row>
    <row r="5982" ht="14.25" spans="1:8">
      <c r="A5982" s="3" t="str">
        <f>"30507519123"</f>
        <v>30507519123</v>
      </c>
      <c r="B5982" s="3">
        <v>5</v>
      </c>
      <c r="C5982" s="3">
        <v>191</v>
      </c>
      <c r="D5982" s="3">
        <v>23</v>
      </c>
      <c r="E5982" s="3" t="s">
        <v>9</v>
      </c>
      <c r="F5982" s="4">
        <v>80.5</v>
      </c>
      <c r="G5982" s="4"/>
      <c r="H5982" s="4">
        <f t="shared" si="606"/>
        <v>80.5</v>
      </c>
    </row>
    <row r="5983" ht="14.25" spans="1:8">
      <c r="A5983" s="3" t="str">
        <f>"30507519124"</f>
        <v>30507519124</v>
      </c>
      <c r="B5983" s="3">
        <v>5</v>
      </c>
      <c r="C5983" s="3">
        <v>191</v>
      </c>
      <c r="D5983" s="3">
        <v>24</v>
      </c>
      <c r="E5983" s="3" t="s">
        <v>9</v>
      </c>
      <c r="F5983" s="4">
        <v>46.5</v>
      </c>
      <c r="G5983" s="4"/>
      <c r="H5983" s="4">
        <f t="shared" si="606"/>
        <v>46.5</v>
      </c>
    </row>
    <row r="5984" ht="14.25" spans="1:8">
      <c r="A5984" s="3" t="str">
        <f>"30507519125"</f>
        <v>30507519125</v>
      </c>
      <c r="B5984" s="3">
        <v>5</v>
      </c>
      <c r="C5984" s="3">
        <v>191</v>
      </c>
      <c r="D5984" s="3">
        <v>25</v>
      </c>
      <c r="E5984" s="3" t="s">
        <v>9</v>
      </c>
      <c r="F5984" s="4">
        <v>70</v>
      </c>
      <c r="G5984" s="4"/>
      <c r="H5984" s="4">
        <f t="shared" si="606"/>
        <v>70</v>
      </c>
    </row>
    <row r="5985" ht="14.25" spans="1:8">
      <c r="A5985" s="3" t="str">
        <f>"30507519126"</f>
        <v>30507519126</v>
      </c>
      <c r="B5985" s="3">
        <v>5</v>
      </c>
      <c r="C5985" s="3">
        <v>191</v>
      </c>
      <c r="D5985" s="3">
        <v>26</v>
      </c>
      <c r="E5985" s="3" t="s">
        <v>9</v>
      </c>
      <c r="F5985" s="4">
        <v>40</v>
      </c>
      <c r="G5985" s="4"/>
      <c r="H5985" s="4">
        <f t="shared" si="606"/>
        <v>40</v>
      </c>
    </row>
    <row r="5986" ht="14.25" spans="1:8">
      <c r="A5986" s="3" t="str">
        <f>"30507519127"</f>
        <v>30507519127</v>
      </c>
      <c r="B5986" s="3">
        <v>5</v>
      </c>
      <c r="C5986" s="3">
        <v>191</v>
      </c>
      <c r="D5986" s="3">
        <v>27</v>
      </c>
      <c r="E5986" s="3" t="s">
        <v>9</v>
      </c>
      <c r="F5986" s="4">
        <v>63</v>
      </c>
      <c r="G5986" s="4"/>
      <c r="H5986" s="4">
        <f t="shared" si="606"/>
        <v>63</v>
      </c>
    </row>
    <row r="5987" ht="14.25" spans="1:8">
      <c r="A5987" s="3" t="str">
        <f>"30601519128"</f>
        <v>30601519128</v>
      </c>
      <c r="B5987" s="3">
        <v>5</v>
      </c>
      <c r="C5987" s="3">
        <v>191</v>
      </c>
      <c r="D5987" s="3">
        <v>28</v>
      </c>
      <c r="E5987" s="3" t="s">
        <v>9</v>
      </c>
      <c r="F5987" s="4">
        <v>66.5</v>
      </c>
      <c r="G5987" s="4"/>
      <c r="H5987" s="4">
        <f t="shared" si="606"/>
        <v>66.5</v>
      </c>
    </row>
    <row r="5988" ht="14.25" spans="1:8">
      <c r="A5988" s="3" t="str">
        <f>"30601519129"</f>
        <v>30601519129</v>
      </c>
      <c r="B5988" s="3">
        <v>5</v>
      </c>
      <c r="C5988" s="3">
        <v>191</v>
      </c>
      <c r="D5988" s="3">
        <v>29</v>
      </c>
      <c r="E5988" s="3" t="s">
        <v>9</v>
      </c>
      <c r="F5988" s="4">
        <v>86</v>
      </c>
      <c r="G5988" s="4"/>
      <c r="H5988" s="4">
        <f t="shared" si="606"/>
        <v>86</v>
      </c>
    </row>
    <row r="5989" ht="14.25" spans="1:8">
      <c r="A5989" s="3" t="str">
        <f>"30601519130"</f>
        <v>30601519130</v>
      </c>
      <c r="B5989" s="3">
        <v>5</v>
      </c>
      <c r="C5989" s="3">
        <v>191</v>
      </c>
      <c r="D5989" s="3">
        <v>30</v>
      </c>
      <c r="E5989" s="3" t="s">
        <v>9</v>
      </c>
      <c r="F5989" s="4">
        <v>59.5</v>
      </c>
      <c r="G5989" s="4"/>
      <c r="H5989" s="4">
        <f t="shared" si="606"/>
        <v>59.5</v>
      </c>
    </row>
    <row r="5990" ht="14.25" spans="1:8">
      <c r="A5990" s="3" t="str">
        <f>"30601519201"</f>
        <v>30601519201</v>
      </c>
      <c r="B5990" s="3">
        <v>5</v>
      </c>
      <c r="C5990" s="3">
        <v>192</v>
      </c>
      <c r="D5990" s="3">
        <v>1</v>
      </c>
      <c r="E5990" s="3" t="s">
        <v>9</v>
      </c>
      <c r="F5990" s="4">
        <v>50</v>
      </c>
      <c r="G5990" s="4"/>
      <c r="H5990" s="4">
        <f t="shared" si="606"/>
        <v>50</v>
      </c>
    </row>
    <row r="5991" ht="14.25" spans="1:8">
      <c r="A5991" s="3" t="str">
        <f>"30601519202"</f>
        <v>30601519202</v>
      </c>
      <c r="B5991" s="3">
        <v>5</v>
      </c>
      <c r="C5991" s="3">
        <v>192</v>
      </c>
      <c r="D5991" s="3">
        <v>2</v>
      </c>
      <c r="E5991" s="3" t="s">
        <v>9</v>
      </c>
      <c r="F5991" s="4">
        <v>82</v>
      </c>
      <c r="G5991" s="4"/>
      <c r="H5991" s="4">
        <f t="shared" si="606"/>
        <v>82</v>
      </c>
    </row>
    <row r="5992" ht="14.25" spans="1:8">
      <c r="A5992" s="3" t="str">
        <f>"30601519203"</f>
        <v>30601519203</v>
      </c>
      <c r="B5992" s="3">
        <v>5</v>
      </c>
      <c r="C5992" s="3">
        <v>192</v>
      </c>
      <c r="D5992" s="3">
        <v>3</v>
      </c>
      <c r="E5992" s="3" t="s">
        <v>9</v>
      </c>
      <c r="F5992" s="4">
        <v>83</v>
      </c>
      <c r="G5992" s="4"/>
      <c r="H5992" s="4">
        <f t="shared" si="606"/>
        <v>83</v>
      </c>
    </row>
    <row r="5993" ht="14.25" spans="1:8">
      <c r="A5993" s="3" t="str">
        <f>"30601519204"</f>
        <v>30601519204</v>
      </c>
      <c r="B5993" s="3">
        <v>5</v>
      </c>
      <c r="C5993" s="3">
        <v>192</v>
      </c>
      <c r="D5993" s="3">
        <v>4</v>
      </c>
      <c r="E5993" s="3" t="s">
        <v>9</v>
      </c>
      <c r="F5993" s="4">
        <v>61.5</v>
      </c>
      <c r="G5993" s="4"/>
      <c r="H5993" s="4">
        <f t="shared" si="606"/>
        <v>61.5</v>
      </c>
    </row>
    <row r="5994" ht="14.25" spans="1:8">
      <c r="A5994" s="3" t="str">
        <f>"30601519205"</f>
        <v>30601519205</v>
      </c>
      <c r="B5994" s="3">
        <v>5</v>
      </c>
      <c r="C5994" s="3">
        <v>192</v>
      </c>
      <c r="D5994" s="3">
        <v>5</v>
      </c>
      <c r="E5994" s="3" t="s">
        <v>9</v>
      </c>
      <c r="F5994" s="4">
        <v>83</v>
      </c>
      <c r="G5994" s="4"/>
      <c r="H5994" s="4">
        <f t="shared" si="606"/>
        <v>83</v>
      </c>
    </row>
    <row r="5995" ht="14.25" spans="1:8">
      <c r="A5995" s="3" t="str">
        <f>"30601519206"</f>
        <v>30601519206</v>
      </c>
      <c r="B5995" s="3">
        <v>5</v>
      </c>
      <c r="C5995" s="3">
        <v>192</v>
      </c>
      <c r="D5995" s="3">
        <v>6</v>
      </c>
      <c r="E5995" s="3" t="s">
        <v>9</v>
      </c>
      <c r="F5995" s="4">
        <v>69.5</v>
      </c>
      <c r="G5995" s="4"/>
      <c r="H5995" s="4">
        <f t="shared" si="606"/>
        <v>69.5</v>
      </c>
    </row>
    <row r="5996" ht="14.25" spans="1:8">
      <c r="A5996" s="3" t="str">
        <f>"30601519207"</f>
        <v>30601519207</v>
      </c>
      <c r="B5996" s="3">
        <v>5</v>
      </c>
      <c r="C5996" s="3">
        <v>192</v>
      </c>
      <c r="D5996" s="3">
        <v>7</v>
      </c>
      <c r="E5996" s="3" t="s">
        <v>9</v>
      </c>
      <c r="F5996" s="4">
        <v>68</v>
      </c>
      <c r="G5996" s="4"/>
      <c r="H5996" s="4">
        <f t="shared" si="606"/>
        <v>68</v>
      </c>
    </row>
    <row r="5997" ht="14.25" spans="1:8">
      <c r="A5997" s="3" t="str">
        <f>"30601519208"</f>
        <v>30601519208</v>
      </c>
      <c r="B5997" s="3">
        <v>5</v>
      </c>
      <c r="C5997" s="3">
        <v>192</v>
      </c>
      <c r="D5997" s="3">
        <v>8</v>
      </c>
      <c r="E5997" s="3" t="s">
        <v>9</v>
      </c>
      <c r="F5997" s="4">
        <v>79</v>
      </c>
      <c r="G5997" s="4"/>
      <c r="H5997" s="4">
        <f t="shared" si="606"/>
        <v>79</v>
      </c>
    </row>
    <row r="5998" ht="14.25" spans="1:8">
      <c r="A5998" s="3" t="str">
        <f>"30601519209"</f>
        <v>30601519209</v>
      </c>
      <c r="B5998" s="3">
        <v>5</v>
      </c>
      <c r="C5998" s="3">
        <v>192</v>
      </c>
      <c r="D5998" s="3">
        <v>9</v>
      </c>
      <c r="E5998" s="3" t="s">
        <v>9</v>
      </c>
      <c r="F5998" s="4">
        <v>70</v>
      </c>
      <c r="G5998" s="4"/>
      <c r="H5998" s="4">
        <f t="shared" si="606"/>
        <v>70</v>
      </c>
    </row>
    <row r="5999" ht="14.25" spans="1:8">
      <c r="A5999" s="3" t="str">
        <f>"30601519210"</f>
        <v>30601519210</v>
      </c>
      <c r="B5999" s="3">
        <v>5</v>
      </c>
      <c r="C5999" s="3">
        <v>192</v>
      </c>
      <c r="D5999" s="3">
        <v>10</v>
      </c>
      <c r="E5999" s="3" t="s">
        <v>9</v>
      </c>
      <c r="F5999" s="4">
        <v>62.5</v>
      </c>
      <c r="G5999" s="4"/>
      <c r="H5999" s="4">
        <f t="shared" si="606"/>
        <v>62.5</v>
      </c>
    </row>
    <row r="6000" ht="14.25" spans="1:8">
      <c r="A6000" s="3" t="str">
        <f>"30601519211"</f>
        <v>30601519211</v>
      </c>
      <c r="B6000" s="3">
        <v>5</v>
      </c>
      <c r="C6000" s="3">
        <v>192</v>
      </c>
      <c r="D6000" s="3">
        <v>11</v>
      </c>
      <c r="E6000" s="3" t="s">
        <v>9</v>
      </c>
      <c r="F6000" s="4">
        <v>78</v>
      </c>
      <c r="G6000" s="4"/>
      <c r="H6000" s="4">
        <f t="shared" si="606"/>
        <v>78</v>
      </c>
    </row>
    <row r="6001" ht="14.25" spans="1:8">
      <c r="A6001" s="3" t="str">
        <f>"30601519212"</f>
        <v>30601519212</v>
      </c>
      <c r="B6001" s="3">
        <v>5</v>
      </c>
      <c r="C6001" s="3">
        <v>192</v>
      </c>
      <c r="D6001" s="3">
        <v>12</v>
      </c>
      <c r="E6001" s="3" t="s">
        <v>9</v>
      </c>
      <c r="F6001" s="4">
        <v>85.5</v>
      </c>
      <c r="G6001" s="4"/>
      <c r="H6001" s="4">
        <f t="shared" si="606"/>
        <v>85.5</v>
      </c>
    </row>
    <row r="6002" ht="14.25" spans="1:8">
      <c r="A6002" s="3" t="str">
        <f>"30601519213"</f>
        <v>30601519213</v>
      </c>
      <c r="B6002" s="3">
        <v>5</v>
      </c>
      <c r="C6002" s="3">
        <v>192</v>
      </c>
      <c r="D6002" s="3">
        <v>13</v>
      </c>
      <c r="E6002" s="3" t="s">
        <v>9</v>
      </c>
      <c r="F6002" s="4">
        <v>53</v>
      </c>
      <c r="G6002" s="4"/>
      <c r="H6002" s="4">
        <f t="shared" si="606"/>
        <v>53</v>
      </c>
    </row>
    <row r="6003" ht="14.25" spans="1:8">
      <c r="A6003" s="3" t="str">
        <f>"30601519214"</f>
        <v>30601519214</v>
      </c>
      <c r="B6003" s="3">
        <v>5</v>
      </c>
      <c r="C6003" s="3">
        <v>192</v>
      </c>
      <c r="D6003" s="3">
        <v>14</v>
      </c>
      <c r="E6003" s="3" t="s">
        <v>9</v>
      </c>
      <c r="F6003" s="4">
        <v>68.5</v>
      </c>
      <c r="G6003" s="4"/>
      <c r="H6003" s="4">
        <f t="shared" si="606"/>
        <v>68.5</v>
      </c>
    </row>
    <row r="6004" ht="14.25" spans="1:8">
      <c r="A6004" s="3" t="str">
        <f>"30601519215"</f>
        <v>30601519215</v>
      </c>
      <c r="B6004" s="3">
        <v>5</v>
      </c>
      <c r="C6004" s="3">
        <v>192</v>
      </c>
      <c r="D6004" s="3">
        <v>15</v>
      </c>
      <c r="E6004" s="3" t="s">
        <v>9</v>
      </c>
      <c r="F6004" s="4">
        <v>75.5</v>
      </c>
      <c r="G6004" s="4"/>
      <c r="H6004" s="4">
        <f t="shared" si="606"/>
        <v>75.5</v>
      </c>
    </row>
    <row r="6005" ht="14.25" spans="1:8">
      <c r="A6005" s="3" t="str">
        <f>"30601519216"</f>
        <v>30601519216</v>
      </c>
      <c r="B6005" s="3">
        <v>5</v>
      </c>
      <c r="C6005" s="3">
        <v>192</v>
      </c>
      <c r="D6005" s="3">
        <v>16</v>
      </c>
      <c r="E6005" s="3" t="s">
        <v>9</v>
      </c>
      <c r="F6005" s="4">
        <v>54</v>
      </c>
      <c r="G6005" s="4"/>
      <c r="H6005" s="4">
        <f t="shared" si="606"/>
        <v>54</v>
      </c>
    </row>
    <row r="6006" ht="14.25" spans="1:8">
      <c r="A6006" s="3" t="str">
        <f>"30601519217"</f>
        <v>30601519217</v>
      </c>
      <c r="B6006" s="3">
        <v>5</v>
      </c>
      <c r="C6006" s="3">
        <v>192</v>
      </c>
      <c r="D6006" s="3">
        <v>17</v>
      </c>
      <c r="E6006" s="3" t="s">
        <v>9</v>
      </c>
      <c r="F6006" s="4">
        <v>63.5</v>
      </c>
      <c r="G6006" s="4"/>
      <c r="H6006" s="4">
        <f t="shared" si="606"/>
        <v>63.5</v>
      </c>
    </row>
    <row r="6007" ht="14.25" spans="1:8">
      <c r="A6007" s="3" t="str">
        <f>"30601519218"</f>
        <v>30601519218</v>
      </c>
      <c r="B6007" s="3">
        <v>5</v>
      </c>
      <c r="C6007" s="3">
        <v>192</v>
      </c>
      <c r="D6007" s="3">
        <v>18</v>
      </c>
      <c r="E6007" s="3" t="s">
        <v>9</v>
      </c>
      <c r="F6007" s="4">
        <v>86.5</v>
      </c>
      <c r="G6007" s="4"/>
      <c r="H6007" s="4">
        <f t="shared" si="606"/>
        <v>86.5</v>
      </c>
    </row>
    <row r="6008" ht="14.25" spans="1:8">
      <c r="A6008" s="3" t="str">
        <f>"30601519219"</f>
        <v>30601519219</v>
      </c>
      <c r="B6008" s="3">
        <v>5</v>
      </c>
      <c r="C6008" s="3">
        <v>192</v>
      </c>
      <c r="D6008" s="3">
        <v>19</v>
      </c>
      <c r="E6008" s="3" t="s">
        <v>9</v>
      </c>
      <c r="F6008" s="4">
        <v>76.5</v>
      </c>
      <c r="G6008" s="4"/>
      <c r="H6008" s="4">
        <f t="shared" si="606"/>
        <v>76.5</v>
      </c>
    </row>
    <row r="6009" ht="14.25" spans="1:8">
      <c r="A6009" s="3" t="str">
        <f>"30601519220"</f>
        <v>30601519220</v>
      </c>
      <c r="B6009" s="3">
        <v>5</v>
      </c>
      <c r="C6009" s="3">
        <v>192</v>
      </c>
      <c r="D6009" s="3">
        <v>20</v>
      </c>
      <c r="E6009" s="3" t="s">
        <v>9</v>
      </c>
      <c r="F6009" s="4">
        <v>65.5</v>
      </c>
      <c r="G6009" s="4"/>
      <c r="H6009" s="4">
        <f t="shared" si="606"/>
        <v>65.5</v>
      </c>
    </row>
    <row r="6010" ht="14.25" spans="1:8">
      <c r="A6010" s="3" t="str">
        <f>"30601519221"</f>
        <v>30601519221</v>
      </c>
      <c r="B6010" s="3">
        <v>5</v>
      </c>
      <c r="C6010" s="3">
        <v>192</v>
      </c>
      <c r="D6010" s="3">
        <v>21</v>
      </c>
      <c r="E6010" s="3" t="s">
        <v>9</v>
      </c>
      <c r="F6010" s="4">
        <v>74.5</v>
      </c>
      <c r="G6010" s="4"/>
      <c r="H6010" s="4">
        <f t="shared" si="606"/>
        <v>74.5</v>
      </c>
    </row>
    <row r="6011" ht="14.25" spans="1:8">
      <c r="A6011" s="3" t="str">
        <f>"30601519222"</f>
        <v>30601519222</v>
      </c>
      <c r="B6011" s="3">
        <v>5</v>
      </c>
      <c r="C6011" s="3">
        <v>192</v>
      </c>
      <c r="D6011" s="3">
        <v>22</v>
      </c>
      <c r="E6011" s="3" t="s">
        <v>9</v>
      </c>
      <c r="F6011" s="4">
        <v>57</v>
      </c>
      <c r="G6011" s="4"/>
      <c r="H6011" s="4">
        <f t="shared" si="606"/>
        <v>57</v>
      </c>
    </row>
    <row r="6012" ht="14.25" spans="1:8">
      <c r="A6012" s="3" t="str">
        <f>"30601519223"</f>
        <v>30601519223</v>
      </c>
      <c r="B6012" s="3">
        <v>5</v>
      </c>
      <c r="C6012" s="3">
        <v>192</v>
      </c>
      <c r="D6012" s="3">
        <v>23</v>
      </c>
      <c r="E6012" s="3" t="s">
        <v>9</v>
      </c>
      <c r="F6012" s="4">
        <v>58.5</v>
      </c>
      <c r="G6012" s="4"/>
      <c r="H6012" s="4">
        <f t="shared" si="606"/>
        <v>58.5</v>
      </c>
    </row>
    <row r="6013" ht="14.25" spans="1:8">
      <c r="A6013" s="3" t="str">
        <f>"30601519224"</f>
        <v>30601519224</v>
      </c>
      <c r="B6013" s="3">
        <v>5</v>
      </c>
      <c r="C6013" s="3">
        <v>192</v>
      </c>
      <c r="D6013" s="3">
        <v>24</v>
      </c>
      <c r="E6013" s="3" t="s">
        <v>9</v>
      </c>
      <c r="F6013" s="4">
        <v>58</v>
      </c>
      <c r="G6013" s="4"/>
      <c r="H6013" s="4">
        <f t="shared" si="606"/>
        <v>58</v>
      </c>
    </row>
    <row r="6014" ht="14.25" spans="1:8">
      <c r="A6014" s="3" t="str">
        <f>"30601519225"</f>
        <v>30601519225</v>
      </c>
      <c r="B6014" s="3">
        <v>5</v>
      </c>
      <c r="C6014" s="3">
        <v>192</v>
      </c>
      <c r="D6014" s="3">
        <v>25</v>
      </c>
      <c r="E6014" s="3" t="s">
        <v>9</v>
      </c>
      <c r="F6014" s="4">
        <v>84.5</v>
      </c>
      <c r="G6014" s="4"/>
      <c r="H6014" s="4">
        <f t="shared" si="606"/>
        <v>84.5</v>
      </c>
    </row>
    <row r="6015" ht="14.25" spans="1:8">
      <c r="A6015" s="3" t="str">
        <f>"30601519226"</f>
        <v>30601519226</v>
      </c>
      <c r="B6015" s="3">
        <v>5</v>
      </c>
      <c r="C6015" s="3">
        <v>192</v>
      </c>
      <c r="D6015" s="3">
        <v>26</v>
      </c>
      <c r="E6015" s="3" t="s">
        <v>9</v>
      </c>
      <c r="F6015" s="4">
        <v>50</v>
      </c>
      <c r="G6015" s="4"/>
      <c r="H6015" s="4">
        <f t="shared" si="606"/>
        <v>50</v>
      </c>
    </row>
    <row r="6016" ht="14.25" spans="1:8">
      <c r="A6016" s="3" t="str">
        <f>"30602519227"</f>
        <v>30602519227</v>
      </c>
      <c r="B6016" s="3">
        <v>5</v>
      </c>
      <c r="C6016" s="3">
        <v>192</v>
      </c>
      <c r="D6016" s="3">
        <v>27</v>
      </c>
      <c r="E6016" s="3" t="s">
        <v>9</v>
      </c>
      <c r="F6016" s="4">
        <v>76</v>
      </c>
      <c r="G6016" s="4"/>
      <c r="H6016" s="4">
        <f t="shared" si="606"/>
        <v>76</v>
      </c>
    </row>
    <row r="6017" ht="14.25" spans="1:8">
      <c r="A6017" s="3" t="str">
        <f>"30602519228"</f>
        <v>30602519228</v>
      </c>
      <c r="B6017" s="3">
        <v>5</v>
      </c>
      <c r="C6017" s="3">
        <v>192</v>
      </c>
      <c r="D6017" s="3">
        <v>28</v>
      </c>
      <c r="E6017" s="3" t="s">
        <v>9</v>
      </c>
      <c r="F6017" s="4">
        <v>69.5</v>
      </c>
      <c r="G6017" s="4"/>
      <c r="H6017" s="4">
        <f t="shared" si="606"/>
        <v>69.5</v>
      </c>
    </row>
    <row r="6018" ht="14.25" spans="1:8">
      <c r="A6018" s="3" t="str">
        <f>"30602519229"</f>
        <v>30602519229</v>
      </c>
      <c r="B6018" s="3">
        <v>5</v>
      </c>
      <c r="C6018" s="3">
        <v>192</v>
      </c>
      <c r="D6018" s="3">
        <v>29</v>
      </c>
      <c r="E6018" s="3" t="s">
        <v>9</v>
      </c>
      <c r="F6018" s="4">
        <v>81.5</v>
      </c>
      <c r="G6018" s="4"/>
      <c r="H6018" s="4">
        <f t="shared" si="606"/>
        <v>81.5</v>
      </c>
    </row>
    <row r="6019" ht="14.25" spans="1:8">
      <c r="A6019" s="3" t="str">
        <f>"30602519230"</f>
        <v>30602519230</v>
      </c>
      <c r="B6019" s="3">
        <v>5</v>
      </c>
      <c r="C6019" s="3">
        <v>192</v>
      </c>
      <c r="D6019" s="3">
        <v>30</v>
      </c>
      <c r="E6019" s="3" t="s">
        <v>9</v>
      </c>
      <c r="F6019" s="4">
        <v>70.5</v>
      </c>
      <c r="G6019" s="4"/>
      <c r="H6019" s="4">
        <f t="shared" si="606"/>
        <v>70.5</v>
      </c>
    </row>
    <row r="6020" ht="14.25" spans="1:8">
      <c r="A6020" s="3" t="str">
        <f>"30602519301"</f>
        <v>30602519301</v>
      </c>
      <c r="B6020" s="3">
        <v>5</v>
      </c>
      <c r="C6020" s="3">
        <v>193</v>
      </c>
      <c r="D6020" s="3">
        <v>1</v>
      </c>
      <c r="E6020" s="3" t="s">
        <v>9</v>
      </c>
      <c r="F6020" s="4">
        <v>75.5</v>
      </c>
      <c r="G6020" s="4"/>
      <c r="H6020" s="4">
        <f t="shared" si="606"/>
        <v>75.5</v>
      </c>
    </row>
    <row r="6021" ht="14.25" spans="1:8">
      <c r="A6021" s="3" t="str">
        <f>"30602519302"</f>
        <v>30602519302</v>
      </c>
      <c r="B6021" s="3">
        <v>5</v>
      </c>
      <c r="C6021" s="3">
        <v>193</v>
      </c>
      <c r="D6021" s="3">
        <v>2</v>
      </c>
      <c r="E6021" s="3" t="s">
        <v>9</v>
      </c>
      <c r="F6021" s="4">
        <v>72</v>
      </c>
      <c r="G6021" s="4"/>
      <c r="H6021" s="4">
        <f t="shared" si="606"/>
        <v>72</v>
      </c>
    </row>
    <row r="6022" ht="14.25" spans="1:8">
      <c r="A6022" s="3" t="str">
        <f>"30602519303"</f>
        <v>30602519303</v>
      </c>
      <c r="B6022" s="3">
        <v>5</v>
      </c>
      <c r="C6022" s="3">
        <v>193</v>
      </c>
      <c r="D6022" s="3">
        <v>3</v>
      </c>
      <c r="E6022" s="3" t="s">
        <v>9</v>
      </c>
      <c r="F6022" s="4">
        <v>63</v>
      </c>
      <c r="G6022" s="4"/>
      <c r="H6022" s="4">
        <f t="shared" si="606"/>
        <v>63</v>
      </c>
    </row>
    <row r="6023" ht="14.25" spans="1:8">
      <c r="A6023" s="3" t="str">
        <f>"30602519304"</f>
        <v>30602519304</v>
      </c>
      <c r="B6023" s="3">
        <v>5</v>
      </c>
      <c r="C6023" s="3">
        <v>193</v>
      </c>
      <c r="D6023" s="3">
        <v>4</v>
      </c>
      <c r="E6023" s="3" t="s">
        <v>9</v>
      </c>
      <c r="F6023" s="4">
        <v>76</v>
      </c>
      <c r="G6023" s="4"/>
      <c r="H6023" s="4">
        <f t="shared" si="606"/>
        <v>76</v>
      </c>
    </row>
    <row r="6024" ht="14.25" spans="1:8">
      <c r="A6024" s="3" t="str">
        <f>"30602519305"</f>
        <v>30602519305</v>
      </c>
      <c r="B6024" s="3">
        <v>5</v>
      </c>
      <c r="C6024" s="3">
        <v>193</v>
      </c>
      <c r="D6024" s="3">
        <v>5</v>
      </c>
      <c r="E6024" s="3" t="s">
        <v>9</v>
      </c>
      <c r="F6024" s="4">
        <v>80</v>
      </c>
      <c r="G6024" s="4"/>
      <c r="H6024" s="4">
        <f t="shared" si="606"/>
        <v>80</v>
      </c>
    </row>
    <row r="6025" ht="14.25" spans="1:8">
      <c r="A6025" s="3" t="str">
        <f>"30602519306"</f>
        <v>30602519306</v>
      </c>
      <c r="B6025" s="3">
        <v>5</v>
      </c>
      <c r="C6025" s="3">
        <v>193</v>
      </c>
      <c r="D6025" s="3">
        <v>6</v>
      </c>
      <c r="E6025" s="3" t="s">
        <v>9</v>
      </c>
      <c r="F6025" s="4">
        <v>82.5</v>
      </c>
      <c r="G6025" s="4"/>
      <c r="H6025" s="4">
        <f t="shared" si="606"/>
        <v>82.5</v>
      </c>
    </row>
    <row r="6026" ht="14.25" spans="1:8">
      <c r="A6026" s="3" t="str">
        <f>"30602519307"</f>
        <v>30602519307</v>
      </c>
      <c r="B6026" s="3">
        <v>5</v>
      </c>
      <c r="C6026" s="3">
        <v>193</v>
      </c>
      <c r="D6026" s="3">
        <v>7</v>
      </c>
      <c r="E6026" s="3" t="s">
        <v>9</v>
      </c>
      <c r="F6026" s="4">
        <v>75</v>
      </c>
      <c r="G6026" s="4"/>
      <c r="H6026" s="4">
        <f t="shared" si="606"/>
        <v>75</v>
      </c>
    </row>
    <row r="6027" ht="14.25" spans="1:8">
      <c r="A6027" s="3" t="str">
        <f>"30602519308"</f>
        <v>30602519308</v>
      </c>
      <c r="B6027" s="3">
        <v>5</v>
      </c>
      <c r="C6027" s="3">
        <v>193</v>
      </c>
      <c r="D6027" s="3">
        <v>8</v>
      </c>
      <c r="E6027" s="3" t="s">
        <v>9</v>
      </c>
      <c r="F6027" s="4">
        <v>56.5</v>
      </c>
      <c r="G6027" s="4"/>
      <c r="H6027" s="4">
        <f t="shared" si="606"/>
        <v>56.5</v>
      </c>
    </row>
    <row r="6028" ht="14.25" spans="1:8">
      <c r="A6028" s="3" t="str">
        <f>"30602519309"</f>
        <v>30602519309</v>
      </c>
      <c r="B6028" s="3">
        <v>5</v>
      </c>
      <c r="C6028" s="3">
        <v>193</v>
      </c>
      <c r="D6028" s="3">
        <v>9</v>
      </c>
      <c r="E6028" s="3" t="s">
        <v>9</v>
      </c>
      <c r="F6028" s="4">
        <v>57.5</v>
      </c>
      <c r="G6028" s="4"/>
      <c r="H6028" s="4">
        <f t="shared" si="606"/>
        <v>57.5</v>
      </c>
    </row>
    <row r="6029" ht="14.25" spans="1:8">
      <c r="A6029" s="3" t="str">
        <f>"30602519310"</f>
        <v>30602519310</v>
      </c>
      <c r="B6029" s="3">
        <v>5</v>
      </c>
      <c r="C6029" s="3">
        <v>193</v>
      </c>
      <c r="D6029" s="3">
        <v>10</v>
      </c>
      <c r="E6029" s="3" t="s">
        <v>9</v>
      </c>
      <c r="F6029" s="4">
        <v>75.5</v>
      </c>
      <c r="G6029" s="4"/>
      <c r="H6029" s="4">
        <f t="shared" si="606"/>
        <v>75.5</v>
      </c>
    </row>
    <row r="6030" ht="14.25" spans="1:8">
      <c r="A6030" s="3" t="str">
        <f>"30602519311"</f>
        <v>30602519311</v>
      </c>
      <c r="B6030" s="3">
        <v>5</v>
      </c>
      <c r="C6030" s="3">
        <v>193</v>
      </c>
      <c r="D6030" s="3">
        <v>11</v>
      </c>
      <c r="E6030" s="3" t="s">
        <v>9</v>
      </c>
      <c r="F6030" s="4">
        <v>83</v>
      </c>
      <c r="G6030" s="4"/>
      <c r="H6030" s="4">
        <f t="shared" si="606"/>
        <v>83</v>
      </c>
    </row>
    <row r="6031" ht="14.25" spans="1:8">
      <c r="A6031" s="3" t="str">
        <f>"30602519312"</f>
        <v>30602519312</v>
      </c>
      <c r="B6031" s="3">
        <v>5</v>
      </c>
      <c r="C6031" s="3">
        <v>193</v>
      </c>
      <c r="D6031" s="3">
        <v>12</v>
      </c>
      <c r="E6031" s="3" t="s">
        <v>9</v>
      </c>
      <c r="F6031" s="4">
        <v>56.5</v>
      </c>
      <c r="G6031" s="4"/>
      <c r="H6031" s="4">
        <f t="shared" si="606"/>
        <v>56.5</v>
      </c>
    </row>
    <row r="6032" ht="14.25" spans="1:8">
      <c r="A6032" s="3" t="str">
        <f>"30602519313"</f>
        <v>30602519313</v>
      </c>
      <c r="B6032" s="3">
        <v>5</v>
      </c>
      <c r="C6032" s="3">
        <v>193</v>
      </c>
      <c r="D6032" s="3">
        <v>13</v>
      </c>
      <c r="E6032" s="3" t="s">
        <v>9</v>
      </c>
      <c r="F6032" s="4">
        <v>53</v>
      </c>
      <c r="G6032" s="4"/>
      <c r="H6032" s="4">
        <f t="shared" si="606"/>
        <v>53</v>
      </c>
    </row>
    <row r="6033" ht="14.25" spans="1:8">
      <c r="A6033" s="3" t="str">
        <f>"30602519314"</f>
        <v>30602519314</v>
      </c>
      <c r="B6033" s="3">
        <v>5</v>
      </c>
      <c r="C6033" s="3">
        <v>193</v>
      </c>
      <c r="D6033" s="3">
        <v>14</v>
      </c>
      <c r="E6033" s="3" t="s">
        <v>9</v>
      </c>
      <c r="F6033" s="4">
        <v>64.5</v>
      </c>
      <c r="G6033" s="4"/>
      <c r="H6033" s="4">
        <f t="shared" si="606"/>
        <v>64.5</v>
      </c>
    </row>
    <row r="6034" ht="14.25" spans="1:8">
      <c r="A6034" s="3" t="str">
        <f>"30602519315"</f>
        <v>30602519315</v>
      </c>
      <c r="B6034" s="3">
        <v>5</v>
      </c>
      <c r="C6034" s="3">
        <v>193</v>
      </c>
      <c r="D6034" s="3">
        <v>15</v>
      </c>
      <c r="E6034" s="3" t="s">
        <v>9</v>
      </c>
      <c r="F6034" s="4">
        <v>69</v>
      </c>
      <c r="G6034" s="4"/>
      <c r="H6034" s="4">
        <f t="shared" si="606"/>
        <v>69</v>
      </c>
    </row>
    <row r="6035" ht="14.25" spans="1:8">
      <c r="A6035" s="3" t="str">
        <f>"30602519316"</f>
        <v>30602519316</v>
      </c>
      <c r="B6035" s="3">
        <v>5</v>
      </c>
      <c r="C6035" s="3">
        <v>193</v>
      </c>
      <c r="D6035" s="3">
        <v>16</v>
      </c>
      <c r="E6035" s="3" t="s">
        <v>9</v>
      </c>
      <c r="F6035" s="4">
        <v>74</v>
      </c>
      <c r="G6035" s="4"/>
      <c r="H6035" s="4">
        <f t="shared" si="606"/>
        <v>74</v>
      </c>
    </row>
    <row r="6036" ht="14.25" spans="1:8">
      <c r="A6036" s="3" t="str">
        <f>"30602519317"</f>
        <v>30602519317</v>
      </c>
      <c r="B6036" s="3">
        <v>5</v>
      </c>
      <c r="C6036" s="3">
        <v>193</v>
      </c>
      <c r="D6036" s="3">
        <v>17</v>
      </c>
      <c r="E6036" s="3" t="s">
        <v>9</v>
      </c>
      <c r="F6036" s="4">
        <v>66.5</v>
      </c>
      <c r="G6036" s="4"/>
      <c r="H6036" s="4">
        <f t="shared" si="606"/>
        <v>66.5</v>
      </c>
    </row>
    <row r="6037" ht="14.25" spans="1:8">
      <c r="A6037" s="3" t="str">
        <f>"30602519318"</f>
        <v>30602519318</v>
      </c>
      <c r="B6037" s="3">
        <v>5</v>
      </c>
      <c r="C6037" s="3">
        <v>193</v>
      </c>
      <c r="D6037" s="3">
        <v>18</v>
      </c>
      <c r="E6037" s="3" t="s">
        <v>9</v>
      </c>
      <c r="F6037" s="4">
        <v>81.5</v>
      </c>
      <c r="G6037" s="4"/>
      <c r="H6037" s="4">
        <f t="shared" si="606"/>
        <v>81.5</v>
      </c>
    </row>
    <row r="6038" ht="14.25" spans="1:8">
      <c r="A6038" s="3" t="str">
        <f>"30602519319"</f>
        <v>30602519319</v>
      </c>
      <c r="B6038" s="3">
        <v>5</v>
      </c>
      <c r="C6038" s="3">
        <v>193</v>
      </c>
      <c r="D6038" s="3">
        <v>19</v>
      </c>
      <c r="E6038" s="3" t="s">
        <v>9</v>
      </c>
      <c r="F6038" s="4">
        <v>73.5</v>
      </c>
      <c r="G6038" s="4"/>
      <c r="H6038" s="4">
        <f t="shared" si="606"/>
        <v>73.5</v>
      </c>
    </row>
    <row r="6039" ht="14.25" spans="1:8">
      <c r="A6039" s="3" t="str">
        <f>"30602519320"</f>
        <v>30602519320</v>
      </c>
      <c r="B6039" s="3">
        <v>5</v>
      </c>
      <c r="C6039" s="3">
        <v>193</v>
      </c>
      <c r="D6039" s="3">
        <v>20</v>
      </c>
      <c r="E6039" s="3" t="s">
        <v>9</v>
      </c>
      <c r="F6039" s="4">
        <v>77</v>
      </c>
      <c r="G6039" s="4"/>
      <c r="H6039" s="4">
        <f t="shared" si="606"/>
        <v>77</v>
      </c>
    </row>
    <row r="6040" ht="14.25" spans="1:8">
      <c r="A6040" s="3" t="str">
        <f>"30602519321"</f>
        <v>30602519321</v>
      </c>
      <c r="B6040" s="3">
        <v>5</v>
      </c>
      <c r="C6040" s="3">
        <v>193</v>
      </c>
      <c r="D6040" s="3">
        <v>21</v>
      </c>
      <c r="E6040" s="3" t="s">
        <v>9</v>
      </c>
      <c r="F6040" s="4">
        <v>63</v>
      </c>
      <c r="G6040" s="4"/>
      <c r="H6040" s="4">
        <f t="shared" si="606"/>
        <v>63</v>
      </c>
    </row>
    <row r="6041" ht="14.25" spans="1:8">
      <c r="A6041" s="3" t="str">
        <f>"30602519322"</f>
        <v>30602519322</v>
      </c>
      <c r="B6041" s="3">
        <v>5</v>
      </c>
      <c r="C6041" s="3">
        <v>193</v>
      </c>
      <c r="D6041" s="3">
        <v>22</v>
      </c>
      <c r="E6041" s="3" t="s">
        <v>9</v>
      </c>
      <c r="F6041" s="4">
        <v>69.5</v>
      </c>
      <c r="G6041" s="4"/>
      <c r="H6041" s="4">
        <f t="shared" si="606"/>
        <v>69.5</v>
      </c>
    </row>
    <row r="6042" ht="14.25" spans="1:8">
      <c r="A6042" s="3" t="str">
        <f>"30602519323"</f>
        <v>30602519323</v>
      </c>
      <c r="B6042" s="3">
        <v>5</v>
      </c>
      <c r="C6042" s="3">
        <v>193</v>
      </c>
      <c r="D6042" s="3">
        <v>23</v>
      </c>
      <c r="E6042" s="3" t="s">
        <v>9</v>
      </c>
      <c r="F6042" s="4">
        <v>88.5</v>
      </c>
      <c r="G6042" s="4"/>
      <c r="H6042" s="4">
        <f t="shared" si="606"/>
        <v>88.5</v>
      </c>
    </row>
    <row r="6043" ht="14.25" spans="1:8">
      <c r="A6043" s="3" t="str">
        <f>"30602519324"</f>
        <v>30602519324</v>
      </c>
      <c r="B6043" s="3">
        <v>5</v>
      </c>
      <c r="C6043" s="3">
        <v>193</v>
      </c>
      <c r="D6043" s="3">
        <v>24</v>
      </c>
      <c r="E6043" s="3" t="s">
        <v>9</v>
      </c>
      <c r="F6043" s="3">
        <v>0</v>
      </c>
      <c r="G6043" s="4"/>
      <c r="H6043" s="3">
        <v>0</v>
      </c>
    </row>
    <row r="6044" ht="14.25" spans="1:8">
      <c r="A6044" s="3" t="str">
        <f>"30602519325"</f>
        <v>30602519325</v>
      </c>
      <c r="B6044" s="3">
        <v>5</v>
      </c>
      <c r="C6044" s="3">
        <v>193</v>
      </c>
      <c r="D6044" s="3">
        <v>25</v>
      </c>
      <c r="E6044" s="3" t="s">
        <v>9</v>
      </c>
      <c r="F6044" s="4">
        <v>73.5</v>
      </c>
      <c r="G6044" s="4"/>
      <c r="H6044" s="4">
        <f t="shared" ref="H6044:H6062" si="607">F6044+G6044</f>
        <v>73.5</v>
      </c>
    </row>
    <row r="6045" ht="14.25" spans="1:8">
      <c r="A6045" s="3" t="str">
        <f>"30603519326"</f>
        <v>30603519326</v>
      </c>
      <c r="B6045" s="3">
        <v>5</v>
      </c>
      <c r="C6045" s="3">
        <v>193</v>
      </c>
      <c r="D6045" s="3">
        <v>26</v>
      </c>
      <c r="E6045" s="3" t="s">
        <v>9</v>
      </c>
      <c r="F6045" s="4">
        <v>67</v>
      </c>
      <c r="G6045" s="4"/>
      <c r="H6045" s="4">
        <f t="shared" si="607"/>
        <v>67</v>
      </c>
    </row>
    <row r="6046" ht="14.25" spans="1:8">
      <c r="A6046" s="3" t="str">
        <f>"30603519327"</f>
        <v>30603519327</v>
      </c>
      <c r="B6046" s="3">
        <v>5</v>
      </c>
      <c r="C6046" s="3">
        <v>193</v>
      </c>
      <c r="D6046" s="3">
        <v>27</v>
      </c>
      <c r="E6046" s="3" t="s">
        <v>9</v>
      </c>
      <c r="F6046" s="4">
        <v>75</v>
      </c>
      <c r="G6046" s="4"/>
      <c r="H6046" s="4">
        <f t="shared" si="607"/>
        <v>75</v>
      </c>
    </row>
    <row r="6047" ht="14.25" spans="1:8">
      <c r="A6047" s="3" t="str">
        <f>"30603519328"</f>
        <v>30603519328</v>
      </c>
      <c r="B6047" s="3">
        <v>5</v>
      </c>
      <c r="C6047" s="3">
        <v>193</v>
      </c>
      <c r="D6047" s="3">
        <v>28</v>
      </c>
      <c r="E6047" s="3" t="s">
        <v>9</v>
      </c>
      <c r="F6047" s="4">
        <v>82</v>
      </c>
      <c r="G6047" s="4"/>
      <c r="H6047" s="4">
        <f t="shared" si="607"/>
        <v>82</v>
      </c>
    </row>
    <row r="6048" ht="14.25" spans="1:8">
      <c r="A6048" s="3" t="str">
        <f>"30603519329"</f>
        <v>30603519329</v>
      </c>
      <c r="B6048" s="3">
        <v>5</v>
      </c>
      <c r="C6048" s="3">
        <v>193</v>
      </c>
      <c r="D6048" s="3">
        <v>29</v>
      </c>
      <c r="E6048" s="3" t="s">
        <v>9</v>
      </c>
      <c r="F6048" s="4">
        <v>70</v>
      </c>
      <c r="G6048" s="4"/>
      <c r="H6048" s="4">
        <f t="shared" si="607"/>
        <v>70</v>
      </c>
    </row>
    <row r="6049" ht="14.25" spans="1:8">
      <c r="A6049" s="3" t="str">
        <f>"30603519330"</f>
        <v>30603519330</v>
      </c>
      <c r="B6049" s="3">
        <v>5</v>
      </c>
      <c r="C6049" s="3">
        <v>193</v>
      </c>
      <c r="D6049" s="3">
        <v>30</v>
      </c>
      <c r="E6049" s="3" t="s">
        <v>9</v>
      </c>
      <c r="F6049" s="4">
        <v>58</v>
      </c>
      <c r="G6049" s="4"/>
      <c r="H6049" s="4">
        <f t="shared" si="607"/>
        <v>58</v>
      </c>
    </row>
    <row r="6050" ht="14.25" spans="1:8">
      <c r="A6050" s="3" t="str">
        <f>"30603519401"</f>
        <v>30603519401</v>
      </c>
      <c r="B6050" s="3">
        <v>5</v>
      </c>
      <c r="C6050" s="3">
        <v>194</v>
      </c>
      <c r="D6050" s="3">
        <v>1</v>
      </c>
      <c r="E6050" s="3" t="s">
        <v>9</v>
      </c>
      <c r="F6050" s="4">
        <v>83.5</v>
      </c>
      <c r="G6050" s="4"/>
      <c r="H6050" s="4">
        <f t="shared" si="607"/>
        <v>83.5</v>
      </c>
    </row>
    <row r="6051" ht="14.25" spans="1:8">
      <c r="A6051" s="3" t="str">
        <f>"30603519402"</f>
        <v>30603519402</v>
      </c>
      <c r="B6051" s="3">
        <v>5</v>
      </c>
      <c r="C6051" s="3">
        <v>194</v>
      </c>
      <c r="D6051" s="3">
        <v>2</v>
      </c>
      <c r="E6051" s="3" t="s">
        <v>9</v>
      </c>
      <c r="F6051" s="4">
        <v>63.5</v>
      </c>
      <c r="G6051" s="4"/>
      <c r="H6051" s="4">
        <f t="shared" si="607"/>
        <v>63.5</v>
      </c>
    </row>
    <row r="6052" ht="14.25" spans="1:8">
      <c r="A6052" s="3" t="str">
        <f>"30603519403"</f>
        <v>30603519403</v>
      </c>
      <c r="B6052" s="3">
        <v>5</v>
      </c>
      <c r="C6052" s="3">
        <v>194</v>
      </c>
      <c r="D6052" s="3">
        <v>3</v>
      </c>
      <c r="E6052" s="3" t="s">
        <v>9</v>
      </c>
      <c r="F6052" s="4">
        <v>83.5</v>
      </c>
      <c r="G6052" s="4"/>
      <c r="H6052" s="4">
        <f t="shared" si="607"/>
        <v>83.5</v>
      </c>
    </row>
    <row r="6053" ht="14.25" spans="1:8">
      <c r="A6053" s="3" t="str">
        <f>"30603519404"</f>
        <v>30603519404</v>
      </c>
      <c r="B6053" s="3">
        <v>5</v>
      </c>
      <c r="C6053" s="3">
        <v>194</v>
      </c>
      <c r="D6053" s="3">
        <v>4</v>
      </c>
      <c r="E6053" s="3" t="s">
        <v>9</v>
      </c>
      <c r="F6053" s="4">
        <v>88.5</v>
      </c>
      <c r="G6053" s="4"/>
      <c r="H6053" s="4">
        <f t="shared" si="607"/>
        <v>88.5</v>
      </c>
    </row>
    <row r="6054" ht="14.25" spans="1:8">
      <c r="A6054" s="3" t="str">
        <f>"30603519405"</f>
        <v>30603519405</v>
      </c>
      <c r="B6054" s="3">
        <v>5</v>
      </c>
      <c r="C6054" s="3">
        <v>194</v>
      </c>
      <c r="D6054" s="3">
        <v>5</v>
      </c>
      <c r="E6054" s="3" t="s">
        <v>9</v>
      </c>
      <c r="F6054" s="4">
        <v>68</v>
      </c>
      <c r="G6054" s="4"/>
      <c r="H6054" s="4">
        <f t="shared" si="607"/>
        <v>68</v>
      </c>
    </row>
    <row r="6055" ht="14.25" spans="1:8">
      <c r="A6055" s="3" t="str">
        <f>"30603519406"</f>
        <v>30603519406</v>
      </c>
      <c r="B6055" s="3">
        <v>5</v>
      </c>
      <c r="C6055" s="3">
        <v>194</v>
      </c>
      <c r="D6055" s="3">
        <v>6</v>
      </c>
      <c r="E6055" s="3" t="s">
        <v>9</v>
      </c>
      <c r="F6055" s="4">
        <v>73</v>
      </c>
      <c r="G6055" s="4"/>
      <c r="H6055" s="4">
        <f t="shared" si="607"/>
        <v>73</v>
      </c>
    </row>
    <row r="6056" ht="14.25" spans="1:8">
      <c r="A6056" s="3" t="str">
        <f>"30603519407"</f>
        <v>30603519407</v>
      </c>
      <c r="B6056" s="3">
        <v>5</v>
      </c>
      <c r="C6056" s="3">
        <v>194</v>
      </c>
      <c r="D6056" s="3">
        <v>7</v>
      </c>
      <c r="E6056" s="3" t="s">
        <v>9</v>
      </c>
      <c r="F6056" s="4">
        <v>80.5</v>
      </c>
      <c r="G6056" s="4"/>
      <c r="H6056" s="4">
        <f t="shared" si="607"/>
        <v>80.5</v>
      </c>
    </row>
    <row r="6057" ht="14.25" spans="1:8">
      <c r="A6057" s="3" t="str">
        <f>"30603519408"</f>
        <v>30603519408</v>
      </c>
      <c r="B6057" s="3">
        <v>5</v>
      </c>
      <c r="C6057" s="3">
        <v>194</v>
      </c>
      <c r="D6057" s="3">
        <v>8</v>
      </c>
      <c r="E6057" s="3" t="s">
        <v>9</v>
      </c>
      <c r="F6057" s="4">
        <v>63.5</v>
      </c>
      <c r="G6057" s="4"/>
      <c r="H6057" s="4">
        <f t="shared" si="607"/>
        <v>63.5</v>
      </c>
    </row>
    <row r="6058" ht="14.25" spans="1:8">
      <c r="A6058" s="3" t="str">
        <f>"30603519409"</f>
        <v>30603519409</v>
      </c>
      <c r="B6058" s="3">
        <v>5</v>
      </c>
      <c r="C6058" s="3">
        <v>194</v>
      </c>
      <c r="D6058" s="3">
        <v>9</v>
      </c>
      <c r="E6058" s="3" t="s">
        <v>9</v>
      </c>
      <c r="F6058" s="4">
        <v>75.5</v>
      </c>
      <c r="G6058" s="4"/>
      <c r="H6058" s="4">
        <f t="shared" si="607"/>
        <v>75.5</v>
      </c>
    </row>
    <row r="6059" ht="14.25" spans="1:8">
      <c r="A6059" s="3" t="str">
        <f>"30603519410"</f>
        <v>30603519410</v>
      </c>
      <c r="B6059" s="3">
        <v>5</v>
      </c>
      <c r="C6059" s="3">
        <v>194</v>
      </c>
      <c r="D6059" s="3">
        <v>10</v>
      </c>
      <c r="E6059" s="3" t="s">
        <v>9</v>
      </c>
      <c r="F6059" s="4">
        <v>64</v>
      </c>
      <c r="G6059" s="4"/>
      <c r="H6059" s="4">
        <f t="shared" si="607"/>
        <v>64</v>
      </c>
    </row>
    <row r="6060" ht="14.25" spans="1:8">
      <c r="A6060" s="3" t="str">
        <f>"30603519411"</f>
        <v>30603519411</v>
      </c>
      <c r="B6060" s="3">
        <v>5</v>
      </c>
      <c r="C6060" s="3">
        <v>194</v>
      </c>
      <c r="D6060" s="3">
        <v>11</v>
      </c>
      <c r="E6060" s="3" t="s">
        <v>9</v>
      </c>
      <c r="F6060" s="4">
        <v>51.5</v>
      </c>
      <c r="G6060" s="4"/>
      <c r="H6060" s="4">
        <f t="shared" si="607"/>
        <v>51.5</v>
      </c>
    </row>
    <row r="6061" ht="14.25" spans="1:8">
      <c r="A6061" s="3" t="str">
        <f>"30603519412"</f>
        <v>30603519412</v>
      </c>
      <c r="B6061" s="3">
        <v>5</v>
      </c>
      <c r="C6061" s="3">
        <v>194</v>
      </c>
      <c r="D6061" s="3">
        <v>12</v>
      </c>
      <c r="E6061" s="3" t="s">
        <v>9</v>
      </c>
      <c r="F6061" s="4">
        <v>89.5</v>
      </c>
      <c r="G6061" s="4"/>
      <c r="H6061" s="4">
        <f t="shared" si="607"/>
        <v>89.5</v>
      </c>
    </row>
    <row r="6062" ht="14.25" spans="1:8">
      <c r="A6062" s="3" t="str">
        <f>"30603519413"</f>
        <v>30603519413</v>
      </c>
      <c r="B6062" s="3">
        <v>5</v>
      </c>
      <c r="C6062" s="3">
        <v>194</v>
      </c>
      <c r="D6062" s="3">
        <v>13</v>
      </c>
      <c r="E6062" s="3" t="s">
        <v>9</v>
      </c>
      <c r="F6062" s="4">
        <v>63.5</v>
      </c>
      <c r="G6062" s="4"/>
      <c r="H6062" s="4">
        <f t="shared" si="607"/>
        <v>63.5</v>
      </c>
    </row>
    <row r="6063" ht="14.25" spans="1:8">
      <c r="A6063" s="3" t="str">
        <f>"30603519414"</f>
        <v>30603519414</v>
      </c>
      <c r="B6063" s="3">
        <v>5</v>
      </c>
      <c r="C6063" s="3">
        <v>194</v>
      </c>
      <c r="D6063" s="3">
        <v>14</v>
      </c>
      <c r="E6063" s="3" t="s">
        <v>9</v>
      </c>
      <c r="F6063" s="3">
        <v>0</v>
      </c>
      <c r="G6063" s="4"/>
      <c r="H6063" s="3">
        <v>0</v>
      </c>
    </row>
    <row r="6064" ht="14.25" spans="1:8">
      <c r="A6064" s="3" t="str">
        <f>"30603519415"</f>
        <v>30603519415</v>
      </c>
      <c r="B6064" s="3">
        <v>5</v>
      </c>
      <c r="C6064" s="3">
        <v>194</v>
      </c>
      <c r="D6064" s="3">
        <v>15</v>
      </c>
      <c r="E6064" s="3" t="s">
        <v>9</v>
      </c>
      <c r="F6064" s="4">
        <v>75</v>
      </c>
      <c r="G6064" s="4"/>
      <c r="H6064" s="4">
        <f t="shared" ref="H6064:H6072" si="608">F6064+G6064</f>
        <v>75</v>
      </c>
    </row>
    <row r="6065" ht="14.25" spans="1:8">
      <c r="A6065" s="3" t="str">
        <f>"30603519416"</f>
        <v>30603519416</v>
      </c>
      <c r="B6065" s="3">
        <v>5</v>
      </c>
      <c r="C6065" s="3">
        <v>194</v>
      </c>
      <c r="D6065" s="3">
        <v>16</v>
      </c>
      <c r="E6065" s="3" t="s">
        <v>9</v>
      </c>
      <c r="F6065" s="4">
        <v>69.5</v>
      </c>
      <c r="G6065" s="4"/>
      <c r="H6065" s="4">
        <f t="shared" si="608"/>
        <v>69.5</v>
      </c>
    </row>
    <row r="6066" ht="14.25" spans="1:8">
      <c r="A6066" s="3" t="str">
        <f>"30603519417"</f>
        <v>30603519417</v>
      </c>
      <c r="B6066" s="3">
        <v>5</v>
      </c>
      <c r="C6066" s="3">
        <v>194</v>
      </c>
      <c r="D6066" s="3">
        <v>17</v>
      </c>
      <c r="E6066" s="3" t="s">
        <v>9</v>
      </c>
      <c r="F6066" s="3">
        <v>0</v>
      </c>
      <c r="G6066" s="4"/>
      <c r="H6066" s="3">
        <v>0</v>
      </c>
    </row>
    <row r="6067" ht="14.25" spans="1:8">
      <c r="A6067" s="3" t="str">
        <f>"30603519418"</f>
        <v>30603519418</v>
      </c>
      <c r="B6067" s="3">
        <v>5</v>
      </c>
      <c r="C6067" s="3">
        <v>194</v>
      </c>
      <c r="D6067" s="3">
        <v>18</v>
      </c>
      <c r="E6067" s="3" t="s">
        <v>9</v>
      </c>
      <c r="F6067" s="4">
        <v>71.5</v>
      </c>
      <c r="G6067" s="4"/>
      <c r="H6067" s="4">
        <f t="shared" si="608"/>
        <v>71.5</v>
      </c>
    </row>
    <row r="6068" ht="14.25" spans="1:8">
      <c r="A6068" s="3" t="str">
        <f>"30603519419"</f>
        <v>30603519419</v>
      </c>
      <c r="B6068" s="3">
        <v>5</v>
      </c>
      <c r="C6068" s="3">
        <v>194</v>
      </c>
      <c r="D6068" s="3">
        <v>19</v>
      </c>
      <c r="E6068" s="3" t="s">
        <v>9</v>
      </c>
      <c r="F6068" s="4">
        <v>74</v>
      </c>
      <c r="G6068" s="4"/>
      <c r="H6068" s="4">
        <f t="shared" si="608"/>
        <v>74</v>
      </c>
    </row>
    <row r="6069" ht="14.25" spans="1:8">
      <c r="A6069" s="3" t="str">
        <f>"30603519420"</f>
        <v>30603519420</v>
      </c>
      <c r="B6069" s="3">
        <v>5</v>
      </c>
      <c r="C6069" s="3">
        <v>194</v>
      </c>
      <c r="D6069" s="3">
        <v>20</v>
      </c>
      <c r="E6069" s="3" t="s">
        <v>9</v>
      </c>
      <c r="F6069" s="4">
        <v>62.5</v>
      </c>
      <c r="G6069" s="4"/>
      <c r="H6069" s="4">
        <f t="shared" si="608"/>
        <v>62.5</v>
      </c>
    </row>
    <row r="6070" ht="14.25" spans="1:8">
      <c r="A6070" s="3" t="str">
        <f>"30603519421"</f>
        <v>30603519421</v>
      </c>
      <c r="B6070" s="3">
        <v>5</v>
      </c>
      <c r="C6070" s="3">
        <v>194</v>
      </c>
      <c r="D6070" s="3">
        <v>21</v>
      </c>
      <c r="E6070" s="3" t="s">
        <v>9</v>
      </c>
      <c r="F6070" s="4">
        <v>76.5</v>
      </c>
      <c r="G6070" s="4"/>
      <c r="H6070" s="4">
        <f t="shared" si="608"/>
        <v>76.5</v>
      </c>
    </row>
    <row r="6071" ht="14.25" spans="1:8">
      <c r="A6071" s="3" t="str">
        <f>"30603519422"</f>
        <v>30603519422</v>
      </c>
      <c r="B6071" s="3">
        <v>5</v>
      </c>
      <c r="C6071" s="3">
        <v>194</v>
      </c>
      <c r="D6071" s="3">
        <v>22</v>
      </c>
      <c r="E6071" s="3" t="s">
        <v>9</v>
      </c>
      <c r="F6071" s="4">
        <v>84</v>
      </c>
      <c r="G6071" s="4"/>
      <c r="H6071" s="4">
        <f t="shared" si="608"/>
        <v>84</v>
      </c>
    </row>
    <row r="6072" ht="14.25" spans="1:8">
      <c r="A6072" s="3" t="str">
        <f>"30603519423"</f>
        <v>30603519423</v>
      </c>
      <c r="B6072" s="3">
        <v>5</v>
      </c>
      <c r="C6072" s="3">
        <v>194</v>
      </c>
      <c r="D6072" s="3">
        <v>23</v>
      </c>
      <c r="E6072" s="3" t="s">
        <v>9</v>
      </c>
      <c r="F6072" s="4">
        <v>77</v>
      </c>
      <c r="G6072" s="4"/>
      <c r="H6072" s="4">
        <f t="shared" si="608"/>
        <v>77</v>
      </c>
    </row>
    <row r="6073" ht="14.25" spans="1:8">
      <c r="A6073" s="3" t="str">
        <f>"30604519424"</f>
        <v>30604519424</v>
      </c>
      <c r="B6073" s="3">
        <v>5</v>
      </c>
      <c r="C6073" s="3">
        <v>194</v>
      </c>
      <c r="D6073" s="3">
        <v>24</v>
      </c>
      <c r="E6073" s="3" t="s">
        <v>9</v>
      </c>
      <c r="F6073" s="3">
        <v>0</v>
      </c>
      <c r="G6073" s="4"/>
      <c r="H6073" s="3">
        <v>0</v>
      </c>
    </row>
    <row r="6074" ht="14.25" spans="1:8">
      <c r="A6074" s="3" t="str">
        <f>"30604519425"</f>
        <v>30604519425</v>
      </c>
      <c r="B6074" s="3">
        <v>5</v>
      </c>
      <c r="C6074" s="3">
        <v>194</v>
      </c>
      <c r="D6074" s="3">
        <v>25</v>
      </c>
      <c r="E6074" s="3" t="s">
        <v>9</v>
      </c>
      <c r="F6074" s="4">
        <v>71.5</v>
      </c>
      <c r="G6074" s="4"/>
      <c r="H6074" s="4">
        <f t="shared" ref="H6074:H6080" si="609">F6074+G6074</f>
        <v>71.5</v>
      </c>
    </row>
    <row r="6075" ht="14.25" spans="1:8">
      <c r="A6075" s="3" t="str">
        <f>"30604519426"</f>
        <v>30604519426</v>
      </c>
      <c r="B6075" s="3">
        <v>5</v>
      </c>
      <c r="C6075" s="3">
        <v>194</v>
      </c>
      <c r="D6075" s="3">
        <v>26</v>
      </c>
      <c r="E6075" s="3" t="s">
        <v>9</v>
      </c>
      <c r="F6075" s="4">
        <v>76.5</v>
      </c>
      <c r="G6075" s="4"/>
      <c r="H6075" s="4">
        <f t="shared" si="609"/>
        <v>76.5</v>
      </c>
    </row>
    <row r="6076" ht="14.25" spans="1:8">
      <c r="A6076" s="3" t="str">
        <f>"30604519427"</f>
        <v>30604519427</v>
      </c>
      <c r="B6076" s="3">
        <v>5</v>
      </c>
      <c r="C6076" s="3">
        <v>194</v>
      </c>
      <c r="D6076" s="3">
        <v>27</v>
      </c>
      <c r="E6076" s="3" t="s">
        <v>9</v>
      </c>
      <c r="F6076" s="4">
        <v>62.5</v>
      </c>
      <c r="G6076" s="4"/>
      <c r="H6076" s="4">
        <f t="shared" si="609"/>
        <v>62.5</v>
      </c>
    </row>
    <row r="6077" ht="14.25" spans="1:8">
      <c r="A6077" s="3" t="str">
        <f>"30604519428"</f>
        <v>30604519428</v>
      </c>
      <c r="B6077" s="3">
        <v>5</v>
      </c>
      <c r="C6077" s="3">
        <v>194</v>
      </c>
      <c r="D6077" s="3">
        <v>28</v>
      </c>
      <c r="E6077" s="3" t="s">
        <v>9</v>
      </c>
      <c r="F6077" s="4">
        <v>60</v>
      </c>
      <c r="G6077" s="4"/>
      <c r="H6077" s="4">
        <f t="shared" si="609"/>
        <v>60</v>
      </c>
    </row>
    <row r="6078" ht="14.25" spans="1:8">
      <c r="A6078" s="3" t="str">
        <f>"30604519429"</f>
        <v>30604519429</v>
      </c>
      <c r="B6078" s="3">
        <v>5</v>
      </c>
      <c r="C6078" s="3">
        <v>194</v>
      </c>
      <c r="D6078" s="3">
        <v>29</v>
      </c>
      <c r="E6078" s="3" t="s">
        <v>9</v>
      </c>
      <c r="F6078" s="4">
        <v>62</v>
      </c>
      <c r="G6078" s="4"/>
      <c r="H6078" s="4">
        <f t="shared" si="609"/>
        <v>62</v>
      </c>
    </row>
    <row r="6079" ht="14.25" spans="1:8">
      <c r="A6079" s="3" t="str">
        <f>"30604519430"</f>
        <v>30604519430</v>
      </c>
      <c r="B6079" s="3">
        <v>5</v>
      </c>
      <c r="C6079" s="3">
        <v>194</v>
      </c>
      <c r="D6079" s="3">
        <v>30</v>
      </c>
      <c r="E6079" s="3" t="s">
        <v>9</v>
      </c>
      <c r="F6079" s="4">
        <v>72.5</v>
      </c>
      <c r="G6079" s="4"/>
      <c r="H6079" s="4">
        <f t="shared" si="609"/>
        <v>72.5</v>
      </c>
    </row>
    <row r="6080" ht="14.25" spans="1:8">
      <c r="A6080" s="3" t="str">
        <f>"30604519501"</f>
        <v>30604519501</v>
      </c>
      <c r="B6080" s="3">
        <v>5</v>
      </c>
      <c r="C6080" s="3">
        <v>195</v>
      </c>
      <c r="D6080" s="3">
        <v>1</v>
      </c>
      <c r="E6080" s="3" t="s">
        <v>9</v>
      </c>
      <c r="F6080" s="4">
        <v>50</v>
      </c>
      <c r="G6080" s="4"/>
      <c r="H6080" s="4">
        <f t="shared" si="609"/>
        <v>50</v>
      </c>
    </row>
    <row r="6081" ht="14.25" spans="1:8">
      <c r="A6081" s="3" t="str">
        <f>"30604519502"</f>
        <v>30604519502</v>
      </c>
      <c r="B6081" s="3">
        <v>5</v>
      </c>
      <c r="C6081" s="3">
        <v>195</v>
      </c>
      <c r="D6081" s="3">
        <v>2</v>
      </c>
      <c r="E6081" s="3" t="s">
        <v>9</v>
      </c>
      <c r="F6081" s="3">
        <v>0</v>
      </c>
      <c r="G6081" s="4"/>
      <c r="H6081" s="3">
        <v>0</v>
      </c>
    </row>
    <row r="6082" ht="14.25" spans="1:8">
      <c r="A6082" s="3" t="str">
        <f>"30604519503"</f>
        <v>30604519503</v>
      </c>
      <c r="B6082" s="3">
        <v>5</v>
      </c>
      <c r="C6082" s="3">
        <v>195</v>
      </c>
      <c r="D6082" s="3">
        <v>3</v>
      </c>
      <c r="E6082" s="3" t="s">
        <v>9</v>
      </c>
      <c r="F6082" s="4">
        <v>71.5</v>
      </c>
      <c r="G6082" s="4"/>
      <c r="H6082" s="4">
        <f t="shared" ref="H6082:H6089" si="610">F6082+G6082</f>
        <v>71.5</v>
      </c>
    </row>
    <row r="6083" ht="14.25" spans="1:8">
      <c r="A6083" s="3" t="str">
        <f>"30604519504"</f>
        <v>30604519504</v>
      </c>
      <c r="B6083" s="3">
        <v>5</v>
      </c>
      <c r="C6083" s="3">
        <v>195</v>
      </c>
      <c r="D6083" s="3">
        <v>4</v>
      </c>
      <c r="E6083" s="3" t="s">
        <v>9</v>
      </c>
      <c r="F6083" s="4">
        <v>52.5</v>
      </c>
      <c r="G6083" s="4"/>
      <c r="H6083" s="4">
        <f t="shared" si="610"/>
        <v>52.5</v>
      </c>
    </row>
    <row r="6084" ht="14.25" spans="1:8">
      <c r="A6084" s="3" t="str">
        <f>"30604519505"</f>
        <v>30604519505</v>
      </c>
      <c r="B6084" s="3">
        <v>5</v>
      </c>
      <c r="C6084" s="3">
        <v>195</v>
      </c>
      <c r="D6084" s="3">
        <v>5</v>
      </c>
      <c r="E6084" s="3" t="s">
        <v>9</v>
      </c>
      <c r="F6084" s="4">
        <v>67</v>
      </c>
      <c r="G6084" s="4"/>
      <c r="H6084" s="4">
        <f t="shared" si="610"/>
        <v>67</v>
      </c>
    </row>
    <row r="6085" ht="14.25" spans="1:8">
      <c r="A6085" s="3" t="str">
        <f>"30604519506"</f>
        <v>30604519506</v>
      </c>
      <c r="B6085" s="3">
        <v>5</v>
      </c>
      <c r="C6085" s="3">
        <v>195</v>
      </c>
      <c r="D6085" s="3">
        <v>6</v>
      </c>
      <c r="E6085" s="3" t="s">
        <v>9</v>
      </c>
      <c r="F6085" s="4">
        <v>61.5</v>
      </c>
      <c r="G6085" s="4"/>
      <c r="H6085" s="4">
        <f t="shared" si="610"/>
        <v>61.5</v>
      </c>
    </row>
    <row r="6086" ht="14.25" spans="1:8">
      <c r="A6086" s="3" t="str">
        <f>"30605519507"</f>
        <v>30605519507</v>
      </c>
      <c r="B6086" s="3">
        <v>5</v>
      </c>
      <c r="C6086" s="3">
        <v>195</v>
      </c>
      <c r="D6086" s="3">
        <v>7</v>
      </c>
      <c r="E6086" s="3" t="s">
        <v>9</v>
      </c>
      <c r="F6086" s="4">
        <v>69</v>
      </c>
      <c r="G6086" s="4"/>
      <c r="H6086" s="4">
        <f t="shared" si="610"/>
        <v>69</v>
      </c>
    </row>
    <row r="6087" ht="14.25" spans="1:8">
      <c r="A6087" s="3" t="str">
        <f>"30605519508"</f>
        <v>30605519508</v>
      </c>
      <c r="B6087" s="3">
        <v>5</v>
      </c>
      <c r="C6087" s="3">
        <v>195</v>
      </c>
      <c r="D6087" s="3">
        <v>8</v>
      </c>
      <c r="E6087" s="3" t="s">
        <v>9</v>
      </c>
      <c r="F6087" s="4">
        <v>69.5</v>
      </c>
      <c r="G6087" s="4"/>
      <c r="H6087" s="4">
        <f t="shared" si="610"/>
        <v>69.5</v>
      </c>
    </row>
    <row r="6088" ht="14.25" spans="1:8">
      <c r="A6088" s="3" t="str">
        <f>"30605519509"</f>
        <v>30605519509</v>
      </c>
      <c r="B6088" s="3">
        <v>5</v>
      </c>
      <c r="C6088" s="3">
        <v>195</v>
      </c>
      <c r="D6088" s="3">
        <v>9</v>
      </c>
      <c r="E6088" s="3" t="s">
        <v>9</v>
      </c>
      <c r="F6088" s="4">
        <v>58.5</v>
      </c>
      <c r="G6088" s="4"/>
      <c r="H6088" s="4">
        <f t="shared" si="610"/>
        <v>58.5</v>
      </c>
    </row>
    <row r="6089" ht="14.25" spans="1:8">
      <c r="A6089" s="3" t="str">
        <f>"30605519510"</f>
        <v>30605519510</v>
      </c>
      <c r="B6089" s="3">
        <v>5</v>
      </c>
      <c r="C6089" s="3">
        <v>195</v>
      </c>
      <c r="D6089" s="3">
        <v>10</v>
      </c>
      <c r="E6089" s="3" t="s">
        <v>9</v>
      </c>
      <c r="F6089" s="4">
        <v>54</v>
      </c>
      <c r="G6089" s="4"/>
      <c r="H6089" s="4">
        <f t="shared" si="610"/>
        <v>54</v>
      </c>
    </row>
    <row r="6090" ht="14.25" spans="1:8">
      <c r="A6090" s="3" t="str">
        <f>"30605519511"</f>
        <v>30605519511</v>
      </c>
      <c r="B6090" s="3">
        <v>5</v>
      </c>
      <c r="C6090" s="3">
        <v>195</v>
      </c>
      <c r="D6090" s="3">
        <v>11</v>
      </c>
      <c r="E6090" s="3" t="s">
        <v>9</v>
      </c>
      <c r="F6090" s="3">
        <v>0</v>
      </c>
      <c r="G6090" s="4"/>
      <c r="H6090" s="3">
        <v>0</v>
      </c>
    </row>
    <row r="6091" ht="14.25" spans="1:8">
      <c r="A6091" s="3" t="str">
        <f>"30605519512"</f>
        <v>30605519512</v>
      </c>
      <c r="B6091" s="3">
        <v>5</v>
      </c>
      <c r="C6091" s="3">
        <v>195</v>
      </c>
      <c r="D6091" s="3">
        <v>12</v>
      </c>
      <c r="E6091" s="3" t="s">
        <v>9</v>
      </c>
      <c r="F6091" s="4">
        <v>43.5</v>
      </c>
      <c r="G6091" s="4"/>
      <c r="H6091" s="4">
        <f t="shared" ref="H6091:H6115" si="611">F6091+G6091</f>
        <v>43.5</v>
      </c>
    </row>
    <row r="6092" ht="14.25" spans="1:8">
      <c r="A6092" s="3" t="str">
        <f>"30606519513"</f>
        <v>30606519513</v>
      </c>
      <c r="B6092" s="3">
        <v>5</v>
      </c>
      <c r="C6092" s="3">
        <v>195</v>
      </c>
      <c r="D6092" s="3">
        <v>13</v>
      </c>
      <c r="E6092" s="3" t="s">
        <v>9</v>
      </c>
      <c r="F6092" s="4">
        <v>77</v>
      </c>
      <c r="G6092" s="4"/>
      <c r="H6092" s="4">
        <f t="shared" si="611"/>
        <v>77</v>
      </c>
    </row>
    <row r="6093" ht="14.25" spans="1:8">
      <c r="A6093" s="3" t="str">
        <f>"30606519514"</f>
        <v>30606519514</v>
      </c>
      <c r="B6093" s="3">
        <v>5</v>
      </c>
      <c r="C6093" s="3">
        <v>195</v>
      </c>
      <c r="D6093" s="3">
        <v>14</v>
      </c>
      <c r="E6093" s="3" t="s">
        <v>9</v>
      </c>
      <c r="F6093" s="4">
        <v>76</v>
      </c>
      <c r="G6093" s="4"/>
      <c r="H6093" s="4">
        <f t="shared" si="611"/>
        <v>76</v>
      </c>
    </row>
    <row r="6094" ht="14.25" spans="1:8">
      <c r="A6094" s="3" t="str">
        <f>"30606519515"</f>
        <v>30606519515</v>
      </c>
      <c r="B6094" s="3">
        <v>5</v>
      </c>
      <c r="C6094" s="3">
        <v>195</v>
      </c>
      <c r="D6094" s="3">
        <v>15</v>
      </c>
      <c r="E6094" s="3" t="s">
        <v>9</v>
      </c>
      <c r="F6094" s="4">
        <v>60</v>
      </c>
      <c r="G6094" s="4"/>
      <c r="H6094" s="4">
        <f t="shared" si="611"/>
        <v>60</v>
      </c>
    </row>
    <row r="6095" ht="14.25" spans="1:8">
      <c r="A6095" s="3" t="str">
        <f>"30606519516"</f>
        <v>30606519516</v>
      </c>
      <c r="B6095" s="3">
        <v>5</v>
      </c>
      <c r="C6095" s="3">
        <v>195</v>
      </c>
      <c r="D6095" s="3">
        <v>16</v>
      </c>
      <c r="E6095" s="3" t="s">
        <v>9</v>
      </c>
      <c r="F6095" s="4">
        <v>85.5</v>
      </c>
      <c r="G6095" s="4"/>
      <c r="H6095" s="4">
        <f t="shared" si="611"/>
        <v>85.5</v>
      </c>
    </row>
    <row r="6096" ht="14.25" spans="1:8">
      <c r="A6096" s="3" t="str">
        <f>"30606519517"</f>
        <v>30606519517</v>
      </c>
      <c r="B6096" s="3">
        <v>5</v>
      </c>
      <c r="C6096" s="3">
        <v>195</v>
      </c>
      <c r="D6096" s="3">
        <v>17</v>
      </c>
      <c r="E6096" s="3" t="s">
        <v>9</v>
      </c>
      <c r="F6096" s="4">
        <v>60</v>
      </c>
      <c r="G6096" s="4"/>
      <c r="H6096" s="4">
        <f t="shared" si="611"/>
        <v>60</v>
      </c>
    </row>
    <row r="6097" ht="14.25" spans="1:8">
      <c r="A6097" s="3" t="str">
        <f>"30606519518"</f>
        <v>30606519518</v>
      </c>
      <c r="B6097" s="3">
        <v>5</v>
      </c>
      <c r="C6097" s="3">
        <v>195</v>
      </c>
      <c r="D6097" s="3">
        <v>18</v>
      </c>
      <c r="E6097" s="3" t="s">
        <v>9</v>
      </c>
      <c r="F6097" s="4">
        <v>60</v>
      </c>
      <c r="G6097" s="4"/>
      <c r="H6097" s="4">
        <f t="shared" si="611"/>
        <v>60</v>
      </c>
    </row>
    <row r="6098" ht="14.25" spans="1:8">
      <c r="A6098" s="3" t="str">
        <f>"30606519519"</f>
        <v>30606519519</v>
      </c>
      <c r="B6098" s="3">
        <v>5</v>
      </c>
      <c r="C6098" s="3">
        <v>195</v>
      </c>
      <c r="D6098" s="3">
        <v>19</v>
      </c>
      <c r="E6098" s="3" t="s">
        <v>9</v>
      </c>
      <c r="F6098" s="4">
        <v>73</v>
      </c>
      <c r="G6098" s="4"/>
      <c r="H6098" s="4">
        <f t="shared" si="611"/>
        <v>73</v>
      </c>
    </row>
    <row r="6099" ht="14.25" spans="1:8">
      <c r="A6099" s="3" t="str">
        <f>"30606519520"</f>
        <v>30606519520</v>
      </c>
      <c r="B6099" s="3">
        <v>5</v>
      </c>
      <c r="C6099" s="3">
        <v>195</v>
      </c>
      <c r="D6099" s="3">
        <v>20</v>
      </c>
      <c r="E6099" s="3" t="s">
        <v>9</v>
      </c>
      <c r="F6099" s="4">
        <v>70.5</v>
      </c>
      <c r="G6099" s="4"/>
      <c r="H6099" s="4">
        <f t="shared" si="611"/>
        <v>70.5</v>
      </c>
    </row>
    <row r="6100" ht="14.25" spans="1:8">
      <c r="A6100" s="3" t="str">
        <f>"30606519521"</f>
        <v>30606519521</v>
      </c>
      <c r="B6100" s="3">
        <v>5</v>
      </c>
      <c r="C6100" s="3">
        <v>195</v>
      </c>
      <c r="D6100" s="3">
        <v>21</v>
      </c>
      <c r="E6100" s="3" t="s">
        <v>9</v>
      </c>
      <c r="F6100" s="4">
        <v>55.5</v>
      </c>
      <c r="G6100" s="4"/>
      <c r="H6100" s="4">
        <f t="shared" si="611"/>
        <v>55.5</v>
      </c>
    </row>
    <row r="6101" ht="14.25" spans="1:8">
      <c r="A6101" s="3" t="str">
        <f>"30606519522"</f>
        <v>30606519522</v>
      </c>
      <c r="B6101" s="3">
        <v>5</v>
      </c>
      <c r="C6101" s="3">
        <v>195</v>
      </c>
      <c r="D6101" s="3">
        <v>22</v>
      </c>
      <c r="E6101" s="3" t="s">
        <v>9</v>
      </c>
      <c r="F6101" s="4">
        <v>77</v>
      </c>
      <c r="G6101" s="4"/>
      <c r="H6101" s="4">
        <f t="shared" si="611"/>
        <v>77</v>
      </c>
    </row>
    <row r="6102" ht="14.25" spans="1:8">
      <c r="A6102" s="3" t="str">
        <f>"30606519523"</f>
        <v>30606519523</v>
      </c>
      <c r="B6102" s="3">
        <v>5</v>
      </c>
      <c r="C6102" s="3">
        <v>195</v>
      </c>
      <c r="D6102" s="3">
        <v>23</v>
      </c>
      <c r="E6102" s="3" t="s">
        <v>9</v>
      </c>
      <c r="F6102" s="4">
        <v>52.5</v>
      </c>
      <c r="G6102" s="4"/>
      <c r="H6102" s="4">
        <f t="shared" si="611"/>
        <v>52.5</v>
      </c>
    </row>
    <row r="6103" ht="14.25" spans="1:8">
      <c r="A6103" s="3" t="str">
        <f>"30606519524"</f>
        <v>30606519524</v>
      </c>
      <c r="B6103" s="3">
        <v>5</v>
      </c>
      <c r="C6103" s="3">
        <v>195</v>
      </c>
      <c r="D6103" s="3">
        <v>24</v>
      </c>
      <c r="E6103" s="3" t="s">
        <v>9</v>
      </c>
      <c r="F6103" s="4">
        <v>63</v>
      </c>
      <c r="G6103" s="4"/>
      <c r="H6103" s="4">
        <f t="shared" si="611"/>
        <v>63</v>
      </c>
    </row>
    <row r="6104" ht="14.25" spans="1:8">
      <c r="A6104" s="3" t="str">
        <f>"30606519525"</f>
        <v>30606519525</v>
      </c>
      <c r="B6104" s="3">
        <v>5</v>
      </c>
      <c r="C6104" s="3">
        <v>195</v>
      </c>
      <c r="D6104" s="3">
        <v>25</v>
      </c>
      <c r="E6104" s="3" t="s">
        <v>9</v>
      </c>
      <c r="F6104" s="4">
        <v>47</v>
      </c>
      <c r="G6104" s="4"/>
      <c r="H6104" s="4">
        <f t="shared" si="611"/>
        <v>47</v>
      </c>
    </row>
    <row r="6105" ht="14.25" spans="1:8">
      <c r="A6105" s="3" t="str">
        <f>"30606519526"</f>
        <v>30606519526</v>
      </c>
      <c r="B6105" s="3">
        <v>5</v>
      </c>
      <c r="C6105" s="3">
        <v>195</v>
      </c>
      <c r="D6105" s="3">
        <v>26</v>
      </c>
      <c r="E6105" s="3" t="s">
        <v>9</v>
      </c>
      <c r="F6105" s="4">
        <v>76</v>
      </c>
      <c r="G6105" s="4"/>
      <c r="H6105" s="4">
        <f t="shared" si="611"/>
        <v>76</v>
      </c>
    </row>
    <row r="6106" ht="14.25" spans="1:8">
      <c r="A6106" s="3" t="str">
        <f>"30606519527"</f>
        <v>30606519527</v>
      </c>
      <c r="B6106" s="3">
        <v>5</v>
      </c>
      <c r="C6106" s="3">
        <v>195</v>
      </c>
      <c r="D6106" s="3">
        <v>27</v>
      </c>
      <c r="E6106" s="3" t="s">
        <v>9</v>
      </c>
      <c r="F6106" s="4">
        <v>66</v>
      </c>
      <c r="G6106" s="4"/>
      <c r="H6106" s="4">
        <f t="shared" si="611"/>
        <v>66</v>
      </c>
    </row>
    <row r="6107" ht="14.25" spans="1:8">
      <c r="A6107" s="3" t="str">
        <f>"30606519528"</f>
        <v>30606519528</v>
      </c>
      <c r="B6107" s="3">
        <v>5</v>
      </c>
      <c r="C6107" s="3">
        <v>195</v>
      </c>
      <c r="D6107" s="3">
        <v>28</v>
      </c>
      <c r="E6107" s="3" t="s">
        <v>9</v>
      </c>
      <c r="F6107" s="4">
        <v>68</v>
      </c>
      <c r="G6107" s="4"/>
      <c r="H6107" s="4">
        <f t="shared" si="611"/>
        <v>68</v>
      </c>
    </row>
    <row r="6108" ht="14.25" spans="1:8">
      <c r="A6108" s="3" t="str">
        <f>"30606519529"</f>
        <v>30606519529</v>
      </c>
      <c r="B6108" s="3">
        <v>5</v>
      </c>
      <c r="C6108" s="3">
        <v>195</v>
      </c>
      <c r="D6108" s="3">
        <v>29</v>
      </c>
      <c r="E6108" s="3" t="s">
        <v>9</v>
      </c>
      <c r="F6108" s="4">
        <v>73.5</v>
      </c>
      <c r="G6108" s="4"/>
      <c r="H6108" s="4">
        <f t="shared" si="611"/>
        <v>73.5</v>
      </c>
    </row>
    <row r="6109" ht="14.25" spans="1:8">
      <c r="A6109" s="3" t="str">
        <f>"30606519530"</f>
        <v>30606519530</v>
      </c>
      <c r="B6109" s="3">
        <v>5</v>
      </c>
      <c r="C6109" s="3">
        <v>195</v>
      </c>
      <c r="D6109" s="3">
        <v>30</v>
      </c>
      <c r="E6109" s="3" t="s">
        <v>9</v>
      </c>
      <c r="F6109" s="4">
        <v>59</v>
      </c>
      <c r="G6109" s="4"/>
      <c r="H6109" s="4">
        <f t="shared" si="611"/>
        <v>59</v>
      </c>
    </row>
    <row r="6110" ht="14.25" spans="1:8">
      <c r="A6110" s="3" t="str">
        <f>"30606519601"</f>
        <v>30606519601</v>
      </c>
      <c r="B6110" s="3">
        <v>5</v>
      </c>
      <c r="C6110" s="3">
        <v>196</v>
      </c>
      <c r="D6110" s="3">
        <v>1</v>
      </c>
      <c r="E6110" s="3" t="s">
        <v>9</v>
      </c>
      <c r="F6110" s="4">
        <v>77</v>
      </c>
      <c r="G6110" s="4"/>
      <c r="H6110" s="4">
        <f t="shared" si="611"/>
        <v>77</v>
      </c>
    </row>
    <row r="6111" ht="14.25" spans="1:8">
      <c r="A6111" s="3" t="str">
        <f>"30606519602"</f>
        <v>30606519602</v>
      </c>
      <c r="B6111" s="3">
        <v>5</v>
      </c>
      <c r="C6111" s="3">
        <v>196</v>
      </c>
      <c r="D6111" s="3">
        <v>2</v>
      </c>
      <c r="E6111" s="3" t="s">
        <v>9</v>
      </c>
      <c r="F6111" s="4">
        <v>62</v>
      </c>
      <c r="G6111" s="4"/>
      <c r="H6111" s="4">
        <f t="shared" si="611"/>
        <v>62</v>
      </c>
    </row>
    <row r="6112" ht="14.25" spans="1:8">
      <c r="A6112" s="3" t="str">
        <f>"30606519603"</f>
        <v>30606519603</v>
      </c>
      <c r="B6112" s="3">
        <v>5</v>
      </c>
      <c r="C6112" s="3">
        <v>196</v>
      </c>
      <c r="D6112" s="3">
        <v>3</v>
      </c>
      <c r="E6112" s="3" t="s">
        <v>9</v>
      </c>
      <c r="F6112" s="4">
        <v>78</v>
      </c>
      <c r="G6112" s="4"/>
      <c r="H6112" s="4">
        <f t="shared" si="611"/>
        <v>78</v>
      </c>
    </row>
    <row r="6113" ht="14.25" spans="1:8">
      <c r="A6113" s="3" t="str">
        <f>"30606519604"</f>
        <v>30606519604</v>
      </c>
      <c r="B6113" s="3">
        <v>5</v>
      </c>
      <c r="C6113" s="3">
        <v>196</v>
      </c>
      <c r="D6113" s="3">
        <v>4</v>
      </c>
      <c r="E6113" s="3" t="s">
        <v>9</v>
      </c>
      <c r="F6113" s="4">
        <v>70</v>
      </c>
      <c r="G6113" s="4"/>
      <c r="H6113" s="4">
        <f t="shared" si="611"/>
        <v>70</v>
      </c>
    </row>
    <row r="6114" ht="14.25" spans="1:8">
      <c r="A6114" s="3" t="str">
        <f>"30607519605"</f>
        <v>30607519605</v>
      </c>
      <c r="B6114" s="3">
        <v>5</v>
      </c>
      <c r="C6114" s="3">
        <v>196</v>
      </c>
      <c r="D6114" s="3">
        <v>5</v>
      </c>
      <c r="E6114" s="3" t="s">
        <v>9</v>
      </c>
      <c r="F6114" s="4">
        <v>66</v>
      </c>
      <c r="G6114" s="4"/>
      <c r="H6114" s="4">
        <f t="shared" si="611"/>
        <v>66</v>
      </c>
    </row>
    <row r="6115" ht="14.25" spans="1:8">
      <c r="A6115" s="3" t="str">
        <f>"30607519606"</f>
        <v>30607519606</v>
      </c>
      <c r="B6115" s="3">
        <v>5</v>
      </c>
      <c r="C6115" s="3">
        <v>196</v>
      </c>
      <c r="D6115" s="3">
        <v>6</v>
      </c>
      <c r="E6115" s="3" t="s">
        <v>9</v>
      </c>
      <c r="F6115" s="4">
        <v>80</v>
      </c>
      <c r="G6115" s="4"/>
      <c r="H6115" s="4">
        <f t="shared" si="611"/>
        <v>80</v>
      </c>
    </row>
    <row r="6116" ht="14.25" spans="1:8">
      <c r="A6116" s="3" t="str">
        <f>"30607519607"</f>
        <v>30607519607</v>
      </c>
      <c r="B6116" s="3">
        <v>5</v>
      </c>
      <c r="C6116" s="3">
        <v>196</v>
      </c>
      <c r="D6116" s="3">
        <v>7</v>
      </c>
      <c r="E6116" s="3" t="s">
        <v>9</v>
      </c>
      <c r="F6116" s="3">
        <v>0</v>
      </c>
      <c r="G6116" s="4"/>
      <c r="H6116" s="3">
        <v>0</v>
      </c>
    </row>
    <row r="6117" ht="14.25" spans="1:8">
      <c r="A6117" s="3" t="str">
        <f>"30607519608"</f>
        <v>30607519608</v>
      </c>
      <c r="B6117" s="3">
        <v>5</v>
      </c>
      <c r="C6117" s="3">
        <v>196</v>
      </c>
      <c r="D6117" s="3">
        <v>8</v>
      </c>
      <c r="E6117" s="3" t="s">
        <v>9</v>
      </c>
      <c r="F6117" s="4">
        <v>68.5</v>
      </c>
      <c r="G6117" s="4"/>
      <c r="H6117" s="4">
        <f t="shared" ref="H6117:H6127" si="612">F6117+G6117</f>
        <v>68.5</v>
      </c>
    </row>
    <row r="6118" ht="14.25" spans="1:8">
      <c r="A6118" s="3" t="str">
        <f>"30607519609"</f>
        <v>30607519609</v>
      </c>
      <c r="B6118" s="3">
        <v>5</v>
      </c>
      <c r="C6118" s="3">
        <v>196</v>
      </c>
      <c r="D6118" s="3">
        <v>9</v>
      </c>
      <c r="E6118" s="3" t="s">
        <v>9</v>
      </c>
      <c r="F6118" s="4">
        <v>77.5</v>
      </c>
      <c r="G6118" s="4"/>
      <c r="H6118" s="4">
        <f t="shared" si="612"/>
        <v>77.5</v>
      </c>
    </row>
    <row r="6119" ht="14.25" spans="1:8">
      <c r="A6119" s="3" t="str">
        <f>"30607519610"</f>
        <v>30607519610</v>
      </c>
      <c r="B6119" s="3">
        <v>5</v>
      </c>
      <c r="C6119" s="3">
        <v>196</v>
      </c>
      <c r="D6119" s="3">
        <v>10</v>
      </c>
      <c r="E6119" s="3" t="s">
        <v>9</v>
      </c>
      <c r="F6119" s="4">
        <v>64.5</v>
      </c>
      <c r="G6119" s="4"/>
      <c r="H6119" s="4">
        <f t="shared" si="612"/>
        <v>64.5</v>
      </c>
    </row>
    <row r="6120" ht="14.25" spans="1:8">
      <c r="A6120" s="3" t="str">
        <f>"30607519611"</f>
        <v>30607519611</v>
      </c>
      <c r="B6120" s="3">
        <v>5</v>
      </c>
      <c r="C6120" s="3">
        <v>196</v>
      </c>
      <c r="D6120" s="3">
        <v>11</v>
      </c>
      <c r="E6120" s="3" t="s">
        <v>9</v>
      </c>
      <c r="F6120" s="4">
        <v>49</v>
      </c>
      <c r="G6120" s="4"/>
      <c r="H6120" s="4">
        <f t="shared" si="612"/>
        <v>49</v>
      </c>
    </row>
    <row r="6121" ht="14.25" spans="1:8">
      <c r="A6121" s="3" t="str">
        <f>"30607519612"</f>
        <v>30607519612</v>
      </c>
      <c r="B6121" s="3">
        <v>5</v>
      </c>
      <c r="C6121" s="3">
        <v>196</v>
      </c>
      <c r="D6121" s="3">
        <v>12</v>
      </c>
      <c r="E6121" s="3" t="s">
        <v>9</v>
      </c>
      <c r="F6121" s="4">
        <v>70.5</v>
      </c>
      <c r="G6121" s="4"/>
      <c r="H6121" s="4">
        <f t="shared" si="612"/>
        <v>70.5</v>
      </c>
    </row>
    <row r="6122" ht="14.25" spans="1:8">
      <c r="A6122" s="3" t="str">
        <f>"30607519613"</f>
        <v>30607519613</v>
      </c>
      <c r="B6122" s="3">
        <v>5</v>
      </c>
      <c r="C6122" s="3">
        <v>196</v>
      </c>
      <c r="D6122" s="3">
        <v>13</v>
      </c>
      <c r="E6122" s="3" t="s">
        <v>9</v>
      </c>
      <c r="F6122" s="4">
        <v>66.5</v>
      </c>
      <c r="G6122" s="4"/>
      <c r="H6122" s="4">
        <f t="shared" si="612"/>
        <v>66.5</v>
      </c>
    </row>
    <row r="6123" ht="14.25" spans="1:8">
      <c r="A6123" s="3" t="str">
        <f>"30607519614"</f>
        <v>30607519614</v>
      </c>
      <c r="B6123" s="3">
        <v>5</v>
      </c>
      <c r="C6123" s="3">
        <v>196</v>
      </c>
      <c r="D6123" s="3">
        <v>14</v>
      </c>
      <c r="E6123" s="3" t="s">
        <v>9</v>
      </c>
      <c r="F6123" s="4">
        <v>77.5</v>
      </c>
      <c r="G6123" s="4"/>
      <c r="H6123" s="4">
        <f t="shared" si="612"/>
        <v>77.5</v>
      </c>
    </row>
    <row r="6124" ht="14.25" spans="1:8">
      <c r="A6124" s="3" t="str">
        <f>"30607519615"</f>
        <v>30607519615</v>
      </c>
      <c r="B6124" s="3">
        <v>5</v>
      </c>
      <c r="C6124" s="3">
        <v>196</v>
      </c>
      <c r="D6124" s="3">
        <v>15</v>
      </c>
      <c r="E6124" s="3" t="s">
        <v>9</v>
      </c>
      <c r="F6124" s="4">
        <v>65.5</v>
      </c>
      <c r="G6124" s="4"/>
      <c r="H6124" s="4">
        <f t="shared" si="612"/>
        <v>65.5</v>
      </c>
    </row>
    <row r="6125" ht="14.25" spans="1:8">
      <c r="A6125" s="3" t="str">
        <f>"30607519616"</f>
        <v>30607519616</v>
      </c>
      <c r="B6125" s="3">
        <v>5</v>
      </c>
      <c r="C6125" s="3">
        <v>196</v>
      </c>
      <c r="D6125" s="3">
        <v>16</v>
      </c>
      <c r="E6125" s="3" t="s">
        <v>9</v>
      </c>
      <c r="F6125" s="4">
        <v>62</v>
      </c>
      <c r="G6125" s="4"/>
      <c r="H6125" s="4">
        <f t="shared" si="612"/>
        <v>62</v>
      </c>
    </row>
    <row r="6126" ht="14.25" spans="1:8">
      <c r="A6126" s="3" t="str">
        <f>"30701519617"</f>
        <v>30701519617</v>
      </c>
      <c r="B6126" s="3">
        <v>5</v>
      </c>
      <c r="C6126" s="3">
        <v>196</v>
      </c>
      <c r="D6126" s="3">
        <v>17</v>
      </c>
      <c r="E6126" s="3" t="s">
        <v>9</v>
      </c>
      <c r="F6126" s="4">
        <v>60.5</v>
      </c>
      <c r="G6126" s="4"/>
      <c r="H6126" s="4">
        <f t="shared" si="612"/>
        <v>60.5</v>
      </c>
    </row>
    <row r="6127" ht="14.25" spans="1:8">
      <c r="A6127" s="3" t="str">
        <f>"30701519618"</f>
        <v>30701519618</v>
      </c>
      <c r="B6127" s="3">
        <v>5</v>
      </c>
      <c r="C6127" s="3">
        <v>196</v>
      </c>
      <c r="D6127" s="3">
        <v>18</v>
      </c>
      <c r="E6127" s="3" t="s">
        <v>9</v>
      </c>
      <c r="F6127" s="4">
        <v>85</v>
      </c>
      <c r="G6127" s="4"/>
      <c r="H6127" s="4">
        <f t="shared" si="612"/>
        <v>85</v>
      </c>
    </row>
    <row r="6128" ht="14.25" spans="1:8">
      <c r="A6128" s="3" t="str">
        <f>"30701519619"</f>
        <v>30701519619</v>
      </c>
      <c r="B6128" s="3">
        <v>5</v>
      </c>
      <c r="C6128" s="3">
        <v>196</v>
      </c>
      <c r="D6128" s="3">
        <v>19</v>
      </c>
      <c r="E6128" s="3" t="s">
        <v>9</v>
      </c>
      <c r="F6128" s="3">
        <v>0</v>
      </c>
      <c r="G6128" s="4"/>
      <c r="H6128" s="3">
        <v>0</v>
      </c>
    </row>
    <row r="6129" ht="14.25" spans="1:8">
      <c r="A6129" s="3" t="str">
        <f>"30701519620"</f>
        <v>30701519620</v>
      </c>
      <c r="B6129" s="3">
        <v>5</v>
      </c>
      <c r="C6129" s="3">
        <v>196</v>
      </c>
      <c r="D6129" s="3">
        <v>20</v>
      </c>
      <c r="E6129" s="3" t="s">
        <v>9</v>
      </c>
      <c r="F6129" s="4">
        <v>62</v>
      </c>
      <c r="G6129" s="4"/>
      <c r="H6129" s="4">
        <f t="shared" ref="H6129:H6132" si="613">F6129+G6129</f>
        <v>62</v>
      </c>
    </row>
    <row r="6130" ht="14.25" spans="1:8">
      <c r="A6130" s="3" t="str">
        <f>"30701519621"</f>
        <v>30701519621</v>
      </c>
      <c r="B6130" s="3">
        <v>5</v>
      </c>
      <c r="C6130" s="3">
        <v>196</v>
      </c>
      <c r="D6130" s="3">
        <v>21</v>
      </c>
      <c r="E6130" s="3" t="s">
        <v>9</v>
      </c>
      <c r="F6130" s="4">
        <v>75.5</v>
      </c>
      <c r="G6130" s="4"/>
      <c r="H6130" s="4">
        <f t="shared" si="613"/>
        <v>75.5</v>
      </c>
    </row>
    <row r="6131" ht="14.25" spans="1:8">
      <c r="A6131" s="3" t="str">
        <f>"30701519622"</f>
        <v>30701519622</v>
      </c>
      <c r="B6131" s="3">
        <v>5</v>
      </c>
      <c r="C6131" s="3">
        <v>196</v>
      </c>
      <c r="D6131" s="3">
        <v>22</v>
      </c>
      <c r="E6131" s="3" t="s">
        <v>9</v>
      </c>
      <c r="F6131" s="4">
        <v>62</v>
      </c>
      <c r="G6131" s="4"/>
      <c r="H6131" s="4">
        <f t="shared" si="613"/>
        <v>62</v>
      </c>
    </row>
    <row r="6132" ht="14.25" spans="1:8">
      <c r="A6132" s="3" t="str">
        <f>"30701519623"</f>
        <v>30701519623</v>
      </c>
      <c r="B6132" s="3">
        <v>5</v>
      </c>
      <c r="C6132" s="3">
        <v>196</v>
      </c>
      <c r="D6132" s="3">
        <v>23</v>
      </c>
      <c r="E6132" s="3" t="s">
        <v>9</v>
      </c>
      <c r="F6132" s="4">
        <v>60</v>
      </c>
      <c r="G6132" s="4"/>
      <c r="H6132" s="4">
        <f t="shared" si="613"/>
        <v>60</v>
      </c>
    </row>
    <row r="6133" ht="14.25" spans="1:8">
      <c r="A6133" s="3" t="str">
        <f>"30701519624"</f>
        <v>30701519624</v>
      </c>
      <c r="B6133" s="3">
        <v>5</v>
      </c>
      <c r="C6133" s="3">
        <v>196</v>
      </c>
      <c r="D6133" s="3">
        <v>24</v>
      </c>
      <c r="E6133" s="3" t="s">
        <v>9</v>
      </c>
      <c r="F6133" s="3">
        <v>0</v>
      </c>
      <c r="G6133" s="4"/>
      <c r="H6133" s="3">
        <v>0</v>
      </c>
    </row>
    <row r="6134" ht="14.25" spans="1:8">
      <c r="A6134" s="3" t="str">
        <f>"30701519625"</f>
        <v>30701519625</v>
      </c>
      <c r="B6134" s="3">
        <v>5</v>
      </c>
      <c r="C6134" s="3">
        <v>196</v>
      </c>
      <c r="D6134" s="3">
        <v>25</v>
      </c>
      <c r="E6134" s="3" t="s">
        <v>9</v>
      </c>
      <c r="F6134" s="4">
        <v>76</v>
      </c>
      <c r="G6134" s="4"/>
      <c r="H6134" s="4">
        <f t="shared" ref="H6134:H6139" si="614">F6134+G6134</f>
        <v>76</v>
      </c>
    </row>
    <row r="6135" ht="14.25" spans="1:8">
      <c r="A6135" s="3" t="str">
        <f>"30701519626"</f>
        <v>30701519626</v>
      </c>
      <c r="B6135" s="3">
        <v>5</v>
      </c>
      <c r="C6135" s="3">
        <v>196</v>
      </c>
      <c r="D6135" s="3">
        <v>26</v>
      </c>
      <c r="E6135" s="3" t="s">
        <v>9</v>
      </c>
      <c r="F6135" s="4">
        <v>71</v>
      </c>
      <c r="G6135" s="4"/>
      <c r="H6135" s="4">
        <f t="shared" si="614"/>
        <v>71</v>
      </c>
    </row>
    <row r="6136" ht="14.25" spans="1:8">
      <c r="A6136" s="3" t="str">
        <f>"30701519627"</f>
        <v>30701519627</v>
      </c>
      <c r="B6136" s="3">
        <v>5</v>
      </c>
      <c r="C6136" s="3">
        <v>196</v>
      </c>
      <c r="D6136" s="3">
        <v>27</v>
      </c>
      <c r="E6136" s="3" t="s">
        <v>9</v>
      </c>
      <c r="F6136" s="3">
        <v>0</v>
      </c>
      <c r="G6136" s="4"/>
      <c r="H6136" s="3">
        <v>0</v>
      </c>
    </row>
    <row r="6137" ht="14.25" spans="1:8">
      <c r="A6137" s="3" t="str">
        <f>"30701519628"</f>
        <v>30701519628</v>
      </c>
      <c r="B6137" s="3">
        <v>5</v>
      </c>
      <c r="C6137" s="3">
        <v>196</v>
      </c>
      <c r="D6137" s="3">
        <v>28</v>
      </c>
      <c r="E6137" s="3" t="s">
        <v>9</v>
      </c>
      <c r="F6137" s="4">
        <v>63.5</v>
      </c>
      <c r="G6137" s="4"/>
      <c r="H6137" s="4">
        <f t="shared" si="614"/>
        <v>63.5</v>
      </c>
    </row>
    <row r="6138" ht="14.25" spans="1:8">
      <c r="A6138" s="3" t="str">
        <f>"30701519629"</f>
        <v>30701519629</v>
      </c>
      <c r="B6138" s="3">
        <v>5</v>
      </c>
      <c r="C6138" s="3">
        <v>196</v>
      </c>
      <c r="D6138" s="3">
        <v>29</v>
      </c>
      <c r="E6138" s="3" t="s">
        <v>9</v>
      </c>
      <c r="F6138" s="4">
        <v>83.5</v>
      </c>
      <c r="G6138" s="4"/>
      <c r="H6138" s="4">
        <f t="shared" si="614"/>
        <v>83.5</v>
      </c>
    </row>
    <row r="6139" ht="14.25" spans="1:8">
      <c r="A6139" s="3" t="str">
        <f>"30701519630"</f>
        <v>30701519630</v>
      </c>
      <c r="B6139" s="3">
        <v>5</v>
      </c>
      <c r="C6139" s="3">
        <v>196</v>
      </c>
      <c r="D6139" s="3">
        <v>30</v>
      </c>
      <c r="E6139" s="3" t="s">
        <v>9</v>
      </c>
      <c r="F6139" s="4">
        <v>81.5</v>
      </c>
      <c r="G6139" s="4"/>
      <c r="H6139" s="4">
        <f t="shared" si="614"/>
        <v>81.5</v>
      </c>
    </row>
    <row r="6140" ht="14.25" spans="1:8">
      <c r="A6140" s="3" t="str">
        <f>"30701519701"</f>
        <v>30701519701</v>
      </c>
      <c r="B6140" s="3">
        <v>5</v>
      </c>
      <c r="C6140" s="3">
        <v>197</v>
      </c>
      <c r="D6140" s="3">
        <v>1</v>
      </c>
      <c r="E6140" s="3" t="s">
        <v>9</v>
      </c>
      <c r="F6140" s="3">
        <v>0</v>
      </c>
      <c r="G6140" s="4"/>
      <c r="H6140" s="3">
        <v>0</v>
      </c>
    </row>
    <row r="6141" ht="14.25" spans="1:8">
      <c r="A6141" s="3" t="str">
        <f>"30701519702"</f>
        <v>30701519702</v>
      </c>
      <c r="B6141" s="3">
        <v>5</v>
      </c>
      <c r="C6141" s="3">
        <v>197</v>
      </c>
      <c r="D6141" s="3">
        <v>2</v>
      </c>
      <c r="E6141" s="3" t="s">
        <v>9</v>
      </c>
      <c r="F6141" s="4">
        <v>75.5</v>
      </c>
      <c r="G6141" s="4"/>
      <c r="H6141" s="4">
        <f t="shared" ref="H6141:H6150" si="615">F6141+G6141</f>
        <v>75.5</v>
      </c>
    </row>
    <row r="6142" ht="14.25" spans="1:8">
      <c r="A6142" s="3" t="str">
        <f>"30701519703"</f>
        <v>30701519703</v>
      </c>
      <c r="B6142" s="3">
        <v>5</v>
      </c>
      <c r="C6142" s="3">
        <v>197</v>
      </c>
      <c r="D6142" s="3">
        <v>3</v>
      </c>
      <c r="E6142" s="3" t="s">
        <v>9</v>
      </c>
      <c r="F6142" s="3">
        <v>0</v>
      </c>
      <c r="G6142" s="4"/>
      <c r="H6142" s="3">
        <v>0</v>
      </c>
    </row>
    <row r="6143" ht="14.25" spans="1:8">
      <c r="A6143" s="3" t="str">
        <f>"30701519704"</f>
        <v>30701519704</v>
      </c>
      <c r="B6143" s="3">
        <v>5</v>
      </c>
      <c r="C6143" s="3">
        <v>197</v>
      </c>
      <c r="D6143" s="3">
        <v>4</v>
      </c>
      <c r="E6143" s="3" t="s">
        <v>9</v>
      </c>
      <c r="F6143" s="4">
        <v>62</v>
      </c>
      <c r="G6143" s="4"/>
      <c r="H6143" s="4">
        <f t="shared" si="615"/>
        <v>62</v>
      </c>
    </row>
    <row r="6144" ht="14.25" spans="1:8">
      <c r="A6144" s="3" t="str">
        <f>"30701519705"</f>
        <v>30701519705</v>
      </c>
      <c r="B6144" s="3">
        <v>5</v>
      </c>
      <c r="C6144" s="3">
        <v>197</v>
      </c>
      <c r="D6144" s="3">
        <v>5</v>
      </c>
      <c r="E6144" s="3" t="s">
        <v>9</v>
      </c>
      <c r="F6144" s="3">
        <v>0</v>
      </c>
      <c r="G6144" s="4"/>
      <c r="H6144" s="3">
        <v>0</v>
      </c>
    </row>
    <row r="6145" ht="14.25" spans="1:8">
      <c r="A6145" s="3" t="str">
        <f>"30701519706"</f>
        <v>30701519706</v>
      </c>
      <c r="B6145" s="3">
        <v>5</v>
      </c>
      <c r="C6145" s="3">
        <v>197</v>
      </c>
      <c r="D6145" s="3">
        <v>6</v>
      </c>
      <c r="E6145" s="3" t="s">
        <v>9</v>
      </c>
      <c r="F6145" s="3">
        <v>0</v>
      </c>
      <c r="G6145" s="4"/>
      <c r="H6145" s="3">
        <v>0</v>
      </c>
    </row>
    <row r="6146" ht="14.25" spans="1:8">
      <c r="A6146" s="3" t="str">
        <f>"30701519707"</f>
        <v>30701519707</v>
      </c>
      <c r="B6146" s="3">
        <v>5</v>
      </c>
      <c r="C6146" s="3">
        <v>197</v>
      </c>
      <c r="D6146" s="3">
        <v>7</v>
      </c>
      <c r="E6146" s="3" t="s">
        <v>9</v>
      </c>
      <c r="F6146" s="4">
        <v>62.5</v>
      </c>
      <c r="G6146" s="4"/>
      <c r="H6146" s="4">
        <f t="shared" si="615"/>
        <v>62.5</v>
      </c>
    </row>
    <row r="6147" ht="14.25" spans="1:8">
      <c r="A6147" s="3" t="str">
        <f>"30701519708"</f>
        <v>30701519708</v>
      </c>
      <c r="B6147" s="3">
        <v>5</v>
      </c>
      <c r="C6147" s="3">
        <v>197</v>
      </c>
      <c r="D6147" s="3">
        <v>8</v>
      </c>
      <c r="E6147" s="3" t="s">
        <v>9</v>
      </c>
      <c r="F6147" s="4">
        <v>83</v>
      </c>
      <c r="G6147" s="4"/>
      <c r="H6147" s="4">
        <f t="shared" si="615"/>
        <v>83</v>
      </c>
    </row>
    <row r="6148" ht="14.25" spans="1:8">
      <c r="A6148" s="3" t="str">
        <f>"30701519709"</f>
        <v>30701519709</v>
      </c>
      <c r="B6148" s="3">
        <v>5</v>
      </c>
      <c r="C6148" s="3">
        <v>197</v>
      </c>
      <c r="D6148" s="3">
        <v>9</v>
      </c>
      <c r="E6148" s="3" t="s">
        <v>9</v>
      </c>
      <c r="F6148" s="4">
        <v>75</v>
      </c>
      <c r="G6148" s="4"/>
      <c r="H6148" s="4">
        <f t="shared" si="615"/>
        <v>75</v>
      </c>
    </row>
    <row r="6149" ht="14.25" spans="1:8">
      <c r="A6149" s="3" t="str">
        <f>"30701519710"</f>
        <v>30701519710</v>
      </c>
      <c r="B6149" s="3">
        <v>5</v>
      </c>
      <c r="C6149" s="3">
        <v>197</v>
      </c>
      <c r="D6149" s="3">
        <v>10</v>
      </c>
      <c r="E6149" s="3" t="s">
        <v>9</v>
      </c>
      <c r="F6149" s="4">
        <v>63.5</v>
      </c>
      <c r="G6149" s="4"/>
      <c r="H6149" s="4">
        <f t="shared" si="615"/>
        <v>63.5</v>
      </c>
    </row>
    <row r="6150" ht="14.25" spans="1:8">
      <c r="A6150" s="3" t="str">
        <f>"30701519711"</f>
        <v>30701519711</v>
      </c>
      <c r="B6150" s="3">
        <v>5</v>
      </c>
      <c r="C6150" s="3">
        <v>197</v>
      </c>
      <c r="D6150" s="3">
        <v>11</v>
      </c>
      <c r="E6150" s="3" t="s">
        <v>9</v>
      </c>
      <c r="F6150" s="4">
        <v>71.5</v>
      </c>
      <c r="G6150" s="4"/>
      <c r="H6150" s="4">
        <f t="shared" si="615"/>
        <v>71.5</v>
      </c>
    </row>
    <row r="6151" ht="14.25" spans="1:8">
      <c r="A6151" s="3" t="str">
        <f>"30701519712"</f>
        <v>30701519712</v>
      </c>
      <c r="B6151" s="3">
        <v>5</v>
      </c>
      <c r="C6151" s="3">
        <v>197</v>
      </c>
      <c r="D6151" s="3">
        <v>12</v>
      </c>
      <c r="E6151" s="3" t="s">
        <v>9</v>
      </c>
      <c r="F6151" s="3">
        <v>0</v>
      </c>
      <c r="G6151" s="4"/>
      <c r="H6151" s="3">
        <v>0</v>
      </c>
    </row>
    <row r="6152" ht="14.25" spans="1:8">
      <c r="A6152" s="3" t="str">
        <f>"30701519713"</f>
        <v>30701519713</v>
      </c>
      <c r="B6152" s="3">
        <v>5</v>
      </c>
      <c r="C6152" s="3">
        <v>197</v>
      </c>
      <c r="D6152" s="3">
        <v>13</v>
      </c>
      <c r="E6152" s="3" t="s">
        <v>9</v>
      </c>
      <c r="F6152" s="4">
        <v>68.5</v>
      </c>
      <c r="G6152" s="4"/>
      <c r="H6152" s="4">
        <f t="shared" ref="H6152:H6154" si="616">F6152+G6152</f>
        <v>68.5</v>
      </c>
    </row>
    <row r="6153" ht="14.25" spans="1:8">
      <c r="A6153" s="3" t="str">
        <f>"30701519714"</f>
        <v>30701519714</v>
      </c>
      <c r="B6153" s="3">
        <v>5</v>
      </c>
      <c r="C6153" s="3">
        <v>197</v>
      </c>
      <c r="D6153" s="3">
        <v>14</v>
      </c>
      <c r="E6153" s="3" t="s">
        <v>9</v>
      </c>
      <c r="F6153" s="4">
        <v>80.5</v>
      </c>
      <c r="G6153" s="4"/>
      <c r="H6153" s="4">
        <f t="shared" si="616"/>
        <v>80.5</v>
      </c>
    </row>
    <row r="6154" ht="14.25" spans="1:8">
      <c r="A6154" s="3" t="str">
        <f>"30701519715"</f>
        <v>30701519715</v>
      </c>
      <c r="B6154" s="3">
        <v>5</v>
      </c>
      <c r="C6154" s="3">
        <v>197</v>
      </c>
      <c r="D6154" s="3">
        <v>15</v>
      </c>
      <c r="E6154" s="3" t="s">
        <v>9</v>
      </c>
      <c r="F6154" s="4">
        <v>72.5</v>
      </c>
      <c r="G6154" s="4"/>
      <c r="H6154" s="4">
        <f t="shared" si="616"/>
        <v>72.5</v>
      </c>
    </row>
    <row r="6155" ht="14.25" spans="1:8">
      <c r="A6155" s="3" t="str">
        <f>"30701519716"</f>
        <v>30701519716</v>
      </c>
      <c r="B6155" s="3">
        <v>5</v>
      </c>
      <c r="C6155" s="3">
        <v>197</v>
      </c>
      <c r="D6155" s="3">
        <v>16</v>
      </c>
      <c r="E6155" s="3" t="s">
        <v>9</v>
      </c>
      <c r="F6155" s="3">
        <v>0</v>
      </c>
      <c r="G6155" s="4"/>
      <c r="H6155" s="3">
        <v>0</v>
      </c>
    </row>
    <row r="6156" ht="14.25" spans="1:8">
      <c r="A6156" s="3" t="str">
        <f>"30701519717"</f>
        <v>30701519717</v>
      </c>
      <c r="B6156" s="3">
        <v>5</v>
      </c>
      <c r="C6156" s="3">
        <v>197</v>
      </c>
      <c r="D6156" s="3">
        <v>17</v>
      </c>
      <c r="E6156" s="3" t="s">
        <v>9</v>
      </c>
      <c r="F6156" s="4">
        <v>57</v>
      </c>
      <c r="G6156" s="4"/>
      <c r="H6156" s="4">
        <f t="shared" ref="H6156:H6162" si="617">F6156+G6156</f>
        <v>57</v>
      </c>
    </row>
    <row r="6157" ht="14.25" spans="1:8">
      <c r="A6157" s="3" t="str">
        <f>"30701519718"</f>
        <v>30701519718</v>
      </c>
      <c r="B6157" s="3">
        <v>5</v>
      </c>
      <c r="C6157" s="3">
        <v>197</v>
      </c>
      <c r="D6157" s="3">
        <v>18</v>
      </c>
      <c r="E6157" s="3" t="s">
        <v>9</v>
      </c>
      <c r="F6157" s="3">
        <v>0</v>
      </c>
      <c r="G6157" s="4"/>
      <c r="H6157" s="3">
        <v>0</v>
      </c>
    </row>
    <row r="6158" ht="14.25" spans="1:8">
      <c r="A6158" s="3" t="str">
        <f>"30701519719"</f>
        <v>30701519719</v>
      </c>
      <c r="B6158" s="3">
        <v>5</v>
      </c>
      <c r="C6158" s="3">
        <v>197</v>
      </c>
      <c r="D6158" s="3">
        <v>19</v>
      </c>
      <c r="E6158" s="3" t="s">
        <v>9</v>
      </c>
      <c r="F6158" s="3">
        <v>0</v>
      </c>
      <c r="G6158" s="4"/>
      <c r="H6158" s="3">
        <v>0</v>
      </c>
    </row>
    <row r="6159" ht="14.25" spans="1:8">
      <c r="A6159" s="3" t="str">
        <f>"30701519720"</f>
        <v>30701519720</v>
      </c>
      <c r="B6159" s="3">
        <v>5</v>
      </c>
      <c r="C6159" s="3">
        <v>197</v>
      </c>
      <c r="D6159" s="3">
        <v>20</v>
      </c>
      <c r="E6159" s="3" t="s">
        <v>9</v>
      </c>
      <c r="F6159" s="4">
        <v>84</v>
      </c>
      <c r="G6159" s="4"/>
      <c r="H6159" s="4">
        <f t="shared" si="617"/>
        <v>84</v>
      </c>
    </row>
    <row r="6160" ht="14.25" spans="1:8">
      <c r="A6160" s="3" t="str">
        <f>"30701519721"</f>
        <v>30701519721</v>
      </c>
      <c r="B6160" s="3">
        <v>5</v>
      </c>
      <c r="C6160" s="3">
        <v>197</v>
      </c>
      <c r="D6160" s="3">
        <v>21</v>
      </c>
      <c r="E6160" s="3" t="s">
        <v>9</v>
      </c>
      <c r="F6160" s="4">
        <v>66</v>
      </c>
      <c r="G6160" s="4"/>
      <c r="H6160" s="4">
        <f t="shared" si="617"/>
        <v>66</v>
      </c>
    </row>
    <row r="6161" ht="14.25" spans="1:8">
      <c r="A6161" s="3" t="str">
        <f>"30701519722"</f>
        <v>30701519722</v>
      </c>
      <c r="B6161" s="3">
        <v>5</v>
      </c>
      <c r="C6161" s="3">
        <v>197</v>
      </c>
      <c r="D6161" s="3">
        <v>22</v>
      </c>
      <c r="E6161" s="3" t="s">
        <v>9</v>
      </c>
      <c r="F6161" s="4">
        <v>86.5</v>
      </c>
      <c r="G6161" s="4"/>
      <c r="H6161" s="4">
        <f t="shared" si="617"/>
        <v>86.5</v>
      </c>
    </row>
    <row r="6162" ht="14.25" spans="1:8">
      <c r="A6162" s="3" t="str">
        <f>"30701519723"</f>
        <v>30701519723</v>
      </c>
      <c r="B6162" s="3">
        <v>5</v>
      </c>
      <c r="C6162" s="3">
        <v>197</v>
      </c>
      <c r="D6162" s="3">
        <v>23</v>
      </c>
      <c r="E6162" s="3" t="s">
        <v>9</v>
      </c>
      <c r="F6162" s="4">
        <v>84.5</v>
      </c>
      <c r="G6162" s="4"/>
      <c r="H6162" s="4">
        <f t="shared" si="617"/>
        <v>84.5</v>
      </c>
    </row>
    <row r="6163" ht="14.25" spans="1:8">
      <c r="A6163" s="3" t="str">
        <f>"30701519724"</f>
        <v>30701519724</v>
      </c>
      <c r="B6163" s="3">
        <v>5</v>
      </c>
      <c r="C6163" s="3">
        <v>197</v>
      </c>
      <c r="D6163" s="3">
        <v>24</v>
      </c>
      <c r="E6163" s="3" t="s">
        <v>9</v>
      </c>
      <c r="F6163" s="3">
        <v>0</v>
      </c>
      <c r="G6163" s="4"/>
      <c r="H6163" s="3">
        <v>0</v>
      </c>
    </row>
    <row r="6164" ht="14.25" spans="1:8">
      <c r="A6164" s="3" t="str">
        <f>"30701519725"</f>
        <v>30701519725</v>
      </c>
      <c r="B6164" s="3">
        <v>5</v>
      </c>
      <c r="C6164" s="3">
        <v>197</v>
      </c>
      <c r="D6164" s="3">
        <v>25</v>
      </c>
      <c r="E6164" s="3" t="s">
        <v>9</v>
      </c>
      <c r="F6164" s="3">
        <v>0</v>
      </c>
      <c r="G6164" s="4"/>
      <c r="H6164" s="3">
        <v>0</v>
      </c>
    </row>
    <row r="6165" ht="14.25" spans="1:8">
      <c r="A6165" s="3" t="str">
        <f>"30701519726"</f>
        <v>30701519726</v>
      </c>
      <c r="B6165" s="3">
        <v>5</v>
      </c>
      <c r="C6165" s="3">
        <v>197</v>
      </c>
      <c r="D6165" s="3">
        <v>26</v>
      </c>
      <c r="E6165" s="3" t="s">
        <v>9</v>
      </c>
      <c r="F6165" s="4">
        <v>73.5</v>
      </c>
      <c r="G6165" s="4"/>
      <c r="H6165" s="4">
        <f t="shared" ref="H6165:H6170" si="618">F6165+G6165</f>
        <v>73.5</v>
      </c>
    </row>
    <row r="6166" ht="14.25" spans="1:8">
      <c r="A6166" s="3" t="str">
        <f>"30701519727"</f>
        <v>30701519727</v>
      </c>
      <c r="B6166" s="3">
        <v>5</v>
      </c>
      <c r="C6166" s="3">
        <v>197</v>
      </c>
      <c r="D6166" s="3">
        <v>27</v>
      </c>
      <c r="E6166" s="3" t="s">
        <v>9</v>
      </c>
      <c r="F6166" s="3">
        <v>0</v>
      </c>
      <c r="G6166" s="4"/>
      <c r="H6166" s="3">
        <v>0</v>
      </c>
    </row>
    <row r="6167" ht="14.25" spans="1:8">
      <c r="A6167" s="3" t="str">
        <f>"30701519728"</f>
        <v>30701519728</v>
      </c>
      <c r="B6167" s="3">
        <v>5</v>
      </c>
      <c r="C6167" s="3">
        <v>197</v>
      </c>
      <c r="D6167" s="3">
        <v>28</v>
      </c>
      <c r="E6167" s="3" t="s">
        <v>9</v>
      </c>
      <c r="F6167" s="4">
        <v>63</v>
      </c>
      <c r="G6167" s="4"/>
      <c r="H6167" s="4">
        <f t="shared" si="618"/>
        <v>63</v>
      </c>
    </row>
    <row r="6168" ht="14.25" spans="1:8">
      <c r="A6168" s="3" t="str">
        <f>"30701519729"</f>
        <v>30701519729</v>
      </c>
      <c r="B6168" s="3">
        <v>5</v>
      </c>
      <c r="C6168" s="3">
        <v>197</v>
      </c>
      <c r="D6168" s="3">
        <v>29</v>
      </c>
      <c r="E6168" s="3" t="s">
        <v>9</v>
      </c>
      <c r="F6168" s="3">
        <v>0</v>
      </c>
      <c r="G6168" s="4"/>
      <c r="H6168" s="3">
        <v>0</v>
      </c>
    </row>
    <row r="6169" ht="14.25" spans="1:8">
      <c r="A6169" s="3" t="str">
        <f>"30701519730"</f>
        <v>30701519730</v>
      </c>
      <c r="B6169" s="3">
        <v>5</v>
      </c>
      <c r="C6169" s="3">
        <v>197</v>
      </c>
      <c r="D6169" s="3">
        <v>30</v>
      </c>
      <c r="E6169" s="3" t="s">
        <v>9</v>
      </c>
      <c r="F6169" s="4">
        <v>80.5</v>
      </c>
      <c r="G6169" s="4"/>
      <c r="H6169" s="4">
        <f t="shared" si="618"/>
        <v>80.5</v>
      </c>
    </row>
    <row r="6170" ht="14.25" spans="1:8">
      <c r="A6170" s="3" t="str">
        <f>"30701519801"</f>
        <v>30701519801</v>
      </c>
      <c r="B6170" s="3">
        <v>5</v>
      </c>
      <c r="C6170" s="3">
        <v>198</v>
      </c>
      <c r="D6170" s="3">
        <v>1</v>
      </c>
      <c r="E6170" s="3" t="s">
        <v>9</v>
      </c>
      <c r="F6170" s="4">
        <v>67.5</v>
      </c>
      <c r="G6170" s="4"/>
      <c r="H6170" s="4">
        <f t="shared" si="618"/>
        <v>67.5</v>
      </c>
    </row>
    <row r="6171" ht="14.25" spans="1:8">
      <c r="A6171" s="3" t="str">
        <f>"30701519802"</f>
        <v>30701519802</v>
      </c>
      <c r="B6171" s="3">
        <v>5</v>
      </c>
      <c r="C6171" s="3">
        <v>198</v>
      </c>
      <c r="D6171" s="3">
        <v>2</v>
      </c>
      <c r="E6171" s="3" t="s">
        <v>9</v>
      </c>
      <c r="F6171" s="3">
        <v>0</v>
      </c>
      <c r="G6171" s="4"/>
      <c r="H6171" s="3">
        <v>0</v>
      </c>
    </row>
    <row r="6172" ht="14.25" spans="1:8">
      <c r="A6172" s="3" t="str">
        <f>"30701519803"</f>
        <v>30701519803</v>
      </c>
      <c r="B6172" s="3">
        <v>5</v>
      </c>
      <c r="C6172" s="3">
        <v>198</v>
      </c>
      <c r="D6172" s="3">
        <v>3</v>
      </c>
      <c r="E6172" s="3" t="s">
        <v>9</v>
      </c>
      <c r="F6172" s="4">
        <v>76</v>
      </c>
      <c r="G6172" s="4"/>
      <c r="H6172" s="4">
        <f t="shared" ref="H6172:H6178" si="619">F6172+G6172</f>
        <v>76</v>
      </c>
    </row>
    <row r="6173" ht="14.25" spans="1:8">
      <c r="A6173" s="3" t="str">
        <f>"30701519804"</f>
        <v>30701519804</v>
      </c>
      <c r="B6173" s="3">
        <v>5</v>
      </c>
      <c r="C6173" s="3">
        <v>198</v>
      </c>
      <c r="D6173" s="3">
        <v>4</v>
      </c>
      <c r="E6173" s="3" t="s">
        <v>9</v>
      </c>
      <c r="F6173" s="4">
        <v>80.5</v>
      </c>
      <c r="G6173" s="4"/>
      <c r="H6173" s="4">
        <f t="shared" si="619"/>
        <v>80.5</v>
      </c>
    </row>
    <row r="6174" ht="14.25" spans="1:8">
      <c r="A6174" s="3" t="str">
        <f>"30701519805"</f>
        <v>30701519805</v>
      </c>
      <c r="B6174" s="3">
        <v>5</v>
      </c>
      <c r="C6174" s="3">
        <v>198</v>
      </c>
      <c r="D6174" s="3">
        <v>5</v>
      </c>
      <c r="E6174" s="3" t="s">
        <v>9</v>
      </c>
      <c r="F6174" s="4">
        <v>66</v>
      </c>
      <c r="G6174" s="4"/>
      <c r="H6174" s="4">
        <f t="shared" si="619"/>
        <v>66</v>
      </c>
    </row>
    <row r="6175" ht="14.25" spans="1:8">
      <c r="A6175" s="3" t="str">
        <f>"30701519806"</f>
        <v>30701519806</v>
      </c>
      <c r="B6175" s="3">
        <v>5</v>
      </c>
      <c r="C6175" s="3">
        <v>198</v>
      </c>
      <c r="D6175" s="3">
        <v>6</v>
      </c>
      <c r="E6175" s="3" t="s">
        <v>9</v>
      </c>
      <c r="F6175" s="4">
        <v>81</v>
      </c>
      <c r="G6175" s="4"/>
      <c r="H6175" s="4">
        <f t="shared" si="619"/>
        <v>81</v>
      </c>
    </row>
    <row r="6176" ht="14.25" spans="1:8">
      <c r="A6176" s="3" t="str">
        <f>"30701519807"</f>
        <v>30701519807</v>
      </c>
      <c r="B6176" s="3">
        <v>5</v>
      </c>
      <c r="C6176" s="3">
        <v>198</v>
      </c>
      <c r="D6176" s="3">
        <v>7</v>
      </c>
      <c r="E6176" s="3" t="s">
        <v>9</v>
      </c>
      <c r="F6176" s="4">
        <v>81.5</v>
      </c>
      <c r="G6176" s="4"/>
      <c r="H6176" s="4">
        <f t="shared" si="619"/>
        <v>81.5</v>
      </c>
    </row>
    <row r="6177" ht="14.25" spans="1:8">
      <c r="A6177" s="3" t="str">
        <f>"30701519808"</f>
        <v>30701519808</v>
      </c>
      <c r="B6177" s="3">
        <v>5</v>
      </c>
      <c r="C6177" s="3">
        <v>198</v>
      </c>
      <c r="D6177" s="3">
        <v>8</v>
      </c>
      <c r="E6177" s="3" t="s">
        <v>9</v>
      </c>
      <c r="F6177" s="4">
        <v>82.5</v>
      </c>
      <c r="G6177" s="4"/>
      <c r="H6177" s="4">
        <f t="shared" si="619"/>
        <v>82.5</v>
      </c>
    </row>
    <row r="6178" ht="14.25" spans="1:8">
      <c r="A6178" s="3" t="str">
        <f>"30701519809"</f>
        <v>30701519809</v>
      </c>
      <c r="B6178" s="3">
        <v>5</v>
      </c>
      <c r="C6178" s="3">
        <v>198</v>
      </c>
      <c r="D6178" s="3">
        <v>9</v>
      </c>
      <c r="E6178" s="3" t="s">
        <v>9</v>
      </c>
      <c r="F6178" s="4">
        <v>79.5</v>
      </c>
      <c r="G6178" s="4"/>
      <c r="H6178" s="4">
        <f t="shared" si="619"/>
        <v>79.5</v>
      </c>
    </row>
    <row r="6179" ht="14.25" spans="1:8">
      <c r="A6179" s="3" t="str">
        <f>"30701519810"</f>
        <v>30701519810</v>
      </c>
      <c r="B6179" s="3">
        <v>5</v>
      </c>
      <c r="C6179" s="3">
        <v>198</v>
      </c>
      <c r="D6179" s="3">
        <v>10</v>
      </c>
      <c r="E6179" s="3" t="s">
        <v>9</v>
      </c>
      <c r="F6179" s="3">
        <v>0</v>
      </c>
      <c r="G6179" s="4"/>
      <c r="H6179" s="3">
        <v>0</v>
      </c>
    </row>
    <row r="6180" ht="14.25" spans="1:8">
      <c r="A6180" s="3" t="str">
        <f>"30701519811"</f>
        <v>30701519811</v>
      </c>
      <c r="B6180" s="3">
        <v>5</v>
      </c>
      <c r="C6180" s="3">
        <v>198</v>
      </c>
      <c r="D6180" s="3">
        <v>11</v>
      </c>
      <c r="E6180" s="3" t="s">
        <v>9</v>
      </c>
      <c r="F6180" s="4">
        <v>70</v>
      </c>
      <c r="G6180" s="4"/>
      <c r="H6180" s="4">
        <f t="shared" ref="H6180:H6183" si="620">F6180+G6180</f>
        <v>70</v>
      </c>
    </row>
    <row r="6181" ht="14.25" spans="1:8">
      <c r="A6181" s="3" t="str">
        <f>"30701519812"</f>
        <v>30701519812</v>
      </c>
      <c r="B6181" s="3">
        <v>5</v>
      </c>
      <c r="C6181" s="3">
        <v>198</v>
      </c>
      <c r="D6181" s="3">
        <v>12</v>
      </c>
      <c r="E6181" s="3" t="s">
        <v>9</v>
      </c>
      <c r="F6181" s="3">
        <v>0</v>
      </c>
      <c r="G6181" s="4"/>
      <c r="H6181" s="3">
        <v>0</v>
      </c>
    </row>
    <row r="6182" ht="14.25" spans="1:8">
      <c r="A6182" s="3" t="str">
        <f>"30701519813"</f>
        <v>30701519813</v>
      </c>
      <c r="B6182" s="3">
        <v>5</v>
      </c>
      <c r="C6182" s="3">
        <v>198</v>
      </c>
      <c r="D6182" s="3">
        <v>13</v>
      </c>
      <c r="E6182" s="3" t="s">
        <v>9</v>
      </c>
      <c r="F6182" s="4">
        <v>74</v>
      </c>
      <c r="G6182" s="4"/>
      <c r="H6182" s="4">
        <f t="shared" si="620"/>
        <v>74</v>
      </c>
    </row>
    <row r="6183" ht="14.25" spans="1:8">
      <c r="A6183" s="3" t="str">
        <f>"30701519814"</f>
        <v>30701519814</v>
      </c>
      <c r="B6183" s="3">
        <v>5</v>
      </c>
      <c r="C6183" s="3">
        <v>198</v>
      </c>
      <c r="D6183" s="3">
        <v>14</v>
      </c>
      <c r="E6183" s="3" t="s">
        <v>9</v>
      </c>
      <c r="F6183" s="4">
        <v>87</v>
      </c>
      <c r="G6183" s="4"/>
      <c r="H6183" s="4">
        <f t="shared" si="620"/>
        <v>87</v>
      </c>
    </row>
    <row r="6184" ht="14.25" spans="1:8">
      <c r="A6184" s="3" t="str">
        <f>"30701519815"</f>
        <v>30701519815</v>
      </c>
      <c r="B6184" s="3">
        <v>5</v>
      </c>
      <c r="C6184" s="3">
        <v>198</v>
      </c>
      <c r="D6184" s="3">
        <v>15</v>
      </c>
      <c r="E6184" s="3" t="s">
        <v>9</v>
      </c>
      <c r="F6184" s="3">
        <v>0</v>
      </c>
      <c r="G6184" s="4"/>
      <c r="H6184" s="3">
        <v>0</v>
      </c>
    </row>
    <row r="6185" ht="14.25" spans="1:8">
      <c r="A6185" s="3" t="str">
        <f>"30701519816"</f>
        <v>30701519816</v>
      </c>
      <c r="B6185" s="3">
        <v>5</v>
      </c>
      <c r="C6185" s="3">
        <v>198</v>
      </c>
      <c r="D6185" s="3">
        <v>16</v>
      </c>
      <c r="E6185" s="3" t="s">
        <v>9</v>
      </c>
      <c r="F6185" s="4">
        <v>62.5</v>
      </c>
      <c r="G6185" s="4"/>
      <c r="H6185" s="4">
        <f t="shared" ref="H6185:H6187" si="621">F6185+G6185</f>
        <v>62.5</v>
      </c>
    </row>
    <row r="6186" ht="14.25" spans="1:8">
      <c r="A6186" s="3" t="str">
        <f>"30702519817"</f>
        <v>30702519817</v>
      </c>
      <c r="B6186" s="3">
        <v>5</v>
      </c>
      <c r="C6186" s="3">
        <v>198</v>
      </c>
      <c r="D6186" s="3">
        <v>17</v>
      </c>
      <c r="E6186" s="3" t="s">
        <v>9</v>
      </c>
      <c r="F6186" s="4">
        <v>66.5</v>
      </c>
      <c r="G6186" s="4"/>
      <c r="H6186" s="4">
        <f t="shared" si="621"/>
        <v>66.5</v>
      </c>
    </row>
    <row r="6187" ht="14.25" spans="1:8">
      <c r="A6187" s="3" t="str">
        <f>"30702519818"</f>
        <v>30702519818</v>
      </c>
      <c r="B6187" s="3">
        <v>5</v>
      </c>
      <c r="C6187" s="3">
        <v>198</v>
      </c>
      <c r="D6187" s="3">
        <v>18</v>
      </c>
      <c r="E6187" s="3" t="s">
        <v>9</v>
      </c>
      <c r="F6187" s="4">
        <v>76.5</v>
      </c>
      <c r="G6187" s="4"/>
      <c r="H6187" s="4">
        <f t="shared" si="621"/>
        <v>76.5</v>
      </c>
    </row>
    <row r="6188" ht="14.25" spans="1:8">
      <c r="A6188" s="3" t="str">
        <f>"30702519819"</f>
        <v>30702519819</v>
      </c>
      <c r="B6188" s="3">
        <v>5</v>
      </c>
      <c r="C6188" s="3">
        <v>198</v>
      </c>
      <c r="D6188" s="3">
        <v>19</v>
      </c>
      <c r="E6188" s="3" t="s">
        <v>9</v>
      </c>
      <c r="F6188" s="3">
        <v>0</v>
      </c>
      <c r="G6188" s="4"/>
      <c r="H6188" s="3">
        <v>0</v>
      </c>
    </row>
    <row r="6189" ht="14.25" spans="1:8">
      <c r="A6189" s="3" t="str">
        <f>"30702519820"</f>
        <v>30702519820</v>
      </c>
      <c r="B6189" s="3">
        <v>5</v>
      </c>
      <c r="C6189" s="3">
        <v>198</v>
      </c>
      <c r="D6189" s="3">
        <v>20</v>
      </c>
      <c r="E6189" s="3" t="s">
        <v>9</v>
      </c>
      <c r="F6189" s="4">
        <v>82.5</v>
      </c>
      <c r="G6189" s="4"/>
      <c r="H6189" s="4">
        <f t="shared" ref="H6189:H6191" si="622">F6189+G6189</f>
        <v>82.5</v>
      </c>
    </row>
    <row r="6190" ht="14.25" spans="1:8">
      <c r="A6190" s="3" t="str">
        <f>"30702519821"</f>
        <v>30702519821</v>
      </c>
      <c r="B6190" s="3">
        <v>5</v>
      </c>
      <c r="C6190" s="3">
        <v>198</v>
      </c>
      <c r="D6190" s="3">
        <v>21</v>
      </c>
      <c r="E6190" s="3" t="s">
        <v>9</v>
      </c>
      <c r="F6190" s="4">
        <v>76</v>
      </c>
      <c r="G6190" s="4"/>
      <c r="H6190" s="4">
        <f t="shared" si="622"/>
        <v>76</v>
      </c>
    </row>
    <row r="6191" ht="14.25" spans="1:8">
      <c r="A6191" s="3" t="str">
        <f>"30702519822"</f>
        <v>30702519822</v>
      </c>
      <c r="B6191" s="3">
        <v>5</v>
      </c>
      <c r="C6191" s="3">
        <v>198</v>
      </c>
      <c r="D6191" s="3">
        <v>22</v>
      </c>
      <c r="E6191" s="3" t="s">
        <v>9</v>
      </c>
      <c r="F6191" s="4">
        <v>48.5</v>
      </c>
      <c r="G6191" s="4"/>
      <c r="H6191" s="4">
        <f t="shared" si="622"/>
        <v>48.5</v>
      </c>
    </row>
    <row r="6192" ht="14.25" spans="1:8">
      <c r="A6192" s="3" t="str">
        <f>"30702519823"</f>
        <v>30702519823</v>
      </c>
      <c r="B6192" s="3">
        <v>5</v>
      </c>
      <c r="C6192" s="3">
        <v>198</v>
      </c>
      <c r="D6192" s="3">
        <v>23</v>
      </c>
      <c r="E6192" s="3" t="s">
        <v>9</v>
      </c>
      <c r="F6192" s="3">
        <v>0</v>
      </c>
      <c r="G6192" s="4"/>
      <c r="H6192" s="3">
        <v>0</v>
      </c>
    </row>
    <row r="6193" ht="14.25" spans="1:8">
      <c r="A6193" s="3" t="str">
        <f>"30702519824"</f>
        <v>30702519824</v>
      </c>
      <c r="B6193" s="3">
        <v>5</v>
      </c>
      <c r="C6193" s="3">
        <v>198</v>
      </c>
      <c r="D6193" s="3">
        <v>24</v>
      </c>
      <c r="E6193" s="3" t="s">
        <v>9</v>
      </c>
      <c r="F6193" s="4">
        <v>50</v>
      </c>
      <c r="G6193" s="4"/>
      <c r="H6193" s="4">
        <f t="shared" ref="H6193:H6198" si="623">F6193+G6193</f>
        <v>50</v>
      </c>
    </row>
    <row r="6194" ht="14.25" spans="1:8">
      <c r="A6194" s="3" t="str">
        <f>"30702519825"</f>
        <v>30702519825</v>
      </c>
      <c r="B6194" s="3">
        <v>5</v>
      </c>
      <c r="C6194" s="3">
        <v>198</v>
      </c>
      <c r="D6194" s="3">
        <v>25</v>
      </c>
      <c r="E6194" s="3" t="s">
        <v>9</v>
      </c>
      <c r="F6194" s="4">
        <v>63.5</v>
      </c>
      <c r="G6194" s="4"/>
      <c r="H6194" s="4">
        <f t="shared" si="623"/>
        <v>63.5</v>
      </c>
    </row>
    <row r="6195" ht="14.25" spans="1:8">
      <c r="A6195" s="3" t="str">
        <f>"30702519826"</f>
        <v>30702519826</v>
      </c>
      <c r="B6195" s="3">
        <v>5</v>
      </c>
      <c r="C6195" s="3">
        <v>198</v>
      </c>
      <c r="D6195" s="3">
        <v>26</v>
      </c>
      <c r="E6195" s="3" t="s">
        <v>9</v>
      </c>
      <c r="F6195" s="4">
        <v>62</v>
      </c>
      <c r="G6195" s="4"/>
      <c r="H6195" s="4">
        <f t="shared" si="623"/>
        <v>62</v>
      </c>
    </row>
    <row r="6196" ht="14.25" spans="1:8">
      <c r="A6196" s="3" t="str">
        <f>"30702519827"</f>
        <v>30702519827</v>
      </c>
      <c r="B6196" s="3">
        <v>5</v>
      </c>
      <c r="C6196" s="3">
        <v>198</v>
      </c>
      <c r="D6196" s="3">
        <v>27</v>
      </c>
      <c r="E6196" s="3" t="s">
        <v>9</v>
      </c>
      <c r="F6196" s="4">
        <v>77</v>
      </c>
      <c r="G6196" s="4"/>
      <c r="H6196" s="4">
        <f t="shared" si="623"/>
        <v>77</v>
      </c>
    </row>
    <row r="6197" ht="14.25" spans="1:8">
      <c r="A6197" s="3" t="str">
        <f>"30702519828"</f>
        <v>30702519828</v>
      </c>
      <c r="B6197" s="3">
        <v>5</v>
      </c>
      <c r="C6197" s="3">
        <v>198</v>
      </c>
      <c r="D6197" s="3">
        <v>28</v>
      </c>
      <c r="E6197" s="3" t="s">
        <v>9</v>
      </c>
      <c r="F6197" s="4">
        <v>59.5</v>
      </c>
      <c r="G6197" s="4"/>
      <c r="H6197" s="4">
        <f t="shared" si="623"/>
        <v>59.5</v>
      </c>
    </row>
    <row r="6198" ht="14.25" spans="1:8">
      <c r="A6198" s="3" t="str">
        <f>"30702519829"</f>
        <v>30702519829</v>
      </c>
      <c r="B6198" s="3">
        <v>5</v>
      </c>
      <c r="C6198" s="3">
        <v>198</v>
      </c>
      <c r="D6198" s="3">
        <v>29</v>
      </c>
      <c r="E6198" s="3" t="s">
        <v>9</v>
      </c>
      <c r="F6198" s="4">
        <v>77</v>
      </c>
      <c r="G6198" s="4"/>
      <c r="H6198" s="4">
        <f t="shared" si="623"/>
        <v>77</v>
      </c>
    </row>
    <row r="6199" ht="14.25" spans="1:8">
      <c r="A6199" s="3" t="str">
        <f>"30702519830"</f>
        <v>30702519830</v>
      </c>
      <c r="B6199" s="3">
        <v>5</v>
      </c>
      <c r="C6199" s="3">
        <v>198</v>
      </c>
      <c r="D6199" s="3">
        <v>30</v>
      </c>
      <c r="E6199" s="3" t="s">
        <v>9</v>
      </c>
      <c r="F6199" s="3">
        <v>0</v>
      </c>
      <c r="G6199" s="4"/>
      <c r="H6199" s="3">
        <v>0</v>
      </c>
    </row>
    <row r="6200" ht="14.25" spans="1:8">
      <c r="A6200" s="3" t="str">
        <f>"30702519901"</f>
        <v>30702519901</v>
      </c>
      <c r="B6200" s="3">
        <v>5</v>
      </c>
      <c r="C6200" s="3">
        <v>199</v>
      </c>
      <c r="D6200" s="3">
        <v>1</v>
      </c>
      <c r="E6200" s="3" t="s">
        <v>9</v>
      </c>
      <c r="F6200" s="4">
        <v>52.5</v>
      </c>
      <c r="G6200" s="4"/>
      <c r="H6200" s="4">
        <f t="shared" ref="H6200:H6202" si="624">F6200+G6200</f>
        <v>52.5</v>
      </c>
    </row>
    <row r="6201" ht="14.25" spans="1:8">
      <c r="A6201" s="3" t="str">
        <f>"30702519902"</f>
        <v>30702519902</v>
      </c>
      <c r="B6201" s="3">
        <v>5</v>
      </c>
      <c r="C6201" s="3">
        <v>199</v>
      </c>
      <c r="D6201" s="3">
        <v>2</v>
      </c>
      <c r="E6201" s="3" t="s">
        <v>9</v>
      </c>
      <c r="F6201" s="4">
        <v>66</v>
      </c>
      <c r="G6201" s="4"/>
      <c r="H6201" s="4">
        <f t="shared" si="624"/>
        <v>66</v>
      </c>
    </row>
    <row r="6202" ht="14.25" spans="1:8">
      <c r="A6202" s="3" t="str">
        <f>"30702519903"</f>
        <v>30702519903</v>
      </c>
      <c r="B6202" s="3">
        <v>5</v>
      </c>
      <c r="C6202" s="3">
        <v>199</v>
      </c>
      <c r="D6202" s="3">
        <v>3</v>
      </c>
      <c r="E6202" s="3" t="s">
        <v>9</v>
      </c>
      <c r="F6202" s="4">
        <v>80</v>
      </c>
      <c r="G6202" s="4"/>
      <c r="H6202" s="4">
        <f t="shared" si="624"/>
        <v>80</v>
      </c>
    </row>
    <row r="6203" ht="14.25" spans="1:8">
      <c r="A6203" s="3" t="str">
        <f>"30702519904"</f>
        <v>30702519904</v>
      </c>
      <c r="B6203" s="3">
        <v>5</v>
      </c>
      <c r="C6203" s="3">
        <v>199</v>
      </c>
      <c r="D6203" s="3">
        <v>4</v>
      </c>
      <c r="E6203" s="3" t="s">
        <v>9</v>
      </c>
      <c r="F6203" s="3">
        <v>0</v>
      </c>
      <c r="G6203" s="4"/>
      <c r="H6203" s="3">
        <v>0</v>
      </c>
    </row>
    <row r="6204" ht="14.25" spans="1:8">
      <c r="A6204" s="3" t="str">
        <f>"30702519905"</f>
        <v>30702519905</v>
      </c>
      <c r="B6204" s="3">
        <v>5</v>
      </c>
      <c r="C6204" s="3">
        <v>199</v>
      </c>
      <c r="D6204" s="3">
        <v>5</v>
      </c>
      <c r="E6204" s="3" t="s">
        <v>9</v>
      </c>
      <c r="F6204" s="3">
        <v>0</v>
      </c>
      <c r="G6204" s="4"/>
      <c r="H6204" s="3">
        <v>0</v>
      </c>
    </row>
    <row r="6205" ht="14.25" spans="1:8">
      <c r="A6205" s="3" t="str">
        <f>"30702519906"</f>
        <v>30702519906</v>
      </c>
      <c r="B6205" s="3">
        <v>5</v>
      </c>
      <c r="C6205" s="3">
        <v>199</v>
      </c>
      <c r="D6205" s="3">
        <v>6</v>
      </c>
      <c r="E6205" s="3" t="s">
        <v>9</v>
      </c>
      <c r="F6205" s="4">
        <v>60.5</v>
      </c>
      <c r="G6205" s="4">
        <v>10</v>
      </c>
      <c r="H6205" s="4">
        <f t="shared" ref="H6205:H6211" si="625">F6205+G6205</f>
        <v>70.5</v>
      </c>
    </row>
    <row r="6206" ht="14.25" spans="1:8">
      <c r="A6206" s="3" t="str">
        <f>"30702519907"</f>
        <v>30702519907</v>
      </c>
      <c r="B6206" s="3">
        <v>5</v>
      </c>
      <c r="C6206" s="3">
        <v>199</v>
      </c>
      <c r="D6206" s="3">
        <v>7</v>
      </c>
      <c r="E6206" s="3" t="s">
        <v>9</v>
      </c>
      <c r="F6206" s="4">
        <v>74</v>
      </c>
      <c r="G6206" s="4"/>
      <c r="H6206" s="4">
        <f t="shared" si="625"/>
        <v>74</v>
      </c>
    </row>
    <row r="6207" ht="14.25" spans="1:8">
      <c r="A6207" s="3" t="str">
        <f>"30702519908"</f>
        <v>30702519908</v>
      </c>
      <c r="B6207" s="3">
        <v>5</v>
      </c>
      <c r="C6207" s="3">
        <v>199</v>
      </c>
      <c r="D6207" s="3">
        <v>8</v>
      </c>
      <c r="E6207" s="3" t="s">
        <v>9</v>
      </c>
      <c r="F6207" s="4">
        <v>82</v>
      </c>
      <c r="G6207" s="4"/>
      <c r="H6207" s="4">
        <f t="shared" si="625"/>
        <v>82</v>
      </c>
    </row>
    <row r="6208" ht="14.25" spans="1:8">
      <c r="A6208" s="3" t="str">
        <f>"30702519909"</f>
        <v>30702519909</v>
      </c>
      <c r="B6208" s="3">
        <v>5</v>
      </c>
      <c r="C6208" s="3">
        <v>199</v>
      </c>
      <c r="D6208" s="3">
        <v>9</v>
      </c>
      <c r="E6208" s="3" t="s">
        <v>9</v>
      </c>
      <c r="F6208" s="4">
        <v>74.5</v>
      </c>
      <c r="G6208" s="4"/>
      <c r="H6208" s="4">
        <f t="shared" si="625"/>
        <v>74.5</v>
      </c>
    </row>
    <row r="6209" ht="14.25" spans="1:8">
      <c r="A6209" s="3" t="str">
        <f>"30702519910"</f>
        <v>30702519910</v>
      </c>
      <c r="B6209" s="3">
        <v>5</v>
      </c>
      <c r="C6209" s="3">
        <v>199</v>
      </c>
      <c r="D6209" s="3">
        <v>10</v>
      </c>
      <c r="E6209" s="3" t="s">
        <v>9</v>
      </c>
      <c r="F6209" s="4">
        <v>80.5</v>
      </c>
      <c r="G6209" s="4"/>
      <c r="H6209" s="4">
        <f t="shared" si="625"/>
        <v>80.5</v>
      </c>
    </row>
    <row r="6210" ht="14.25" spans="1:8">
      <c r="A6210" s="3" t="str">
        <f>"30702519911"</f>
        <v>30702519911</v>
      </c>
      <c r="B6210" s="3">
        <v>5</v>
      </c>
      <c r="C6210" s="3">
        <v>199</v>
      </c>
      <c r="D6210" s="3">
        <v>11</v>
      </c>
      <c r="E6210" s="3" t="s">
        <v>9</v>
      </c>
      <c r="F6210" s="4">
        <v>61.5</v>
      </c>
      <c r="G6210" s="4"/>
      <c r="H6210" s="4">
        <f t="shared" si="625"/>
        <v>61.5</v>
      </c>
    </row>
    <row r="6211" ht="14.25" spans="1:8">
      <c r="A6211" s="3" t="str">
        <f>"30702519912"</f>
        <v>30702519912</v>
      </c>
      <c r="B6211" s="3">
        <v>5</v>
      </c>
      <c r="C6211" s="3">
        <v>199</v>
      </c>
      <c r="D6211" s="3">
        <v>12</v>
      </c>
      <c r="E6211" s="3" t="s">
        <v>9</v>
      </c>
      <c r="F6211" s="4">
        <v>73.5</v>
      </c>
      <c r="G6211" s="4"/>
      <c r="H6211" s="4">
        <f t="shared" si="625"/>
        <v>73.5</v>
      </c>
    </row>
    <row r="6212" ht="14.25" spans="1:8">
      <c r="A6212" s="3" t="str">
        <f>"30702519913"</f>
        <v>30702519913</v>
      </c>
      <c r="B6212" s="3">
        <v>5</v>
      </c>
      <c r="C6212" s="3">
        <v>199</v>
      </c>
      <c r="D6212" s="3">
        <v>13</v>
      </c>
      <c r="E6212" s="3" t="s">
        <v>9</v>
      </c>
      <c r="F6212" s="3">
        <v>0</v>
      </c>
      <c r="G6212" s="4"/>
      <c r="H6212" s="3">
        <v>0</v>
      </c>
    </row>
    <row r="6213" ht="14.25" spans="1:8">
      <c r="A6213" s="3" t="str">
        <f>"30702519914"</f>
        <v>30702519914</v>
      </c>
      <c r="B6213" s="3">
        <v>5</v>
      </c>
      <c r="C6213" s="3">
        <v>199</v>
      </c>
      <c r="D6213" s="3">
        <v>14</v>
      </c>
      <c r="E6213" s="3" t="s">
        <v>9</v>
      </c>
      <c r="F6213" s="4">
        <v>64</v>
      </c>
      <c r="G6213" s="4"/>
      <c r="H6213" s="4">
        <f t="shared" ref="H6213:H6225" si="626">F6213+G6213</f>
        <v>64</v>
      </c>
    </row>
    <row r="6214" ht="14.25" spans="1:8">
      <c r="A6214" s="3" t="str">
        <f>"30702519915"</f>
        <v>30702519915</v>
      </c>
      <c r="B6214" s="3">
        <v>5</v>
      </c>
      <c r="C6214" s="3">
        <v>199</v>
      </c>
      <c r="D6214" s="3">
        <v>15</v>
      </c>
      <c r="E6214" s="3" t="s">
        <v>9</v>
      </c>
      <c r="F6214" s="3">
        <v>0</v>
      </c>
      <c r="G6214" s="4"/>
      <c r="H6214" s="3">
        <v>0</v>
      </c>
    </row>
    <row r="6215" ht="14.25" spans="1:8">
      <c r="A6215" s="3" t="str">
        <f>"30702519916"</f>
        <v>30702519916</v>
      </c>
      <c r="B6215" s="3">
        <v>5</v>
      </c>
      <c r="C6215" s="3">
        <v>199</v>
      </c>
      <c r="D6215" s="3">
        <v>16</v>
      </c>
      <c r="E6215" s="3" t="s">
        <v>9</v>
      </c>
      <c r="F6215" s="4">
        <v>75</v>
      </c>
      <c r="G6215" s="4"/>
      <c r="H6215" s="4">
        <f t="shared" si="626"/>
        <v>75</v>
      </c>
    </row>
    <row r="6216" ht="14.25" spans="1:8">
      <c r="A6216" s="3" t="str">
        <f>"30702519917"</f>
        <v>30702519917</v>
      </c>
      <c r="B6216" s="3">
        <v>5</v>
      </c>
      <c r="C6216" s="3">
        <v>199</v>
      </c>
      <c r="D6216" s="3">
        <v>17</v>
      </c>
      <c r="E6216" s="3" t="s">
        <v>9</v>
      </c>
      <c r="F6216" s="4">
        <v>81</v>
      </c>
      <c r="G6216" s="4"/>
      <c r="H6216" s="4">
        <f t="shared" si="626"/>
        <v>81</v>
      </c>
    </row>
    <row r="6217" ht="14.25" spans="1:8">
      <c r="A6217" s="3" t="str">
        <f>"30702519918"</f>
        <v>30702519918</v>
      </c>
      <c r="B6217" s="3">
        <v>5</v>
      </c>
      <c r="C6217" s="3">
        <v>199</v>
      </c>
      <c r="D6217" s="3">
        <v>18</v>
      </c>
      <c r="E6217" s="3" t="s">
        <v>9</v>
      </c>
      <c r="F6217" s="4">
        <v>73</v>
      </c>
      <c r="G6217" s="4"/>
      <c r="H6217" s="4">
        <f t="shared" si="626"/>
        <v>73</v>
      </c>
    </row>
    <row r="6218" ht="14.25" spans="1:8">
      <c r="A6218" s="3" t="str">
        <f>"30702519919"</f>
        <v>30702519919</v>
      </c>
      <c r="B6218" s="3">
        <v>5</v>
      </c>
      <c r="C6218" s="3">
        <v>199</v>
      </c>
      <c r="D6218" s="3">
        <v>19</v>
      </c>
      <c r="E6218" s="3" t="s">
        <v>9</v>
      </c>
      <c r="F6218" s="4">
        <v>85.5</v>
      </c>
      <c r="G6218" s="4"/>
      <c r="H6218" s="4">
        <f t="shared" si="626"/>
        <v>85.5</v>
      </c>
    </row>
    <row r="6219" ht="14.25" spans="1:8">
      <c r="A6219" s="3" t="str">
        <f>"30702519920"</f>
        <v>30702519920</v>
      </c>
      <c r="B6219" s="3">
        <v>5</v>
      </c>
      <c r="C6219" s="3">
        <v>199</v>
      </c>
      <c r="D6219" s="3">
        <v>20</v>
      </c>
      <c r="E6219" s="3" t="s">
        <v>9</v>
      </c>
      <c r="F6219" s="4">
        <v>80</v>
      </c>
      <c r="G6219" s="4"/>
      <c r="H6219" s="4">
        <f t="shared" si="626"/>
        <v>80</v>
      </c>
    </row>
    <row r="6220" ht="14.25" spans="1:8">
      <c r="A6220" s="3" t="str">
        <f>"30702519921"</f>
        <v>30702519921</v>
      </c>
      <c r="B6220" s="3">
        <v>5</v>
      </c>
      <c r="C6220" s="3">
        <v>199</v>
      </c>
      <c r="D6220" s="3">
        <v>21</v>
      </c>
      <c r="E6220" s="3" t="s">
        <v>9</v>
      </c>
      <c r="F6220" s="4">
        <v>67</v>
      </c>
      <c r="G6220" s="4"/>
      <c r="H6220" s="4">
        <f t="shared" si="626"/>
        <v>67</v>
      </c>
    </row>
    <row r="6221" ht="14.25" spans="1:8">
      <c r="A6221" s="3" t="str">
        <f>"30702519922"</f>
        <v>30702519922</v>
      </c>
      <c r="B6221" s="3">
        <v>5</v>
      </c>
      <c r="C6221" s="3">
        <v>199</v>
      </c>
      <c r="D6221" s="3">
        <v>22</v>
      </c>
      <c r="E6221" s="3" t="s">
        <v>9</v>
      </c>
      <c r="F6221" s="4">
        <v>67</v>
      </c>
      <c r="G6221" s="4"/>
      <c r="H6221" s="4">
        <f t="shared" si="626"/>
        <v>67</v>
      </c>
    </row>
    <row r="6222" ht="14.25" spans="1:8">
      <c r="A6222" s="3" t="str">
        <f>"30702519923"</f>
        <v>30702519923</v>
      </c>
      <c r="B6222" s="3">
        <v>5</v>
      </c>
      <c r="C6222" s="3">
        <v>199</v>
      </c>
      <c r="D6222" s="3">
        <v>23</v>
      </c>
      <c r="E6222" s="3" t="s">
        <v>9</v>
      </c>
      <c r="F6222" s="4">
        <v>69</v>
      </c>
      <c r="G6222" s="4"/>
      <c r="H6222" s="4">
        <f t="shared" si="626"/>
        <v>69</v>
      </c>
    </row>
    <row r="6223" ht="14.25" spans="1:8">
      <c r="A6223" s="3" t="str">
        <f>"30702519924"</f>
        <v>30702519924</v>
      </c>
      <c r="B6223" s="3">
        <v>5</v>
      </c>
      <c r="C6223" s="3">
        <v>199</v>
      </c>
      <c r="D6223" s="3">
        <v>24</v>
      </c>
      <c r="E6223" s="3" t="s">
        <v>9</v>
      </c>
      <c r="F6223" s="4">
        <v>80.5</v>
      </c>
      <c r="G6223" s="4"/>
      <c r="H6223" s="4">
        <f t="shared" si="626"/>
        <v>80.5</v>
      </c>
    </row>
    <row r="6224" ht="14.25" spans="1:8">
      <c r="A6224" s="3" t="str">
        <f>"30702519925"</f>
        <v>30702519925</v>
      </c>
      <c r="B6224" s="3">
        <v>5</v>
      </c>
      <c r="C6224" s="3">
        <v>199</v>
      </c>
      <c r="D6224" s="3">
        <v>25</v>
      </c>
      <c r="E6224" s="3" t="s">
        <v>9</v>
      </c>
      <c r="F6224" s="4">
        <v>57</v>
      </c>
      <c r="G6224" s="4"/>
      <c r="H6224" s="4">
        <f t="shared" si="626"/>
        <v>57</v>
      </c>
    </row>
    <row r="6225" ht="14.25" spans="1:8">
      <c r="A6225" s="3" t="str">
        <f>"30702519926"</f>
        <v>30702519926</v>
      </c>
      <c r="B6225" s="3">
        <v>5</v>
      </c>
      <c r="C6225" s="3">
        <v>199</v>
      </c>
      <c r="D6225" s="3">
        <v>26</v>
      </c>
      <c r="E6225" s="3" t="s">
        <v>9</v>
      </c>
      <c r="F6225" s="4">
        <v>83.5</v>
      </c>
      <c r="G6225" s="4"/>
      <c r="H6225" s="4">
        <f t="shared" si="626"/>
        <v>83.5</v>
      </c>
    </row>
    <row r="6226" ht="14.25" spans="1:8">
      <c r="A6226" s="3" t="str">
        <f>"30702519927"</f>
        <v>30702519927</v>
      </c>
      <c r="B6226" s="3">
        <v>5</v>
      </c>
      <c r="C6226" s="3">
        <v>199</v>
      </c>
      <c r="D6226" s="3">
        <v>27</v>
      </c>
      <c r="E6226" s="3" t="s">
        <v>9</v>
      </c>
      <c r="F6226" s="3">
        <v>0</v>
      </c>
      <c r="G6226" s="4"/>
      <c r="H6226" s="3">
        <v>0</v>
      </c>
    </row>
    <row r="6227" ht="14.25" spans="1:8">
      <c r="A6227" s="3" t="str">
        <f>"30702519928"</f>
        <v>30702519928</v>
      </c>
      <c r="B6227" s="3">
        <v>5</v>
      </c>
      <c r="C6227" s="3">
        <v>199</v>
      </c>
      <c r="D6227" s="3">
        <v>28</v>
      </c>
      <c r="E6227" s="3" t="s">
        <v>9</v>
      </c>
      <c r="F6227" s="4">
        <v>65.5</v>
      </c>
      <c r="G6227" s="4"/>
      <c r="H6227" s="4">
        <f t="shared" ref="H6227:H6232" si="627">F6227+G6227</f>
        <v>65.5</v>
      </c>
    </row>
    <row r="6228" ht="14.25" spans="1:8">
      <c r="A6228" s="3" t="str">
        <f>"30702519929"</f>
        <v>30702519929</v>
      </c>
      <c r="B6228" s="3">
        <v>5</v>
      </c>
      <c r="C6228" s="3">
        <v>199</v>
      </c>
      <c r="D6228" s="3">
        <v>29</v>
      </c>
      <c r="E6228" s="3" t="s">
        <v>9</v>
      </c>
      <c r="F6228" s="4">
        <v>81</v>
      </c>
      <c r="G6228" s="4"/>
      <c r="H6228" s="4">
        <f t="shared" si="627"/>
        <v>81</v>
      </c>
    </row>
    <row r="6229" ht="14.25" spans="1:8">
      <c r="A6229" s="3" t="str">
        <f>"30702519930"</f>
        <v>30702519930</v>
      </c>
      <c r="B6229" s="3">
        <v>5</v>
      </c>
      <c r="C6229" s="3">
        <v>199</v>
      </c>
      <c r="D6229" s="3">
        <v>30</v>
      </c>
      <c r="E6229" s="3" t="s">
        <v>9</v>
      </c>
      <c r="F6229" s="4">
        <v>69.5</v>
      </c>
      <c r="G6229" s="4"/>
      <c r="H6229" s="4">
        <f t="shared" si="627"/>
        <v>69.5</v>
      </c>
    </row>
    <row r="6230" ht="14.25" spans="1:8">
      <c r="A6230" s="3" t="str">
        <f>"30702520001"</f>
        <v>30702520001</v>
      </c>
      <c r="B6230" s="3">
        <v>5</v>
      </c>
      <c r="C6230" s="3">
        <v>200</v>
      </c>
      <c r="D6230" s="3">
        <v>1</v>
      </c>
      <c r="E6230" s="3" t="s">
        <v>9</v>
      </c>
      <c r="F6230" s="4">
        <v>83</v>
      </c>
      <c r="G6230" s="4"/>
      <c r="H6230" s="4">
        <f t="shared" si="627"/>
        <v>83</v>
      </c>
    </row>
    <row r="6231" ht="14.25" spans="1:8">
      <c r="A6231" s="3" t="str">
        <f>"30702520002"</f>
        <v>30702520002</v>
      </c>
      <c r="B6231" s="3">
        <v>5</v>
      </c>
      <c r="C6231" s="3">
        <v>200</v>
      </c>
      <c r="D6231" s="3">
        <v>2</v>
      </c>
      <c r="E6231" s="3" t="s">
        <v>9</v>
      </c>
      <c r="F6231" s="4">
        <v>68</v>
      </c>
      <c r="G6231" s="4"/>
      <c r="H6231" s="4">
        <f t="shared" si="627"/>
        <v>68</v>
      </c>
    </row>
    <row r="6232" ht="14.25" spans="1:8">
      <c r="A6232" s="3" t="str">
        <f>"30702520003"</f>
        <v>30702520003</v>
      </c>
      <c r="B6232" s="3">
        <v>5</v>
      </c>
      <c r="C6232" s="3">
        <v>200</v>
      </c>
      <c r="D6232" s="3">
        <v>3</v>
      </c>
      <c r="E6232" s="3" t="s">
        <v>9</v>
      </c>
      <c r="F6232" s="4">
        <v>57.5</v>
      </c>
      <c r="G6232" s="4"/>
      <c r="H6232" s="4">
        <f t="shared" si="627"/>
        <v>57.5</v>
      </c>
    </row>
    <row r="6233" ht="14.25" spans="1:8">
      <c r="A6233" s="3" t="str">
        <f>"30702520004"</f>
        <v>30702520004</v>
      </c>
      <c r="B6233" s="3">
        <v>5</v>
      </c>
      <c r="C6233" s="3">
        <v>200</v>
      </c>
      <c r="D6233" s="3">
        <v>4</v>
      </c>
      <c r="E6233" s="3" t="s">
        <v>9</v>
      </c>
      <c r="F6233" s="3">
        <v>0</v>
      </c>
      <c r="G6233" s="4"/>
      <c r="H6233" s="3">
        <v>0</v>
      </c>
    </row>
    <row r="6234" ht="14.25" spans="1:8">
      <c r="A6234" s="3" t="str">
        <f>"30702520005"</f>
        <v>30702520005</v>
      </c>
      <c r="B6234" s="3">
        <v>5</v>
      </c>
      <c r="C6234" s="3">
        <v>200</v>
      </c>
      <c r="D6234" s="3">
        <v>5</v>
      </c>
      <c r="E6234" s="3" t="s">
        <v>9</v>
      </c>
      <c r="F6234" s="4">
        <v>71.5</v>
      </c>
      <c r="G6234" s="4"/>
      <c r="H6234" s="4">
        <f t="shared" ref="H6234:H6236" si="628">F6234+G6234</f>
        <v>71.5</v>
      </c>
    </row>
    <row r="6235" ht="14.25" spans="1:8">
      <c r="A6235" s="3" t="str">
        <f>"30702520006"</f>
        <v>30702520006</v>
      </c>
      <c r="B6235" s="3">
        <v>5</v>
      </c>
      <c r="C6235" s="3">
        <v>200</v>
      </c>
      <c r="D6235" s="3">
        <v>6</v>
      </c>
      <c r="E6235" s="3" t="s">
        <v>9</v>
      </c>
      <c r="F6235" s="4">
        <v>68</v>
      </c>
      <c r="G6235" s="4"/>
      <c r="H6235" s="4">
        <f t="shared" si="628"/>
        <v>68</v>
      </c>
    </row>
    <row r="6236" ht="14.25" spans="1:8">
      <c r="A6236" s="3" t="str">
        <f>"30702520007"</f>
        <v>30702520007</v>
      </c>
      <c r="B6236" s="3">
        <v>5</v>
      </c>
      <c r="C6236" s="3">
        <v>200</v>
      </c>
      <c r="D6236" s="3">
        <v>7</v>
      </c>
      <c r="E6236" s="3" t="s">
        <v>9</v>
      </c>
      <c r="F6236" s="4">
        <v>63</v>
      </c>
      <c r="G6236" s="4"/>
      <c r="H6236" s="4">
        <f t="shared" si="628"/>
        <v>63</v>
      </c>
    </row>
    <row r="6237" ht="14.25" spans="1:8">
      <c r="A6237" s="3" t="str">
        <f>"30703520008"</f>
        <v>30703520008</v>
      </c>
      <c r="B6237" s="3">
        <v>5</v>
      </c>
      <c r="C6237" s="3">
        <v>200</v>
      </c>
      <c r="D6237" s="3">
        <v>8</v>
      </c>
      <c r="E6237" s="3" t="s">
        <v>9</v>
      </c>
      <c r="F6237" s="3">
        <v>0</v>
      </c>
      <c r="G6237" s="4"/>
      <c r="H6237" s="3">
        <v>0</v>
      </c>
    </row>
    <row r="6238" ht="14.25" spans="1:8">
      <c r="A6238" s="3" t="str">
        <f>"30703520009"</f>
        <v>30703520009</v>
      </c>
      <c r="B6238" s="3">
        <v>5</v>
      </c>
      <c r="C6238" s="3">
        <v>200</v>
      </c>
      <c r="D6238" s="3">
        <v>9</v>
      </c>
      <c r="E6238" s="3" t="s">
        <v>9</v>
      </c>
      <c r="F6238" s="4">
        <v>72.5</v>
      </c>
      <c r="G6238" s="4"/>
      <c r="H6238" s="4">
        <f t="shared" ref="H6238:H6244" si="629">F6238+G6238</f>
        <v>72.5</v>
      </c>
    </row>
    <row r="6239" ht="14.25" spans="1:8">
      <c r="A6239" s="3" t="str">
        <f>"30703520010"</f>
        <v>30703520010</v>
      </c>
      <c r="B6239" s="3">
        <v>5</v>
      </c>
      <c r="C6239" s="3">
        <v>200</v>
      </c>
      <c r="D6239" s="3">
        <v>10</v>
      </c>
      <c r="E6239" s="3" t="s">
        <v>9</v>
      </c>
      <c r="F6239" s="4">
        <v>75</v>
      </c>
      <c r="G6239" s="4"/>
      <c r="H6239" s="4">
        <f t="shared" si="629"/>
        <v>75</v>
      </c>
    </row>
    <row r="6240" ht="14.25" spans="1:8">
      <c r="A6240" s="3" t="str">
        <f>"30703520011"</f>
        <v>30703520011</v>
      </c>
      <c r="B6240" s="3">
        <v>5</v>
      </c>
      <c r="C6240" s="3">
        <v>200</v>
      </c>
      <c r="D6240" s="3">
        <v>11</v>
      </c>
      <c r="E6240" s="3" t="s">
        <v>9</v>
      </c>
      <c r="F6240" s="4">
        <v>64</v>
      </c>
      <c r="G6240" s="4"/>
      <c r="H6240" s="4">
        <f t="shared" si="629"/>
        <v>64</v>
      </c>
    </row>
    <row r="6241" ht="14.25" spans="1:8">
      <c r="A6241" s="3" t="str">
        <f>"30703520012"</f>
        <v>30703520012</v>
      </c>
      <c r="B6241" s="3">
        <v>5</v>
      </c>
      <c r="C6241" s="3">
        <v>200</v>
      </c>
      <c r="D6241" s="3">
        <v>12</v>
      </c>
      <c r="E6241" s="3" t="s">
        <v>9</v>
      </c>
      <c r="F6241" s="4">
        <v>64.5</v>
      </c>
      <c r="G6241" s="4"/>
      <c r="H6241" s="4">
        <f t="shared" si="629"/>
        <v>64.5</v>
      </c>
    </row>
    <row r="6242" ht="14.25" spans="1:8">
      <c r="A6242" s="3" t="str">
        <f>"30703520013"</f>
        <v>30703520013</v>
      </c>
      <c r="B6242" s="3">
        <v>5</v>
      </c>
      <c r="C6242" s="3">
        <v>200</v>
      </c>
      <c r="D6242" s="3">
        <v>13</v>
      </c>
      <c r="E6242" s="3" t="s">
        <v>9</v>
      </c>
      <c r="F6242" s="4">
        <v>55.5</v>
      </c>
      <c r="G6242" s="4"/>
      <c r="H6242" s="4">
        <f t="shared" si="629"/>
        <v>55.5</v>
      </c>
    </row>
    <row r="6243" ht="14.25" spans="1:8">
      <c r="A6243" s="3" t="str">
        <f>"30703520014"</f>
        <v>30703520014</v>
      </c>
      <c r="B6243" s="3">
        <v>5</v>
      </c>
      <c r="C6243" s="3">
        <v>200</v>
      </c>
      <c r="D6243" s="3">
        <v>14</v>
      </c>
      <c r="E6243" s="3" t="s">
        <v>9</v>
      </c>
      <c r="F6243" s="4">
        <v>81</v>
      </c>
      <c r="G6243" s="4"/>
      <c r="H6243" s="4">
        <f t="shared" si="629"/>
        <v>81</v>
      </c>
    </row>
    <row r="6244" ht="14.25" spans="1:8">
      <c r="A6244" s="3" t="str">
        <f>"30703520015"</f>
        <v>30703520015</v>
      </c>
      <c r="B6244" s="3">
        <v>5</v>
      </c>
      <c r="C6244" s="3">
        <v>200</v>
      </c>
      <c r="D6244" s="3">
        <v>15</v>
      </c>
      <c r="E6244" s="3" t="s">
        <v>9</v>
      </c>
      <c r="F6244" s="4">
        <v>72</v>
      </c>
      <c r="G6244" s="4"/>
      <c r="H6244" s="4">
        <f t="shared" si="629"/>
        <v>72</v>
      </c>
    </row>
    <row r="6245" ht="14.25" spans="1:8">
      <c r="A6245" s="3" t="str">
        <f>"30703520016"</f>
        <v>30703520016</v>
      </c>
      <c r="B6245" s="3">
        <v>5</v>
      </c>
      <c r="C6245" s="3">
        <v>200</v>
      </c>
      <c r="D6245" s="3">
        <v>16</v>
      </c>
      <c r="E6245" s="3" t="s">
        <v>9</v>
      </c>
      <c r="F6245" s="3">
        <v>0</v>
      </c>
      <c r="G6245" s="4"/>
      <c r="H6245" s="3">
        <v>0</v>
      </c>
    </row>
    <row r="6246" ht="14.25" spans="1:8">
      <c r="A6246" s="3" t="str">
        <f>"30703520017"</f>
        <v>30703520017</v>
      </c>
      <c r="B6246" s="3">
        <v>5</v>
      </c>
      <c r="C6246" s="3">
        <v>200</v>
      </c>
      <c r="D6246" s="3">
        <v>17</v>
      </c>
      <c r="E6246" s="3" t="s">
        <v>9</v>
      </c>
      <c r="F6246" s="4">
        <v>78</v>
      </c>
      <c r="G6246" s="4"/>
      <c r="H6246" s="4">
        <f t="shared" ref="H6246:H6248" si="630">F6246+G6246</f>
        <v>78</v>
      </c>
    </row>
    <row r="6247" ht="14.25" spans="1:8">
      <c r="A6247" s="3" t="str">
        <f>"30703520018"</f>
        <v>30703520018</v>
      </c>
      <c r="B6247" s="3">
        <v>5</v>
      </c>
      <c r="C6247" s="3">
        <v>200</v>
      </c>
      <c r="D6247" s="3">
        <v>18</v>
      </c>
      <c r="E6247" s="3" t="s">
        <v>9</v>
      </c>
      <c r="F6247" s="4">
        <v>62.5</v>
      </c>
      <c r="G6247" s="4"/>
      <c r="H6247" s="4">
        <f t="shared" si="630"/>
        <v>62.5</v>
      </c>
    </row>
    <row r="6248" ht="14.25" spans="1:8">
      <c r="A6248" s="3" t="str">
        <f>"30703520019"</f>
        <v>30703520019</v>
      </c>
      <c r="B6248" s="3">
        <v>5</v>
      </c>
      <c r="C6248" s="3">
        <v>200</v>
      </c>
      <c r="D6248" s="3">
        <v>19</v>
      </c>
      <c r="E6248" s="3" t="s">
        <v>9</v>
      </c>
      <c r="F6248" s="4">
        <v>75</v>
      </c>
      <c r="G6248" s="4"/>
      <c r="H6248" s="4">
        <f t="shared" si="630"/>
        <v>75</v>
      </c>
    </row>
    <row r="6249" ht="14.25" spans="1:8">
      <c r="A6249" s="3" t="str">
        <f>"30703520020"</f>
        <v>30703520020</v>
      </c>
      <c r="B6249" s="3">
        <v>5</v>
      </c>
      <c r="C6249" s="3">
        <v>200</v>
      </c>
      <c r="D6249" s="3">
        <v>20</v>
      </c>
      <c r="E6249" s="3" t="s">
        <v>9</v>
      </c>
      <c r="F6249" s="3">
        <v>0</v>
      </c>
      <c r="G6249" s="4"/>
      <c r="H6249" s="3">
        <v>0</v>
      </c>
    </row>
    <row r="6250" ht="14.25" spans="1:8">
      <c r="A6250" s="3" t="str">
        <f>"30703520021"</f>
        <v>30703520021</v>
      </c>
      <c r="B6250" s="3">
        <v>5</v>
      </c>
      <c r="C6250" s="3">
        <v>200</v>
      </c>
      <c r="D6250" s="3">
        <v>21</v>
      </c>
      <c r="E6250" s="3" t="s">
        <v>9</v>
      </c>
      <c r="F6250" s="4">
        <v>84.5</v>
      </c>
      <c r="G6250" s="4"/>
      <c r="H6250" s="4">
        <f t="shared" ref="H6250:H6257" si="631">F6250+G6250</f>
        <v>84.5</v>
      </c>
    </row>
    <row r="6251" ht="14.25" spans="1:8">
      <c r="A6251" s="3" t="str">
        <f>"30703520022"</f>
        <v>30703520022</v>
      </c>
      <c r="B6251" s="3">
        <v>5</v>
      </c>
      <c r="C6251" s="3">
        <v>200</v>
      </c>
      <c r="D6251" s="3">
        <v>22</v>
      </c>
      <c r="E6251" s="3" t="s">
        <v>9</v>
      </c>
      <c r="F6251" s="4">
        <v>88</v>
      </c>
      <c r="G6251" s="4"/>
      <c r="H6251" s="4">
        <f t="shared" si="631"/>
        <v>88</v>
      </c>
    </row>
    <row r="6252" ht="14.25" spans="1:8">
      <c r="A6252" s="3" t="str">
        <f>"30703520023"</f>
        <v>30703520023</v>
      </c>
      <c r="B6252" s="3">
        <v>5</v>
      </c>
      <c r="C6252" s="3">
        <v>200</v>
      </c>
      <c r="D6252" s="3">
        <v>23</v>
      </c>
      <c r="E6252" s="3" t="s">
        <v>9</v>
      </c>
      <c r="F6252" s="4">
        <v>79.5</v>
      </c>
      <c r="G6252" s="4"/>
      <c r="H6252" s="4">
        <f t="shared" si="631"/>
        <v>79.5</v>
      </c>
    </row>
    <row r="6253" ht="14.25" spans="1:8">
      <c r="A6253" s="3" t="str">
        <f>"30703520024"</f>
        <v>30703520024</v>
      </c>
      <c r="B6253" s="3">
        <v>5</v>
      </c>
      <c r="C6253" s="3">
        <v>200</v>
      </c>
      <c r="D6253" s="3">
        <v>24</v>
      </c>
      <c r="E6253" s="3" t="s">
        <v>9</v>
      </c>
      <c r="F6253" s="4">
        <v>75.5</v>
      </c>
      <c r="G6253" s="4"/>
      <c r="H6253" s="4">
        <f t="shared" si="631"/>
        <v>75.5</v>
      </c>
    </row>
    <row r="6254" ht="14.25" spans="1:8">
      <c r="A6254" s="3" t="str">
        <f>"30703520025"</f>
        <v>30703520025</v>
      </c>
      <c r="B6254" s="3">
        <v>5</v>
      </c>
      <c r="C6254" s="3">
        <v>200</v>
      </c>
      <c r="D6254" s="3">
        <v>25</v>
      </c>
      <c r="E6254" s="3" t="s">
        <v>9</v>
      </c>
      <c r="F6254" s="4">
        <v>70</v>
      </c>
      <c r="G6254" s="4"/>
      <c r="H6254" s="4">
        <f t="shared" si="631"/>
        <v>70</v>
      </c>
    </row>
    <row r="6255" ht="14.25" spans="1:8">
      <c r="A6255" s="3" t="str">
        <f>"30703520026"</f>
        <v>30703520026</v>
      </c>
      <c r="B6255" s="3">
        <v>5</v>
      </c>
      <c r="C6255" s="3">
        <v>200</v>
      </c>
      <c r="D6255" s="3">
        <v>26</v>
      </c>
      <c r="E6255" s="3" t="s">
        <v>9</v>
      </c>
      <c r="F6255" s="4">
        <v>60.5</v>
      </c>
      <c r="G6255" s="4"/>
      <c r="H6255" s="4">
        <f t="shared" si="631"/>
        <v>60.5</v>
      </c>
    </row>
    <row r="6256" ht="14.25" spans="1:8">
      <c r="A6256" s="3" t="str">
        <f>"30703520027"</f>
        <v>30703520027</v>
      </c>
      <c r="B6256" s="3">
        <v>5</v>
      </c>
      <c r="C6256" s="3">
        <v>200</v>
      </c>
      <c r="D6256" s="3">
        <v>27</v>
      </c>
      <c r="E6256" s="3" t="s">
        <v>9</v>
      </c>
      <c r="F6256" s="4">
        <v>75.5</v>
      </c>
      <c r="G6256" s="4"/>
      <c r="H6256" s="4">
        <f t="shared" si="631"/>
        <v>75.5</v>
      </c>
    </row>
    <row r="6257" ht="14.25" spans="1:8">
      <c r="A6257" s="3" t="str">
        <f>"30703520028"</f>
        <v>30703520028</v>
      </c>
      <c r="B6257" s="3">
        <v>5</v>
      </c>
      <c r="C6257" s="3">
        <v>200</v>
      </c>
      <c r="D6257" s="3">
        <v>28</v>
      </c>
      <c r="E6257" s="3" t="s">
        <v>9</v>
      </c>
      <c r="F6257" s="4">
        <v>82</v>
      </c>
      <c r="G6257" s="4"/>
      <c r="H6257" s="4">
        <f t="shared" si="631"/>
        <v>82</v>
      </c>
    </row>
    <row r="6258" ht="14.25" spans="1:8">
      <c r="A6258" s="3" t="str">
        <f>"30703520029"</f>
        <v>30703520029</v>
      </c>
      <c r="B6258" s="3">
        <v>5</v>
      </c>
      <c r="C6258" s="3">
        <v>200</v>
      </c>
      <c r="D6258" s="3">
        <v>29</v>
      </c>
      <c r="E6258" s="3" t="s">
        <v>9</v>
      </c>
      <c r="F6258" s="3">
        <v>0</v>
      </c>
      <c r="G6258" s="4"/>
      <c r="H6258" s="3">
        <v>0</v>
      </c>
    </row>
    <row r="6259" ht="14.25" spans="1:8">
      <c r="A6259" s="3" t="str">
        <f>"30703520030"</f>
        <v>30703520030</v>
      </c>
      <c r="B6259" s="3">
        <v>5</v>
      </c>
      <c r="C6259" s="3">
        <v>200</v>
      </c>
      <c r="D6259" s="3">
        <v>30</v>
      </c>
      <c r="E6259" s="3" t="s">
        <v>9</v>
      </c>
      <c r="F6259" s="4">
        <v>79</v>
      </c>
      <c r="G6259" s="4"/>
      <c r="H6259" s="4">
        <f t="shared" ref="H6259:H6261" si="632">F6259+G6259</f>
        <v>79</v>
      </c>
    </row>
    <row r="6260" ht="14.25" spans="1:8">
      <c r="A6260" s="3" t="str">
        <f>"30703520101"</f>
        <v>30703520101</v>
      </c>
      <c r="B6260" s="3">
        <v>5</v>
      </c>
      <c r="C6260" s="3">
        <v>201</v>
      </c>
      <c r="D6260" s="3">
        <v>1</v>
      </c>
      <c r="E6260" s="3" t="s">
        <v>9</v>
      </c>
      <c r="F6260" s="4">
        <v>55.5</v>
      </c>
      <c r="G6260" s="4"/>
      <c r="H6260" s="4">
        <f t="shared" si="632"/>
        <v>55.5</v>
      </c>
    </row>
    <row r="6261" ht="14.25" spans="1:8">
      <c r="A6261" s="3" t="str">
        <f>"30703520102"</f>
        <v>30703520102</v>
      </c>
      <c r="B6261" s="3">
        <v>5</v>
      </c>
      <c r="C6261" s="3">
        <v>201</v>
      </c>
      <c r="D6261" s="3">
        <v>2</v>
      </c>
      <c r="E6261" s="3" t="s">
        <v>9</v>
      </c>
      <c r="F6261" s="4">
        <v>82.5</v>
      </c>
      <c r="G6261" s="4"/>
      <c r="H6261" s="4">
        <f t="shared" si="632"/>
        <v>82.5</v>
      </c>
    </row>
    <row r="6262" ht="14.25" spans="1:8">
      <c r="A6262" s="3" t="str">
        <f>"30703520103"</f>
        <v>30703520103</v>
      </c>
      <c r="B6262" s="3">
        <v>5</v>
      </c>
      <c r="C6262" s="3">
        <v>201</v>
      </c>
      <c r="D6262" s="3">
        <v>3</v>
      </c>
      <c r="E6262" s="3" t="s">
        <v>9</v>
      </c>
      <c r="F6262" s="3">
        <v>0</v>
      </c>
      <c r="G6262" s="4"/>
      <c r="H6262" s="3">
        <v>0</v>
      </c>
    </row>
    <row r="6263" ht="14.25" spans="1:8">
      <c r="A6263" s="3" t="str">
        <f>"30703520104"</f>
        <v>30703520104</v>
      </c>
      <c r="B6263" s="3">
        <v>5</v>
      </c>
      <c r="C6263" s="3">
        <v>201</v>
      </c>
      <c r="D6263" s="3">
        <v>4</v>
      </c>
      <c r="E6263" s="3" t="s">
        <v>9</v>
      </c>
      <c r="F6263" s="3">
        <v>0</v>
      </c>
      <c r="G6263" s="4"/>
      <c r="H6263" s="3">
        <v>0</v>
      </c>
    </row>
    <row r="6264" ht="14.25" spans="1:8">
      <c r="A6264" s="3" t="str">
        <f>"30703520105"</f>
        <v>30703520105</v>
      </c>
      <c r="B6264" s="3">
        <v>5</v>
      </c>
      <c r="C6264" s="3">
        <v>201</v>
      </c>
      <c r="D6264" s="3">
        <v>5</v>
      </c>
      <c r="E6264" s="3" t="s">
        <v>9</v>
      </c>
      <c r="F6264" s="4">
        <v>85</v>
      </c>
      <c r="G6264" s="4"/>
      <c r="H6264" s="4">
        <f t="shared" ref="H6264:H6269" si="633">F6264+G6264</f>
        <v>85</v>
      </c>
    </row>
    <row r="6265" ht="14.25" spans="1:8">
      <c r="A6265" s="3" t="str">
        <f>"30703520106"</f>
        <v>30703520106</v>
      </c>
      <c r="B6265" s="3">
        <v>5</v>
      </c>
      <c r="C6265" s="3">
        <v>201</v>
      </c>
      <c r="D6265" s="3">
        <v>6</v>
      </c>
      <c r="E6265" s="3" t="s">
        <v>9</v>
      </c>
      <c r="F6265" s="4">
        <v>78</v>
      </c>
      <c r="G6265" s="4"/>
      <c r="H6265" s="4">
        <f t="shared" si="633"/>
        <v>78</v>
      </c>
    </row>
    <row r="6266" ht="14.25" spans="1:8">
      <c r="A6266" s="3" t="str">
        <f>"30703520107"</f>
        <v>30703520107</v>
      </c>
      <c r="B6266" s="3">
        <v>5</v>
      </c>
      <c r="C6266" s="3">
        <v>201</v>
      </c>
      <c r="D6266" s="3">
        <v>7</v>
      </c>
      <c r="E6266" s="3" t="s">
        <v>9</v>
      </c>
      <c r="F6266" s="4">
        <v>63</v>
      </c>
      <c r="G6266" s="4"/>
      <c r="H6266" s="4">
        <f t="shared" si="633"/>
        <v>63</v>
      </c>
    </row>
    <row r="6267" ht="14.25" spans="1:8">
      <c r="A6267" s="3" t="str">
        <f>"30703520108"</f>
        <v>30703520108</v>
      </c>
      <c r="B6267" s="3">
        <v>5</v>
      </c>
      <c r="C6267" s="3">
        <v>201</v>
      </c>
      <c r="D6267" s="3">
        <v>8</v>
      </c>
      <c r="E6267" s="3" t="s">
        <v>9</v>
      </c>
      <c r="F6267" s="4">
        <v>71.5</v>
      </c>
      <c r="G6267" s="4"/>
      <c r="H6267" s="4">
        <f t="shared" si="633"/>
        <v>71.5</v>
      </c>
    </row>
    <row r="6268" ht="14.25" spans="1:8">
      <c r="A6268" s="3" t="str">
        <f>"30703520109"</f>
        <v>30703520109</v>
      </c>
      <c r="B6268" s="3">
        <v>5</v>
      </c>
      <c r="C6268" s="3">
        <v>201</v>
      </c>
      <c r="D6268" s="3">
        <v>9</v>
      </c>
      <c r="E6268" s="3" t="s">
        <v>9</v>
      </c>
      <c r="F6268" s="4">
        <v>74.5</v>
      </c>
      <c r="G6268" s="4"/>
      <c r="H6268" s="4">
        <f t="shared" si="633"/>
        <v>74.5</v>
      </c>
    </row>
    <row r="6269" ht="14.25" spans="1:8">
      <c r="A6269" s="3" t="str">
        <f>"30703520110"</f>
        <v>30703520110</v>
      </c>
      <c r="B6269" s="3">
        <v>5</v>
      </c>
      <c r="C6269" s="3">
        <v>201</v>
      </c>
      <c r="D6269" s="3">
        <v>10</v>
      </c>
      <c r="E6269" s="3" t="s">
        <v>9</v>
      </c>
      <c r="F6269" s="4">
        <v>63</v>
      </c>
      <c r="G6269" s="4"/>
      <c r="H6269" s="4">
        <f t="shared" si="633"/>
        <v>63</v>
      </c>
    </row>
    <row r="6270" ht="14.25" spans="1:8">
      <c r="A6270" s="3" t="str">
        <f>"30703520111"</f>
        <v>30703520111</v>
      </c>
      <c r="B6270" s="3">
        <v>5</v>
      </c>
      <c r="C6270" s="3">
        <v>201</v>
      </c>
      <c r="D6270" s="3">
        <v>11</v>
      </c>
      <c r="E6270" s="3" t="s">
        <v>9</v>
      </c>
      <c r="F6270" s="3">
        <v>0</v>
      </c>
      <c r="G6270" s="4"/>
      <c r="H6270" s="3">
        <v>0</v>
      </c>
    </row>
    <row r="6271" ht="14.25" spans="1:8">
      <c r="A6271" s="3" t="str">
        <f>"30703520112"</f>
        <v>30703520112</v>
      </c>
      <c r="B6271" s="3">
        <v>5</v>
      </c>
      <c r="C6271" s="3">
        <v>201</v>
      </c>
      <c r="D6271" s="3">
        <v>12</v>
      </c>
      <c r="E6271" s="3" t="s">
        <v>9</v>
      </c>
      <c r="F6271" s="4">
        <v>77.5</v>
      </c>
      <c r="G6271" s="4"/>
      <c r="H6271" s="4">
        <f t="shared" ref="H6271:H6277" si="634">F6271+G6271</f>
        <v>77.5</v>
      </c>
    </row>
    <row r="6272" ht="14.25" spans="1:8">
      <c r="A6272" s="3" t="str">
        <f>"30703520113"</f>
        <v>30703520113</v>
      </c>
      <c r="B6272" s="3">
        <v>5</v>
      </c>
      <c r="C6272" s="3">
        <v>201</v>
      </c>
      <c r="D6272" s="3">
        <v>13</v>
      </c>
      <c r="E6272" s="3" t="s">
        <v>9</v>
      </c>
      <c r="F6272" s="4">
        <v>81.5</v>
      </c>
      <c r="G6272" s="4"/>
      <c r="H6272" s="4">
        <f t="shared" si="634"/>
        <v>81.5</v>
      </c>
    </row>
    <row r="6273" ht="14.25" spans="1:8">
      <c r="A6273" s="3" t="str">
        <f>"30703520114"</f>
        <v>30703520114</v>
      </c>
      <c r="B6273" s="3">
        <v>5</v>
      </c>
      <c r="C6273" s="3">
        <v>201</v>
      </c>
      <c r="D6273" s="3">
        <v>14</v>
      </c>
      <c r="E6273" s="3" t="s">
        <v>9</v>
      </c>
      <c r="F6273" s="3">
        <v>0</v>
      </c>
      <c r="G6273" s="4"/>
      <c r="H6273" s="3">
        <v>0</v>
      </c>
    </row>
    <row r="6274" ht="14.25" spans="1:8">
      <c r="A6274" s="3" t="str">
        <f>"30703520115"</f>
        <v>30703520115</v>
      </c>
      <c r="B6274" s="3">
        <v>5</v>
      </c>
      <c r="C6274" s="3">
        <v>201</v>
      </c>
      <c r="D6274" s="3">
        <v>15</v>
      </c>
      <c r="E6274" s="3" t="s">
        <v>9</v>
      </c>
      <c r="F6274" s="4">
        <v>65.5</v>
      </c>
      <c r="G6274" s="4"/>
      <c r="H6274" s="4">
        <f t="shared" si="634"/>
        <v>65.5</v>
      </c>
    </row>
    <row r="6275" ht="14.25" spans="1:8">
      <c r="A6275" s="3" t="str">
        <f>"30703520116"</f>
        <v>30703520116</v>
      </c>
      <c r="B6275" s="3">
        <v>5</v>
      </c>
      <c r="C6275" s="3">
        <v>201</v>
      </c>
      <c r="D6275" s="3">
        <v>16</v>
      </c>
      <c r="E6275" s="3" t="s">
        <v>9</v>
      </c>
      <c r="F6275" s="4">
        <v>50</v>
      </c>
      <c r="G6275" s="4"/>
      <c r="H6275" s="4">
        <f t="shared" si="634"/>
        <v>50</v>
      </c>
    </row>
    <row r="6276" ht="14.25" spans="1:8">
      <c r="A6276" s="3" t="str">
        <f>"30703520117"</f>
        <v>30703520117</v>
      </c>
      <c r="B6276" s="3">
        <v>5</v>
      </c>
      <c r="C6276" s="3">
        <v>201</v>
      </c>
      <c r="D6276" s="3">
        <v>17</v>
      </c>
      <c r="E6276" s="3" t="s">
        <v>9</v>
      </c>
      <c r="F6276" s="4">
        <v>51.5</v>
      </c>
      <c r="G6276" s="4"/>
      <c r="H6276" s="4">
        <f t="shared" si="634"/>
        <v>51.5</v>
      </c>
    </row>
    <row r="6277" ht="14.25" spans="1:8">
      <c r="A6277" s="3" t="str">
        <f>"30703520118"</f>
        <v>30703520118</v>
      </c>
      <c r="B6277" s="3">
        <v>5</v>
      </c>
      <c r="C6277" s="3">
        <v>201</v>
      </c>
      <c r="D6277" s="3">
        <v>18</v>
      </c>
      <c r="E6277" s="3" t="s">
        <v>9</v>
      </c>
      <c r="F6277" s="4">
        <v>75</v>
      </c>
      <c r="G6277" s="4"/>
      <c r="H6277" s="4">
        <f t="shared" si="634"/>
        <v>75</v>
      </c>
    </row>
    <row r="6278" ht="14.25" spans="1:8">
      <c r="A6278" s="3" t="str">
        <f>"30703520119"</f>
        <v>30703520119</v>
      </c>
      <c r="B6278" s="3">
        <v>5</v>
      </c>
      <c r="C6278" s="3">
        <v>201</v>
      </c>
      <c r="D6278" s="3">
        <v>19</v>
      </c>
      <c r="E6278" s="3" t="s">
        <v>9</v>
      </c>
      <c r="F6278" s="3">
        <v>0</v>
      </c>
      <c r="G6278" s="4"/>
      <c r="H6278" s="3">
        <v>0</v>
      </c>
    </row>
    <row r="6279" ht="14.25" spans="1:8">
      <c r="A6279" s="3" t="str">
        <f>"30703520120"</f>
        <v>30703520120</v>
      </c>
      <c r="B6279" s="3">
        <v>5</v>
      </c>
      <c r="C6279" s="3">
        <v>201</v>
      </c>
      <c r="D6279" s="3">
        <v>20</v>
      </c>
      <c r="E6279" s="3" t="s">
        <v>9</v>
      </c>
      <c r="F6279" s="4">
        <v>52.5</v>
      </c>
      <c r="G6279" s="4"/>
      <c r="H6279" s="4">
        <f t="shared" ref="H6279:H6284" si="635">F6279+G6279</f>
        <v>52.5</v>
      </c>
    </row>
    <row r="6280" ht="14.25" spans="1:8">
      <c r="A6280" s="3" t="str">
        <f>"30703520121"</f>
        <v>30703520121</v>
      </c>
      <c r="B6280" s="3">
        <v>5</v>
      </c>
      <c r="C6280" s="3">
        <v>201</v>
      </c>
      <c r="D6280" s="3">
        <v>21</v>
      </c>
      <c r="E6280" s="3" t="s">
        <v>9</v>
      </c>
      <c r="F6280" s="4">
        <v>81</v>
      </c>
      <c r="G6280" s="4"/>
      <c r="H6280" s="4">
        <f t="shared" si="635"/>
        <v>81</v>
      </c>
    </row>
    <row r="6281" ht="14.25" spans="1:8">
      <c r="A6281" s="3" t="str">
        <f>"30703520122"</f>
        <v>30703520122</v>
      </c>
      <c r="B6281" s="3">
        <v>5</v>
      </c>
      <c r="C6281" s="3">
        <v>201</v>
      </c>
      <c r="D6281" s="3">
        <v>22</v>
      </c>
      <c r="E6281" s="3" t="s">
        <v>9</v>
      </c>
      <c r="F6281" s="4">
        <v>83.5</v>
      </c>
      <c r="G6281" s="4"/>
      <c r="H6281" s="4">
        <f t="shared" si="635"/>
        <v>83.5</v>
      </c>
    </row>
    <row r="6282" ht="14.25" spans="1:8">
      <c r="A6282" s="3" t="str">
        <f>"30703520123"</f>
        <v>30703520123</v>
      </c>
      <c r="B6282" s="3">
        <v>5</v>
      </c>
      <c r="C6282" s="3">
        <v>201</v>
      </c>
      <c r="D6282" s="3">
        <v>23</v>
      </c>
      <c r="E6282" s="3" t="s">
        <v>9</v>
      </c>
      <c r="F6282" s="4">
        <v>63</v>
      </c>
      <c r="G6282" s="4"/>
      <c r="H6282" s="4">
        <f t="shared" si="635"/>
        <v>63</v>
      </c>
    </row>
    <row r="6283" ht="14.25" spans="1:8">
      <c r="A6283" s="3" t="str">
        <f>"30703520124"</f>
        <v>30703520124</v>
      </c>
      <c r="B6283" s="3">
        <v>5</v>
      </c>
      <c r="C6283" s="3">
        <v>201</v>
      </c>
      <c r="D6283" s="3">
        <v>24</v>
      </c>
      <c r="E6283" s="3" t="s">
        <v>9</v>
      </c>
      <c r="F6283" s="4">
        <v>59.5</v>
      </c>
      <c r="G6283" s="4"/>
      <c r="H6283" s="4">
        <f t="shared" si="635"/>
        <v>59.5</v>
      </c>
    </row>
    <row r="6284" ht="14.25" spans="1:8">
      <c r="A6284" s="3" t="str">
        <f>"30703520125"</f>
        <v>30703520125</v>
      </c>
      <c r="B6284" s="3">
        <v>5</v>
      </c>
      <c r="C6284" s="3">
        <v>201</v>
      </c>
      <c r="D6284" s="3">
        <v>25</v>
      </c>
      <c r="E6284" s="3" t="s">
        <v>9</v>
      </c>
      <c r="F6284" s="4">
        <v>69</v>
      </c>
      <c r="G6284" s="4"/>
      <c r="H6284" s="4">
        <f t="shared" si="635"/>
        <v>69</v>
      </c>
    </row>
    <row r="6285" ht="14.25" spans="1:8">
      <c r="A6285" s="3" t="str">
        <f>"30703520126"</f>
        <v>30703520126</v>
      </c>
      <c r="B6285" s="3">
        <v>5</v>
      </c>
      <c r="C6285" s="3">
        <v>201</v>
      </c>
      <c r="D6285" s="3">
        <v>26</v>
      </c>
      <c r="E6285" s="3" t="s">
        <v>9</v>
      </c>
      <c r="F6285" s="3">
        <v>0</v>
      </c>
      <c r="G6285" s="4"/>
      <c r="H6285" s="3">
        <v>0</v>
      </c>
    </row>
    <row r="6286" ht="14.25" spans="1:8">
      <c r="A6286" s="3" t="str">
        <f>"30703520127"</f>
        <v>30703520127</v>
      </c>
      <c r="B6286" s="3">
        <v>5</v>
      </c>
      <c r="C6286" s="3">
        <v>201</v>
      </c>
      <c r="D6286" s="3">
        <v>27</v>
      </c>
      <c r="E6286" s="3" t="s">
        <v>9</v>
      </c>
      <c r="F6286" s="4">
        <v>67.5</v>
      </c>
      <c r="G6286" s="4"/>
      <c r="H6286" s="4">
        <f t="shared" ref="H6286:H6290" si="636">F6286+G6286</f>
        <v>67.5</v>
      </c>
    </row>
    <row r="6287" ht="14.25" spans="1:8">
      <c r="A6287" s="3" t="str">
        <f>"30703520128"</f>
        <v>30703520128</v>
      </c>
      <c r="B6287" s="3">
        <v>5</v>
      </c>
      <c r="C6287" s="3">
        <v>201</v>
      </c>
      <c r="D6287" s="3">
        <v>28</v>
      </c>
      <c r="E6287" s="3" t="s">
        <v>9</v>
      </c>
      <c r="F6287" s="4">
        <v>77.5</v>
      </c>
      <c r="G6287" s="4"/>
      <c r="H6287" s="4">
        <f t="shared" si="636"/>
        <v>77.5</v>
      </c>
    </row>
    <row r="6288" ht="14.25" spans="1:8">
      <c r="A6288" s="3" t="str">
        <f>"30703520129"</f>
        <v>30703520129</v>
      </c>
      <c r="B6288" s="3">
        <v>5</v>
      </c>
      <c r="C6288" s="3">
        <v>201</v>
      </c>
      <c r="D6288" s="3">
        <v>29</v>
      </c>
      <c r="E6288" s="3" t="s">
        <v>9</v>
      </c>
      <c r="F6288" s="3">
        <v>0</v>
      </c>
      <c r="G6288" s="4"/>
      <c r="H6288" s="3">
        <v>0</v>
      </c>
    </row>
    <row r="6289" ht="14.25" spans="1:8">
      <c r="A6289" s="3" t="str">
        <f>"30703520130"</f>
        <v>30703520130</v>
      </c>
      <c r="B6289" s="3">
        <v>5</v>
      </c>
      <c r="C6289" s="3">
        <v>201</v>
      </c>
      <c r="D6289" s="3">
        <v>30</v>
      </c>
      <c r="E6289" s="3" t="s">
        <v>9</v>
      </c>
      <c r="F6289" s="4">
        <v>77.5</v>
      </c>
      <c r="G6289" s="4"/>
      <c r="H6289" s="4">
        <f t="shared" si="636"/>
        <v>77.5</v>
      </c>
    </row>
    <row r="6290" ht="14.25" spans="1:8">
      <c r="A6290" s="3" t="str">
        <f>"30703520201"</f>
        <v>30703520201</v>
      </c>
      <c r="B6290" s="3">
        <v>5</v>
      </c>
      <c r="C6290" s="3">
        <v>202</v>
      </c>
      <c r="D6290" s="3">
        <v>1</v>
      </c>
      <c r="E6290" s="3" t="s">
        <v>9</v>
      </c>
      <c r="F6290" s="4">
        <v>76</v>
      </c>
      <c r="G6290" s="4"/>
      <c r="H6290" s="4">
        <f t="shared" si="636"/>
        <v>76</v>
      </c>
    </row>
    <row r="6291" ht="14.25" spans="1:8">
      <c r="A6291" s="3" t="str">
        <f>"30703520202"</f>
        <v>30703520202</v>
      </c>
      <c r="B6291" s="3">
        <v>5</v>
      </c>
      <c r="C6291" s="3">
        <v>202</v>
      </c>
      <c r="D6291" s="3">
        <v>2</v>
      </c>
      <c r="E6291" s="3" t="s">
        <v>9</v>
      </c>
      <c r="F6291" s="3">
        <v>0</v>
      </c>
      <c r="G6291" s="4"/>
      <c r="H6291" s="3">
        <v>0</v>
      </c>
    </row>
    <row r="6292" ht="14.25" spans="1:8">
      <c r="A6292" s="3" t="str">
        <f>"30703520203"</f>
        <v>30703520203</v>
      </c>
      <c r="B6292" s="3">
        <v>5</v>
      </c>
      <c r="C6292" s="3">
        <v>202</v>
      </c>
      <c r="D6292" s="3">
        <v>3</v>
      </c>
      <c r="E6292" s="3" t="s">
        <v>9</v>
      </c>
      <c r="F6292" s="4">
        <v>76</v>
      </c>
      <c r="G6292" s="4"/>
      <c r="H6292" s="4">
        <f t="shared" ref="H6292:H6295" si="637">F6292+G6292</f>
        <v>76</v>
      </c>
    </row>
    <row r="6293" ht="14.25" spans="1:8">
      <c r="A6293" s="3" t="str">
        <f>"30704520204"</f>
        <v>30704520204</v>
      </c>
      <c r="B6293" s="3">
        <v>5</v>
      </c>
      <c r="C6293" s="3">
        <v>202</v>
      </c>
      <c r="D6293" s="3">
        <v>4</v>
      </c>
      <c r="E6293" s="3" t="s">
        <v>9</v>
      </c>
      <c r="F6293" s="4">
        <v>71.5</v>
      </c>
      <c r="G6293" s="4"/>
      <c r="H6293" s="4">
        <f t="shared" si="637"/>
        <v>71.5</v>
      </c>
    </row>
    <row r="6294" ht="14.25" spans="1:8">
      <c r="A6294" s="3" t="str">
        <f>"30704520205"</f>
        <v>30704520205</v>
      </c>
      <c r="B6294" s="3">
        <v>5</v>
      </c>
      <c r="C6294" s="3">
        <v>202</v>
      </c>
      <c r="D6294" s="3">
        <v>5</v>
      </c>
      <c r="E6294" s="3" t="s">
        <v>9</v>
      </c>
      <c r="F6294" s="3">
        <v>0</v>
      </c>
      <c r="G6294" s="4"/>
      <c r="H6294" s="3">
        <v>0</v>
      </c>
    </row>
    <row r="6295" ht="14.25" spans="1:8">
      <c r="A6295" s="3" t="str">
        <f>"30704520206"</f>
        <v>30704520206</v>
      </c>
      <c r="B6295" s="3">
        <v>5</v>
      </c>
      <c r="C6295" s="3">
        <v>202</v>
      </c>
      <c r="D6295" s="3">
        <v>6</v>
      </c>
      <c r="E6295" s="3" t="s">
        <v>9</v>
      </c>
      <c r="F6295" s="4">
        <v>54.5</v>
      </c>
      <c r="G6295" s="4"/>
      <c r="H6295" s="4">
        <f t="shared" si="637"/>
        <v>54.5</v>
      </c>
    </row>
    <row r="6296" ht="14.25" spans="1:8">
      <c r="A6296" s="3" t="str">
        <f>"30704520207"</f>
        <v>30704520207</v>
      </c>
      <c r="B6296" s="3">
        <v>5</v>
      </c>
      <c r="C6296" s="3">
        <v>202</v>
      </c>
      <c r="D6296" s="3">
        <v>7</v>
      </c>
      <c r="E6296" s="3" t="s">
        <v>9</v>
      </c>
      <c r="F6296" s="3">
        <v>0</v>
      </c>
      <c r="G6296" s="4"/>
      <c r="H6296" s="3">
        <v>0</v>
      </c>
    </row>
    <row r="6297" ht="14.25" spans="1:8">
      <c r="A6297" s="3" t="str">
        <f>"30704520208"</f>
        <v>30704520208</v>
      </c>
      <c r="B6297" s="3">
        <v>5</v>
      </c>
      <c r="C6297" s="3">
        <v>202</v>
      </c>
      <c r="D6297" s="3">
        <v>8</v>
      </c>
      <c r="E6297" s="3" t="s">
        <v>9</v>
      </c>
      <c r="F6297" s="4">
        <v>60</v>
      </c>
      <c r="G6297" s="4"/>
      <c r="H6297" s="4">
        <f t="shared" ref="H6297:H6301" si="638">F6297+G6297</f>
        <v>60</v>
      </c>
    </row>
    <row r="6298" ht="14.25" spans="1:8">
      <c r="A6298" s="3" t="str">
        <f>"30704520209"</f>
        <v>30704520209</v>
      </c>
      <c r="B6298" s="3">
        <v>5</v>
      </c>
      <c r="C6298" s="3">
        <v>202</v>
      </c>
      <c r="D6298" s="3">
        <v>9</v>
      </c>
      <c r="E6298" s="3" t="s">
        <v>9</v>
      </c>
      <c r="F6298" s="3">
        <v>0</v>
      </c>
      <c r="G6298" s="4"/>
      <c r="H6298" s="3">
        <v>0</v>
      </c>
    </row>
    <row r="6299" ht="14.25" spans="1:8">
      <c r="A6299" s="3" t="str">
        <f>"30704520210"</f>
        <v>30704520210</v>
      </c>
      <c r="B6299" s="3">
        <v>5</v>
      </c>
      <c r="C6299" s="3">
        <v>202</v>
      </c>
      <c r="D6299" s="3">
        <v>10</v>
      </c>
      <c r="E6299" s="3" t="s">
        <v>9</v>
      </c>
      <c r="F6299" s="4">
        <v>54.5</v>
      </c>
      <c r="G6299" s="4"/>
      <c r="H6299" s="4">
        <f t="shared" si="638"/>
        <v>54.5</v>
      </c>
    </row>
    <row r="6300" ht="14.25" spans="1:8">
      <c r="A6300" s="3" t="str">
        <f>"30704520211"</f>
        <v>30704520211</v>
      </c>
      <c r="B6300" s="3">
        <v>5</v>
      </c>
      <c r="C6300" s="3">
        <v>202</v>
      </c>
      <c r="D6300" s="3">
        <v>11</v>
      </c>
      <c r="E6300" s="3" t="s">
        <v>9</v>
      </c>
      <c r="F6300" s="4">
        <v>61.5</v>
      </c>
      <c r="G6300" s="4"/>
      <c r="H6300" s="4">
        <f t="shared" si="638"/>
        <v>61.5</v>
      </c>
    </row>
    <row r="6301" ht="14.25" spans="1:8">
      <c r="A6301" s="3" t="str">
        <f>"30704520212"</f>
        <v>30704520212</v>
      </c>
      <c r="B6301" s="3">
        <v>5</v>
      </c>
      <c r="C6301" s="3">
        <v>202</v>
      </c>
      <c r="D6301" s="3">
        <v>12</v>
      </c>
      <c r="E6301" s="3" t="s">
        <v>9</v>
      </c>
      <c r="F6301" s="4">
        <v>71.5</v>
      </c>
      <c r="G6301" s="4"/>
      <c r="H6301" s="4">
        <f t="shared" si="638"/>
        <v>71.5</v>
      </c>
    </row>
    <row r="6302" ht="14.25" spans="1:8">
      <c r="A6302" s="3" t="str">
        <f>"30704520213"</f>
        <v>30704520213</v>
      </c>
      <c r="B6302" s="3">
        <v>5</v>
      </c>
      <c r="C6302" s="3">
        <v>202</v>
      </c>
      <c r="D6302" s="3">
        <v>13</v>
      </c>
      <c r="E6302" s="3" t="s">
        <v>9</v>
      </c>
      <c r="F6302" s="3">
        <v>0</v>
      </c>
      <c r="G6302" s="4"/>
      <c r="H6302" s="3">
        <v>0</v>
      </c>
    </row>
    <row r="6303" ht="14.25" spans="1:8">
      <c r="A6303" s="3" t="str">
        <f>"30704520214"</f>
        <v>30704520214</v>
      </c>
      <c r="B6303" s="3">
        <v>5</v>
      </c>
      <c r="C6303" s="3">
        <v>202</v>
      </c>
      <c r="D6303" s="3">
        <v>14</v>
      </c>
      <c r="E6303" s="3" t="s">
        <v>9</v>
      </c>
      <c r="F6303" s="4">
        <v>85.5</v>
      </c>
      <c r="G6303" s="4"/>
      <c r="H6303" s="4">
        <f t="shared" ref="H6303:H6310" si="639">F6303+G6303</f>
        <v>85.5</v>
      </c>
    </row>
    <row r="6304" ht="14.25" spans="1:8">
      <c r="A6304" s="3" t="str">
        <f>"30705520215"</f>
        <v>30705520215</v>
      </c>
      <c r="B6304" s="3">
        <v>5</v>
      </c>
      <c r="C6304" s="3">
        <v>202</v>
      </c>
      <c r="D6304" s="3">
        <v>15</v>
      </c>
      <c r="E6304" s="3" t="s">
        <v>9</v>
      </c>
      <c r="F6304" s="4">
        <v>77</v>
      </c>
      <c r="G6304" s="4"/>
      <c r="H6304" s="4">
        <f t="shared" si="639"/>
        <v>77</v>
      </c>
    </row>
    <row r="6305" ht="14.25" spans="1:8">
      <c r="A6305" s="3" t="str">
        <f>"30705520216"</f>
        <v>30705520216</v>
      </c>
      <c r="B6305" s="3">
        <v>5</v>
      </c>
      <c r="C6305" s="3">
        <v>202</v>
      </c>
      <c r="D6305" s="3">
        <v>16</v>
      </c>
      <c r="E6305" s="3" t="s">
        <v>9</v>
      </c>
      <c r="F6305" s="3">
        <v>0</v>
      </c>
      <c r="G6305" s="4"/>
      <c r="H6305" s="3">
        <v>0</v>
      </c>
    </row>
    <row r="6306" ht="14.25" spans="1:8">
      <c r="A6306" s="3" t="str">
        <f>"30705520217"</f>
        <v>30705520217</v>
      </c>
      <c r="B6306" s="3">
        <v>5</v>
      </c>
      <c r="C6306" s="3">
        <v>202</v>
      </c>
      <c r="D6306" s="3">
        <v>17</v>
      </c>
      <c r="E6306" s="3" t="s">
        <v>9</v>
      </c>
      <c r="F6306" s="3">
        <v>0</v>
      </c>
      <c r="G6306" s="4"/>
      <c r="H6306" s="3">
        <v>0</v>
      </c>
    </row>
    <row r="6307" ht="14.25" spans="1:8">
      <c r="A6307" s="3" t="str">
        <f>"30705520218"</f>
        <v>30705520218</v>
      </c>
      <c r="B6307" s="3">
        <v>5</v>
      </c>
      <c r="C6307" s="3">
        <v>202</v>
      </c>
      <c r="D6307" s="3">
        <v>18</v>
      </c>
      <c r="E6307" s="3" t="s">
        <v>9</v>
      </c>
      <c r="F6307" s="3">
        <v>0</v>
      </c>
      <c r="G6307" s="4"/>
      <c r="H6307" s="3">
        <v>0</v>
      </c>
    </row>
    <row r="6308" ht="14.25" spans="1:8">
      <c r="A6308" s="3" t="str">
        <f>"30705520219"</f>
        <v>30705520219</v>
      </c>
      <c r="B6308" s="3">
        <v>5</v>
      </c>
      <c r="C6308" s="3">
        <v>202</v>
      </c>
      <c r="D6308" s="3">
        <v>19</v>
      </c>
      <c r="E6308" s="3" t="s">
        <v>9</v>
      </c>
      <c r="F6308" s="4">
        <v>62.5</v>
      </c>
      <c r="G6308" s="4"/>
      <c r="H6308" s="4">
        <f t="shared" si="639"/>
        <v>62.5</v>
      </c>
    </row>
    <row r="6309" ht="14.25" spans="1:8">
      <c r="A6309" s="3" t="str">
        <f>"30705520220"</f>
        <v>30705520220</v>
      </c>
      <c r="B6309" s="3">
        <v>5</v>
      </c>
      <c r="C6309" s="3">
        <v>202</v>
      </c>
      <c r="D6309" s="3">
        <v>20</v>
      </c>
      <c r="E6309" s="3" t="s">
        <v>9</v>
      </c>
      <c r="F6309" s="4">
        <v>67</v>
      </c>
      <c r="G6309" s="4"/>
      <c r="H6309" s="4">
        <f t="shared" si="639"/>
        <v>67</v>
      </c>
    </row>
    <row r="6310" ht="14.25" spans="1:8">
      <c r="A6310" s="3" t="str">
        <f>"30706520221"</f>
        <v>30706520221</v>
      </c>
      <c r="B6310" s="3">
        <v>5</v>
      </c>
      <c r="C6310" s="3">
        <v>202</v>
      </c>
      <c r="D6310" s="3">
        <v>21</v>
      </c>
      <c r="E6310" s="3" t="s">
        <v>9</v>
      </c>
      <c r="F6310" s="4">
        <v>73.5</v>
      </c>
      <c r="G6310" s="4"/>
      <c r="H6310" s="4">
        <f t="shared" si="639"/>
        <v>73.5</v>
      </c>
    </row>
    <row r="6311" ht="14.25" spans="1:8">
      <c r="A6311" s="3" t="str">
        <f>"30706520222"</f>
        <v>30706520222</v>
      </c>
      <c r="B6311" s="3">
        <v>5</v>
      </c>
      <c r="C6311" s="3">
        <v>202</v>
      </c>
      <c r="D6311" s="3">
        <v>22</v>
      </c>
      <c r="E6311" s="3" t="s">
        <v>9</v>
      </c>
      <c r="F6311" s="3">
        <v>0</v>
      </c>
      <c r="G6311" s="4"/>
      <c r="H6311" s="3">
        <v>0</v>
      </c>
    </row>
    <row r="6312" ht="14.25" spans="1:8">
      <c r="A6312" s="3" t="str">
        <f>"30706520223"</f>
        <v>30706520223</v>
      </c>
      <c r="B6312" s="3">
        <v>5</v>
      </c>
      <c r="C6312" s="3">
        <v>202</v>
      </c>
      <c r="D6312" s="3">
        <v>23</v>
      </c>
      <c r="E6312" s="3" t="s">
        <v>9</v>
      </c>
      <c r="F6312" s="4">
        <v>58.5</v>
      </c>
      <c r="G6312" s="4"/>
      <c r="H6312" s="4">
        <f t="shared" ref="H6312:H6315" si="640">F6312+G6312</f>
        <v>58.5</v>
      </c>
    </row>
    <row r="6313" ht="14.25" spans="1:8">
      <c r="A6313" s="3" t="str">
        <f>"30706520224"</f>
        <v>30706520224</v>
      </c>
      <c r="B6313" s="3">
        <v>5</v>
      </c>
      <c r="C6313" s="3">
        <v>202</v>
      </c>
      <c r="D6313" s="3">
        <v>24</v>
      </c>
      <c r="E6313" s="3" t="s">
        <v>9</v>
      </c>
      <c r="F6313" s="4">
        <v>72.5</v>
      </c>
      <c r="G6313" s="4"/>
      <c r="H6313" s="4">
        <f t="shared" si="640"/>
        <v>72.5</v>
      </c>
    </row>
    <row r="6314" ht="14.25" spans="1:8">
      <c r="A6314" s="3" t="str">
        <f>"30706520225"</f>
        <v>30706520225</v>
      </c>
      <c r="B6314" s="3">
        <v>5</v>
      </c>
      <c r="C6314" s="3">
        <v>202</v>
      </c>
      <c r="D6314" s="3">
        <v>25</v>
      </c>
      <c r="E6314" s="3" t="s">
        <v>9</v>
      </c>
      <c r="F6314" s="3">
        <v>0</v>
      </c>
      <c r="G6314" s="4"/>
      <c r="H6314" s="3">
        <v>0</v>
      </c>
    </row>
    <row r="6315" ht="14.25" spans="1:8">
      <c r="A6315" s="3" t="str">
        <f>"30706520226"</f>
        <v>30706520226</v>
      </c>
      <c r="B6315" s="3">
        <v>5</v>
      </c>
      <c r="C6315" s="3">
        <v>202</v>
      </c>
      <c r="D6315" s="3">
        <v>26</v>
      </c>
      <c r="E6315" s="3" t="s">
        <v>9</v>
      </c>
      <c r="F6315" s="4">
        <v>61</v>
      </c>
      <c r="G6315" s="4"/>
      <c r="H6315" s="4">
        <f t="shared" si="640"/>
        <v>61</v>
      </c>
    </row>
    <row r="6316" ht="14.25" spans="1:8">
      <c r="A6316" s="3" t="str">
        <f>"30706520227"</f>
        <v>30706520227</v>
      </c>
      <c r="B6316" s="3">
        <v>5</v>
      </c>
      <c r="C6316" s="3">
        <v>202</v>
      </c>
      <c r="D6316" s="3">
        <v>27</v>
      </c>
      <c r="E6316" s="3" t="s">
        <v>9</v>
      </c>
      <c r="F6316" s="3">
        <v>0</v>
      </c>
      <c r="G6316" s="4"/>
      <c r="H6316" s="3">
        <v>0</v>
      </c>
    </row>
    <row r="6317" ht="14.25" spans="1:8">
      <c r="A6317" s="3" t="str">
        <f>"30706520228"</f>
        <v>30706520228</v>
      </c>
      <c r="B6317" s="3">
        <v>5</v>
      </c>
      <c r="C6317" s="3">
        <v>202</v>
      </c>
      <c r="D6317" s="3">
        <v>28</v>
      </c>
      <c r="E6317" s="3" t="s">
        <v>9</v>
      </c>
      <c r="F6317" s="4">
        <v>85.5</v>
      </c>
      <c r="G6317" s="4"/>
      <c r="H6317" s="4">
        <f t="shared" ref="H6317:H6323" si="641">F6317+G6317</f>
        <v>85.5</v>
      </c>
    </row>
    <row r="6318" ht="14.25" spans="1:8">
      <c r="A6318" s="3" t="str">
        <f>"30706520229"</f>
        <v>30706520229</v>
      </c>
      <c r="B6318" s="3">
        <v>5</v>
      </c>
      <c r="C6318" s="3">
        <v>202</v>
      </c>
      <c r="D6318" s="3">
        <v>29</v>
      </c>
      <c r="E6318" s="3" t="s">
        <v>9</v>
      </c>
      <c r="F6318" s="3">
        <v>0</v>
      </c>
      <c r="G6318" s="4"/>
      <c r="H6318" s="3">
        <v>0</v>
      </c>
    </row>
    <row r="6319" ht="14.25" spans="1:8">
      <c r="A6319" s="3" t="str">
        <f>"30706520230"</f>
        <v>30706520230</v>
      </c>
      <c r="B6319" s="3">
        <v>5</v>
      </c>
      <c r="C6319" s="3">
        <v>202</v>
      </c>
      <c r="D6319" s="3">
        <v>30</v>
      </c>
      <c r="E6319" s="3" t="s">
        <v>9</v>
      </c>
      <c r="F6319" s="4">
        <v>76</v>
      </c>
      <c r="G6319" s="4"/>
      <c r="H6319" s="4">
        <f t="shared" si="641"/>
        <v>76</v>
      </c>
    </row>
    <row r="6320" ht="14.25" spans="1:8">
      <c r="A6320" s="3" t="str">
        <f>"30706520301"</f>
        <v>30706520301</v>
      </c>
      <c r="B6320" s="3">
        <v>5</v>
      </c>
      <c r="C6320" s="3">
        <v>203</v>
      </c>
      <c r="D6320" s="3">
        <v>1</v>
      </c>
      <c r="E6320" s="3" t="s">
        <v>9</v>
      </c>
      <c r="F6320" s="4">
        <v>86.5</v>
      </c>
      <c r="G6320" s="4"/>
      <c r="H6320" s="4">
        <f t="shared" si="641"/>
        <v>86.5</v>
      </c>
    </row>
    <row r="6321" ht="14.25" spans="1:8">
      <c r="A6321" s="3" t="str">
        <f>"30706520302"</f>
        <v>30706520302</v>
      </c>
      <c r="B6321" s="3">
        <v>5</v>
      </c>
      <c r="C6321" s="3">
        <v>203</v>
      </c>
      <c r="D6321" s="3">
        <v>2</v>
      </c>
      <c r="E6321" s="3" t="s">
        <v>9</v>
      </c>
      <c r="F6321" s="4">
        <v>79</v>
      </c>
      <c r="G6321" s="4"/>
      <c r="H6321" s="4">
        <f t="shared" si="641"/>
        <v>79</v>
      </c>
    </row>
    <row r="6322" ht="14.25" spans="1:8">
      <c r="A6322" s="3" t="str">
        <f>"30706520303"</f>
        <v>30706520303</v>
      </c>
      <c r="B6322" s="3">
        <v>5</v>
      </c>
      <c r="C6322" s="3">
        <v>203</v>
      </c>
      <c r="D6322" s="3">
        <v>3</v>
      </c>
      <c r="E6322" s="3" t="s">
        <v>9</v>
      </c>
      <c r="F6322" s="4">
        <v>67.5</v>
      </c>
      <c r="G6322" s="4"/>
      <c r="H6322" s="4">
        <f t="shared" si="641"/>
        <v>67.5</v>
      </c>
    </row>
    <row r="6323" ht="14.25" spans="1:8">
      <c r="A6323" s="3" t="str">
        <f>"30706520304"</f>
        <v>30706520304</v>
      </c>
      <c r="B6323" s="3">
        <v>5</v>
      </c>
      <c r="C6323" s="3">
        <v>203</v>
      </c>
      <c r="D6323" s="3">
        <v>4</v>
      </c>
      <c r="E6323" s="3" t="s">
        <v>9</v>
      </c>
      <c r="F6323" s="4">
        <v>79.5</v>
      </c>
      <c r="G6323" s="4"/>
      <c r="H6323" s="4">
        <f t="shared" si="641"/>
        <v>79.5</v>
      </c>
    </row>
    <row r="6324" ht="14.25" spans="1:8">
      <c r="A6324" s="3" t="str">
        <f>"30707520305"</f>
        <v>30707520305</v>
      </c>
      <c r="B6324" s="3">
        <v>5</v>
      </c>
      <c r="C6324" s="3">
        <v>203</v>
      </c>
      <c r="D6324" s="3">
        <v>5</v>
      </c>
      <c r="E6324" s="3" t="s">
        <v>9</v>
      </c>
      <c r="F6324" s="3">
        <v>0</v>
      </c>
      <c r="G6324" s="4"/>
      <c r="H6324" s="3">
        <v>0</v>
      </c>
    </row>
    <row r="6325" ht="14.25" spans="1:8">
      <c r="A6325" s="3" t="str">
        <f>"30707520306"</f>
        <v>30707520306</v>
      </c>
      <c r="B6325" s="3">
        <v>5</v>
      </c>
      <c r="C6325" s="3">
        <v>203</v>
      </c>
      <c r="D6325" s="3">
        <v>6</v>
      </c>
      <c r="E6325" s="3" t="s">
        <v>9</v>
      </c>
      <c r="F6325" s="4">
        <v>78</v>
      </c>
      <c r="G6325" s="4"/>
      <c r="H6325" s="4">
        <f t="shared" ref="H6325:H6328" si="642">F6325+G6325</f>
        <v>78</v>
      </c>
    </row>
    <row r="6326" ht="14.25" spans="1:8">
      <c r="A6326" s="3" t="str">
        <f>"30707520307"</f>
        <v>30707520307</v>
      </c>
      <c r="B6326" s="3">
        <v>5</v>
      </c>
      <c r="C6326" s="3">
        <v>203</v>
      </c>
      <c r="D6326" s="3">
        <v>7</v>
      </c>
      <c r="E6326" s="3" t="s">
        <v>9</v>
      </c>
      <c r="F6326" s="4">
        <v>79</v>
      </c>
      <c r="G6326" s="4"/>
      <c r="H6326" s="4">
        <f t="shared" si="642"/>
        <v>79</v>
      </c>
    </row>
    <row r="6327" ht="14.25" spans="1:8">
      <c r="A6327" s="3" t="str">
        <f>"30707520308"</f>
        <v>30707520308</v>
      </c>
      <c r="B6327" s="3">
        <v>5</v>
      </c>
      <c r="C6327" s="3">
        <v>203</v>
      </c>
      <c r="D6327" s="3">
        <v>8</v>
      </c>
      <c r="E6327" s="3" t="s">
        <v>9</v>
      </c>
      <c r="F6327" s="4">
        <v>82.5</v>
      </c>
      <c r="G6327" s="4"/>
      <c r="H6327" s="4">
        <f t="shared" si="642"/>
        <v>82.5</v>
      </c>
    </row>
    <row r="6328" ht="14.25" spans="1:8">
      <c r="A6328" s="3" t="str">
        <f>"30707520309"</f>
        <v>30707520309</v>
      </c>
      <c r="B6328" s="3">
        <v>5</v>
      </c>
      <c r="C6328" s="3">
        <v>203</v>
      </c>
      <c r="D6328" s="3">
        <v>9</v>
      </c>
      <c r="E6328" s="3" t="s">
        <v>9</v>
      </c>
      <c r="F6328" s="4">
        <v>65.5</v>
      </c>
      <c r="G6328" s="4"/>
      <c r="H6328" s="4">
        <f t="shared" si="642"/>
        <v>65.5</v>
      </c>
    </row>
    <row r="6329" ht="14.25" spans="1:8">
      <c r="A6329" s="3" t="str">
        <f>"30707520310"</f>
        <v>30707520310</v>
      </c>
      <c r="B6329" s="3">
        <v>5</v>
      </c>
      <c r="C6329" s="3">
        <v>203</v>
      </c>
      <c r="D6329" s="3">
        <v>10</v>
      </c>
      <c r="E6329" s="3" t="s">
        <v>9</v>
      </c>
      <c r="F6329" s="3">
        <v>0</v>
      </c>
      <c r="G6329" s="4"/>
      <c r="H6329" s="3">
        <v>0</v>
      </c>
    </row>
    <row r="6330" ht="14.25" spans="1:8">
      <c r="A6330" s="3" t="str">
        <f>"30707520311"</f>
        <v>30707520311</v>
      </c>
      <c r="B6330" s="3">
        <v>5</v>
      </c>
      <c r="C6330" s="3">
        <v>203</v>
      </c>
      <c r="D6330" s="3">
        <v>11</v>
      </c>
      <c r="E6330" s="3" t="s">
        <v>9</v>
      </c>
      <c r="F6330" s="4">
        <v>82.5</v>
      </c>
      <c r="G6330" s="4"/>
      <c r="H6330" s="4">
        <f t="shared" ref="H6330:H6333" si="643">F6330+G6330</f>
        <v>82.5</v>
      </c>
    </row>
    <row r="6331" ht="14.25" spans="1:8">
      <c r="A6331" s="3" t="str">
        <f>"30707520312"</f>
        <v>30707520312</v>
      </c>
      <c r="B6331" s="3">
        <v>5</v>
      </c>
      <c r="C6331" s="3">
        <v>203</v>
      </c>
      <c r="D6331" s="3">
        <v>12</v>
      </c>
      <c r="E6331" s="3" t="s">
        <v>9</v>
      </c>
      <c r="F6331" s="3">
        <v>0</v>
      </c>
      <c r="G6331" s="4"/>
      <c r="H6331" s="3">
        <v>0</v>
      </c>
    </row>
    <row r="6332" ht="14.25" spans="1:8">
      <c r="A6332" s="3" t="str">
        <f>"30708520313"</f>
        <v>30708520313</v>
      </c>
      <c r="B6332" s="3">
        <v>5</v>
      </c>
      <c r="C6332" s="3">
        <v>203</v>
      </c>
      <c r="D6332" s="3">
        <v>13</v>
      </c>
      <c r="E6332" s="3" t="s">
        <v>9</v>
      </c>
      <c r="F6332" s="4">
        <v>59.5</v>
      </c>
      <c r="G6332" s="4"/>
      <c r="H6332" s="4">
        <f t="shared" si="643"/>
        <v>59.5</v>
      </c>
    </row>
    <row r="6333" ht="14.25" spans="1:8">
      <c r="A6333" s="3" t="str">
        <f>"30708520314"</f>
        <v>30708520314</v>
      </c>
      <c r="B6333" s="3">
        <v>5</v>
      </c>
      <c r="C6333" s="3">
        <v>203</v>
      </c>
      <c r="D6333" s="3">
        <v>14</v>
      </c>
      <c r="E6333" s="3" t="s">
        <v>9</v>
      </c>
      <c r="F6333" s="4">
        <v>67</v>
      </c>
      <c r="G6333" s="4"/>
      <c r="H6333" s="4">
        <f t="shared" si="643"/>
        <v>67</v>
      </c>
    </row>
    <row r="6334" ht="14.25" spans="1:8">
      <c r="A6334" s="3" t="str">
        <f>"30708520315"</f>
        <v>30708520315</v>
      </c>
      <c r="B6334" s="3">
        <v>5</v>
      </c>
      <c r="C6334" s="3">
        <v>203</v>
      </c>
      <c r="D6334" s="3">
        <v>15</v>
      </c>
      <c r="E6334" s="3" t="s">
        <v>9</v>
      </c>
      <c r="F6334" s="3">
        <v>0</v>
      </c>
      <c r="G6334" s="4"/>
      <c r="H6334" s="3">
        <v>0</v>
      </c>
    </row>
    <row r="6335" ht="14.25" spans="1:8">
      <c r="A6335" s="3" t="str">
        <f>"30708520316"</f>
        <v>30708520316</v>
      </c>
      <c r="B6335" s="3">
        <v>5</v>
      </c>
      <c r="C6335" s="3">
        <v>203</v>
      </c>
      <c r="D6335" s="3">
        <v>16</v>
      </c>
      <c r="E6335" s="3" t="s">
        <v>9</v>
      </c>
      <c r="F6335" s="4">
        <v>60.5</v>
      </c>
      <c r="G6335" s="4"/>
      <c r="H6335" s="4">
        <f t="shared" ref="H6335:H6340" si="644">F6335+G6335</f>
        <v>60.5</v>
      </c>
    </row>
    <row r="6336" ht="14.25" spans="1:8">
      <c r="A6336" s="3" t="str">
        <f>"30708520317"</f>
        <v>30708520317</v>
      </c>
      <c r="B6336" s="3">
        <v>5</v>
      </c>
      <c r="C6336" s="3">
        <v>203</v>
      </c>
      <c r="D6336" s="3">
        <v>17</v>
      </c>
      <c r="E6336" s="3" t="s">
        <v>9</v>
      </c>
      <c r="F6336" s="3">
        <v>0</v>
      </c>
      <c r="G6336" s="4"/>
      <c r="H6336" s="3">
        <v>0</v>
      </c>
    </row>
    <row r="6337" ht="14.25" spans="1:8">
      <c r="A6337" s="3" t="str">
        <f>"30709520318"</f>
        <v>30709520318</v>
      </c>
      <c r="B6337" s="3">
        <v>5</v>
      </c>
      <c r="C6337" s="3">
        <v>203</v>
      </c>
      <c r="D6337" s="3">
        <v>18</v>
      </c>
      <c r="E6337" s="3" t="s">
        <v>9</v>
      </c>
      <c r="F6337" s="3">
        <v>0</v>
      </c>
      <c r="G6337" s="4"/>
      <c r="H6337" s="3">
        <v>0</v>
      </c>
    </row>
    <row r="6338" ht="14.25" spans="1:8">
      <c r="A6338" s="3" t="str">
        <f>"30709520319"</f>
        <v>30709520319</v>
      </c>
      <c r="B6338" s="3">
        <v>5</v>
      </c>
      <c r="C6338" s="3">
        <v>203</v>
      </c>
      <c r="D6338" s="3">
        <v>19</v>
      </c>
      <c r="E6338" s="3" t="s">
        <v>9</v>
      </c>
      <c r="F6338" s="4">
        <v>67.5</v>
      </c>
      <c r="G6338" s="4"/>
      <c r="H6338" s="4">
        <f t="shared" si="644"/>
        <v>67.5</v>
      </c>
    </row>
    <row r="6339" ht="14.25" spans="1:8">
      <c r="A6339" s="3" t="str">
        <f>"30709520320"</f>
        <v>30709520320</v>
      </c>
      <c r="B6339" s="3">
        <v>5</v>
      </c>
      <c r="C6339" s="3">
        <v>203</v>
      </c>
      <c r="D6339" s="3">
        <v>20</v>
      </c>
      <c r="E6339" s="3" t="s">
        <v>9</v>
      </c>
      <c r="F6339" s="3">
        <v>0</v>
      </c>
      <c r="G6339" s="4"/>
      <c r="H6339" s="3">
        <v>0</v>
      </c>
    </row>
    <row r="6340" ht="14.25" spans="1:8">
      <c r="A6340" s="3" t="str">
        <f>"30709520321"</f>
        <v>30709520321</v>
      </c>
      <c r="B6340" s="3">
        <v>5</v>
      </c>
      <c r="C6340" s="3">
        <v>203</v>
      </c>
      <c r="D6340" s="3">
        <v>21</v>
      </c>
      <c r="E6340" s="3" t="s">
        <v>9</v>
      </c>
      <c r="F6340" s="4">
        <v>83.5</v>
      </c>
      <c r="G6340" s="4"/>
      <c r="H6340" s="4">
        <f t="shared" si="644"/>
        <v>83.5</v>
      </c>
    </row>
    <row r="6341" ht="14.25" spans="1:8">
      <c r="A6341" s="3" t="str">
        <f>"30709520322"</f>
        <v>30709520322</v>
      </c>
      <c r="B6341" s="3">
        <v>5</v>
      </c>
      <c r="C6341" s="3">
        <v>203</v>
      </c>
      <c r="D6341" s="3">
        <v>22</v>
      </c>
      <c r="E6341" s="3" t="s">
        <v>9</v>
      </c>
      <c r="F6341" s="3">
        <v>0</v>
      </c>
      <c r="G6341" s="4"/>
      <c r="H6341" s="3">
        <v>0</v>
      </c>
    </row>
    <row r="6342" ht="14.25" spans="1:8">
      <c r="A6342" s="3" t="str">
        <f>"30709520323"</f>
        <v>30709520323</v>
      </c>
      <c r="B6342" s="3">
        <v>5</v>
      </c>
      <c r="C6342" s="3">
        <v>203</v>
      </c>
      <c r="D6342" s="3">
        <v>23</v>
      </c>
      <c r="E6342" s="3" t="s">
        <v>9</v>
      </c>
      <c r="F6342" s="3">
        <v>0</v>
      </c>
      <c r="G6342" s="4"/>
      <c r="H6342" s="3">
        <v>0</v>
      </c>
    </row>
    <row r="6343" ht="14.25" spans="1:8">
      <c r="A6343" s="3" t="str">
        <f>"30710520324"</f>
        <v>30710520324</v>
      </c>
      <c r="B6343" s="3">
        <v>5</v>
      </c>
      <c r="C6343" s="3">
        <v>203</v>
      </c>
      <c r="D6343" s="3">
        <v>24</v>
      </c>
      <c r="E6343" s="3" t="s">
        <v>9</v>
      </c>
      <c r="F6343" s="4">
        <v>80</v>
      </c>
      <c r="G6343" s="4"/>
      <c r="H6343" s="4">
        <f t="shared" ref="H6343:H6347" si="645">F6343+G6343</f>
        <v>80</v>
      </c>
    </row>
    <row r="6344" ht="14.25" spans="1:8">
      <c r="A6344" s="3" t="str">
        <f>"30710520325"</f>
        <v>30710520325</v>
      </c>
      <c r="B6344" s="3">
        <v>5</v>
      </c>
      <c r="C6344" s="3">
        <v>203</v>
      </c>
      <c r="D6344" s="3">
        <v>25</v>
      </c>
      <c r="E6344" s="3" t="s">
        <v>9</v>
      </c>
      <c r="F6344" s="4">
        <v>60.5</v>
      </c>
      <c r="G6344" s="4"/>
      <c r="H6344" s="4">
        <f t="shared" si="645"/>
        <v>60.5</v>
      </c>
    </row>
    <row r="6345" ht="14.25" spans="1:8">
      <c r="A6345" s="3" t="str">
        <f>"30710520326"</f>
        <v>30710520326</v>
      </c>
      <c r="B6345" s="3">
        <v>5</v>
      </c>
      <c r="C6345" s="3">
        <v>203</v>
      </c>
      <c r="D6345" s="3">
        <v>26</v>
      </c>
      <c r="E6345" s="3" t="s">
        <v>9</v>
      </c>
      <c r="F6345" s="3">
        <v>0</v>
      </c>
      <c r="G6345" s="4"/>
      <c r="H6345" s="3">
        <v>0</v>
      </c>
    </row>
    <row r="6346" ht="14.25" spans="1:8">
      <c r="A6346" s="3" t="str">
        <f>"30710520327"</f>
        <v>30710520327</v>
      </c>
      <c r="B6346" s="3">
        <v>5</v>
      </c>
      <c r="C6346" s="3">
        <v>203</v>
      </c>
      <c r="D6346" s="3">
        <v>27</v>
      </c>
      <c r="E6346" s="3" t="s">
        <v>9</v>
      </c>
      <c r="F6346" s="4">
        <v>70.5</v>
      </c>
      <c r="G6346" s="4"/>
      <c r="H6346" s="4">
        <f t="shared" si="645"/>
        <v>70.5</v>
      </c>
    </row>
    <row r="6347" ht="14.25" spans="1:8">
      <c r="A6347" s="3" t="str">
        <f>"30710520328"</f>
        <v>30710520328</v>
      </c>
      <c r="B6347" s="3">
        <v>5</v>
      </c>
      <c r="C6347" s="3">
        <v>203</v>
      </c>
      <c r="D6347" s="3">
        <v>28</v>
      </c>
      <c r="E6347" s="3" t="s">
        <v>9</v>
      </c>
      <c r="F6347" s="4">
        <v>52</v>
      </c>
      <c r="G6347" s="4"/>
      <c r="H6347" s="4">
        <f t="shared" si="645"/>
        <v>52</v>
      </c>
    </row>
    <row r="6348" ht="14.25" spans="1:8">
      <c r="A6348" s="3" t="str">
        <f>"30710520329"</f>
        <v>30710520329</v>
      </c>
      <c r="B6348" s="3">
        <v>5</v>
      </c>
      <c r="C6348" s="3">
        <v>203</v>
      </c>
      <c r="D6348" s="3">
        <v>29</v>
      </c>
      <c r="E6348" s="3" t="s">
        <v>9</v>
      </c>
      <c r="F6348" s="3">
        <v>0</v>
      </c>
      <c r="G6348" s="4"/>
      <c r="H6348" s="3">
        <v>0</v>
      </c>
    </row>
    <row r="6349" ht="14.25" spans="1:8">
      <c r="A6349" s="3" t="str">
        <f>"30710520330"</f>
        <v>30710520330</v>
      </c>
      <c r="B6349" s="3">
        <v>5</v>
      </c>
      <c r="C6349" s="3">
        <v>203</v>
      </c>
      <c r="D6349" s="3">
        <v>30</v>
      </c>
      <c r="E6349" s="3" t="s">
        <v>9</v>
      </c>
      <c r="F6349" s="4">
        <v>73.5</v>
      </c>
      <c r="G6349" s="4"/>
      <c r="H6349" s="4">
        <f t="shared" ref="H6349:H6358" si="646">F6349+G6349</f>
        <v>73.5</v>
      </c>
    </row>
    <row r="6350" ht="14.25" spans="1:8">
      <c r="A6350" s="3" t="str">
        <f>"30710520401"</f>
        <v>30710520401</v>
      </c>
      <c r="B6350" s="3">
        <v>5</v>
      </c>
      <c r="C6350" s="3">
        <v>204</v>
      </c>
      <c r="D6350" s="3">
        <v>1</v>
      </c>
      <c r="E6350" s="3" t="s">
        <v>9</v>
      </c>
      <c r="F6350" s="4">
        <v>78.5</v>
      </c>
      <c r="G6350" s="4"/>
      <c r="H6350" s="4">
        <f t="shared" si="646"/>
        <v>78.5</v>
      </c>
    </row>
    <row r="6351" ht="14.25" spans="1:8">
      <c r="A6351" s="3" t="str">
        <f>"30710520402"</f>
        <v>30710520402</v>
      </c>
      <c r="B6351" s="3">
        <v>5</v>
      </c>
      <c r="C6351" s="3">
        <v>204</v>
      </c>
      <c r="D6351" s="3">
        <v>2</v>
      </c>
      <c r="E6351" s="3" t="s">
        <v>9</v>
      </c>
      <c r="F6351" s="4">
        <v>59.5</v>
      </c>
      <c r="G6351" s="4"/>
      <c r="H6351" s="4">
        <f t="shared" si="646"/>
        <v>59.5</v>
      </c>
    </row>
    <row r="6352" ht="14.25" spans="1:8">
      <c r="A6352" s="3" t="str">
        <f>"30710520403"</f>
        <v>30710520403</v>
      </c>
      <c r="B6352" s="3">
        <v>5</v>
      </c>
      <c r="C6352" s="3">
        <v>204</v>
      </c>
      <c r="D6352" s="3">
        <v>3</v>
      </c>
      <c r="E6352" s="3" t="s">
        <v>9</v>
      </c>
      <c r="F6352" s="4">
        <v>51.5</v>
      </c>
      <c r="G6352" s="4"/>
      <c r="H6352" s="4">
        <f t="shared" si="646"/>
        <v>51.5</v>
      </c>
    </row>
    <row r="6353" ht="14.25" spans="1:8">
      <c r="A6353" s="3" t="str">
        <f>"30710520404"</f>
        <v>30710520404</v>
      </c>
      <c r="B6353" s="3">
        <v>5</v>
      </c>
      <c r="C6353" s="3">
        <v>204</v>
      </c>
      <c r="D6353" s="3">
        <v>4</v>
      </c>
      <c r="E6353" s="3" t="s">
        <v>9</v>
      </c>
      <c r="F6353" s="4">
        <v>71</v>
      </c>
      <c r="G6353" s="4"/>
      <c r="H6353" s="4">
        <f t="shared" si="646"/>
        <v>71</v>
      </c>
    </row>
    <row r="6354" ht="14.25" spans="1:8">
      <c r="A6354" s="3" t="str">
        <f>"30710520405"</f>
        <v>30710520405</v>
      </c>
      <c r="B6354" s="3">
        <v>5</v>
      </c>
      <c r="C6354" s="3">
        <v>204</v>
      </c>
      <c r="D6354" s="3">
        <v>5</v>
      </c>
      <c r="E6354" s="3" t="s">
        <v>9</v>
      </c>
      <c r="F6354" s="4">
        <v>45.5</v>
      </c>
      <c r="G6354" s="4"/>
      <c r="H6354" s="4">
        <f t="shared" si="646"/>
        <v>45.5</v>
      </c>
    </row>
    <row r="6355" ht="14.25" spans="1:8">
      <c r="A6355" s="3" t="str">
        <f>"30710520406"</f>
        <v>30710520406</v>
      </c>
      <c r="B6355" s="3">
        <v>5</v>
      </c>
      <c r="C6355" s="3">
        <v>204</v>
      </c>
      <c r="D6355" s="3">
        <v>6</v>
      </c>
      <c r="E6355" s="3" t="s">
        <v>9</v>
      </c>
      <c r="F6355" s="4">
        <v>80.5</v>
      </c>
      <c r="G6355" s="4"/>
      <c r="H6355" s="4">
        <f t="shared" si="646"/>
        <v>80.5</v>
      </c>
    </row>
    <row r="6356" ht="14.25" spans="1:8">
      <c r="A6356" s="3" t="str">
        <f>"30710520407"</f>
        <v>30710520407</v>
      </c>
      <c r="B6356" s="3">
        <v>5</v>
      </c>
      <c r="C6356" s="3">
        <v>204</v>
      </c>
      <c r="D6356" s="3">
        <v>7</v>
      </c>
      <c r="E6356" s="3" t="s">
        <v>9</v>
      </c>
      <c r="F6356" s="4">
        <v>55.5</v>
      </c>
      <c r="G6356" s="4"/>
      <c r="H6356" s="4">
        <f t="shared" si="646"/>
        <v>55.5</v>
      </c>
    </row>
    <row r="6357" ht="14.25" spans="1:8">
      <c r="A6357" s="3" t="str">
        <f>"30710520408"</f>
        <v>30710520408</v>
      </c>
      <c r="B6357" s="3">
        <v>5</v>
      </c>
      <c r="C6357" s="3">
        <v>204</v>
      </c>
      <c r="D6357" s="3">
        <v>8</v>
      </c>
      <c r="E6357" s="3" t="s">
        <v>9</v>
      </c>
      <c r="F6357" s="4">
        <v>74</v>
      </c>
      <c r="G6357" s="4"/>
      <c r="H6357" s="4">
        <f t="shared" si="646"/>
        <v>74</v>
      </c>
    </row>
    <row r="6358" ht="14.25" spans="1:8">
      <c r="A6358" s="3" t="str">
        <f>"30710520409"</f>
        <v>30710520409</v>
      </c>
      <c r="B6358" s="3">
        <v>5</v>
      </c>
      <c r="C6358" s="3">
        <v>204</v>
      </c>
      <c r="D6358" s="3">
        <v>9</v>
      </c>
      <c r="E6358" s="3" t="s">
        <v>9</v>
      </c>
      <c r="F6358" s="4">
        <v>63</v>
      </c>
      <c r="G6358" s="4"/>
      <c r="H6358" s="4">
        <f t="shared" si="646"/>
        <v>63</v>
      </c>
    </row>
    <row r="6359" ht="14.25" spans="1:8">
      <c r="A6359" s="3" t="str">
        <f>"30710520410"</f>
        <v>30710520410</v>
      </c>
      <c r="B6359" s="3">
        <v>5</v>
      </c>
      <c r="C6359" s="3">
        <v>204</v>
      </c>
      <c r="D6359" s="3">
        <v>10</v>
      </c>
      <c r="E6359" s="3" t="s">
        <v>9</v>
      </c>
      <c r="F6359" s="3">
        <v>0</v>
      </c>
      <c r="G6359" s="4"/>
      <c r="H6359" s="3">
        <v>0</v>
      </c>
    </row>
    <row r="6360" ht="14.25" spans="1:8">
      <c r="A6360" s="3" t="str">
        <f>"30710520411"</f>
        <v>30710520411</v>
      </c>
      <c r="B6360" s="3">
        <v>5</v>
      </c>
      <c r="C6360" s="3">
        <v>204</v>
      </c>
      <c r="D6360" s="3">
        <v>11</v>
      </c>
      <c r="E6360" s="3" t="s">
        <v>9</v>
      </c>
      <c r="F6360" s="4">
        <v>77.5</v>
      </c>
      <c r="G6360" s="4"/>
      <c r="H6360" s="4">
        <f t="shared" ref="H6360:H6362" si="647">F6360+G6360</f>
        <v>77.5</v>
      </c>
    </row>
    <row r="6361" ht="14.25" spans="1:8">
      <c r="A6361" s="3" t="str">
        <f>"30710520412"</f>
        <v>30710520412</v>
      </c>
      <c r="B6361" s="3">
        <v>5</v>
      </c>
      <c r="C6361" s="3">
        <v>204</v>
      </c>
      <c r="D6361" s="3">
        <v>12</v>
      </c>
      <c r="E6361" s="3" t="s">
        <v>9</v>
      </c>
      <c r="F6361" s="4">
        <v>83.5</v>
      </c>
      <c r="G6361" s="4"/>
      <c r="H6361" s="4">
        <f t="shared" si="647"/>
        <v>83.5</v>
      </c>
    </row>
    <row r="6362" ht="14.25" spans="1:8">
      <c r="A6362" s="3" t="str">
        <f>"30710520413"</f>
        <v>30710520413</v>
      </c>
      <c r="B6362" s="3">
        <v>5</v>
      </c>
      <c r="C6362" s="3">
        <v>204</v>
      </c>
      <c r="D6362" s="3">
        <v>13</v>
      </c>
      <c r="E6362" s="3" t="s">
        <v>9</v>
      </c>
      <c r="F6362" s="4">
        <v>69</v>
      </c>
      <c r="G6362" s="4"/>
      <c r="H6362" s="4">
        <f t="shared" si="647"/>
        <v>69</v>
      </c>
    </row>
    <row r="6363" ht="14.25" spans="1:8">
      <c r="A6363" s="3" t="str">
        <f>"30711520414"</f>
        <v>30711520414</v>
      </c>
      <c r="B6363" s="3">
        <v>5</v>
      </c>
      <c r="C6363" s="3">
        <v>204</v>
      </c>
      <c r="D6363" s="3">
        <v>14</v>
      </c>
      <c r="E6363" s="3" t="s">
        <v>9</v>
      </c>
      <c r="F6363" s="3">
        <v>0</v>
      </c>
      <c r="G6363" s="4"/>
      <c r="H6363" s="3">
        <v>0</v>
      </c>
    </row>
    <row r="6364" ht="14.25" spans="1:8">
      <c r="A6364" s="3" t="str">
        <f>"30711520415"</f>
        <v>30711520415</v>
      </c>
      <c r="B6364" s="3">
        <v>5</v>
      </c>
      <c r="C6364" s="3">
        <v>204</v>
      </c>
      <c r="D6364" s="3">
        <v>15</v>
      </c>
      <c r="E6364" s="3" t="s">
        <v>9</v>
      </c>
      <c r="F6364" s="4">
        <v>60</v>
      </c>
      <c r="G6364" s="4"/>
      <c r="H6364" s="4">
        <f t="shared" ref="H6364:H6369" si="648">F6364+G6364</f>
        <v>60</v>
      </c>
    </row>
    <row r="6365" ht="14.25" spans="1:8">
      <c r="A6365" s="3" t="str">
        <f>"30711520416"</f>
        <v>30711520416</v>
      </c>
      <c r="B6365" s="3">
        <v>5</v>
      </c>
      <c r="C6365" s="3">
        <v>204</v>
      </c>
      <c r="D6365" s="3">
        <v>16</v>
      </c>
      <c r="E6365" s="3" t="s">
        <v>9</v>
      </c>
      <c r="F6365" s="3">
        <v>0</v>
      </c>
      <c r="G6365" s="4"/>
      <c r="H6365" s="3">
        <v>0</v>
      </c>
    </row>
    <row r="6366" ht="14.25" spans="1:8">
      <c r="A6366" s="3" t="str">
        <f>"30711520417"</f>
        <v>30711520417</v>
      </c>
      <c r="B6366" s="3">
        <v>5</v>
      </c>
      <c r="C6366" s="3">
        <v>204</v>
      </c>
      <c r="D6366" s="3">
        <v>17</v>
      </c>
      <c r="E6366" s="3" t="s">
        <v>9</v>
      </c>
      <c r="F6366" s="4">
        <v>78</v>
      </c>
      <c r="G6366" s="4"/>
      <c r="H6366" s="4">
        <f t="shared" si="648"/>
        <v>78</v>
      </c>
    </row>
    <row r="6367" ht="14.25" spans="1:8">
      <c r="A6367" s="3" t="str">
        <f>"30711520418"</f>
        <v>30711520418</v>
      </c>
      <c r="B6367" s="3">
        <v>5</v>
      </c>
      <c r="C6367" s="3">
        <v>204</v>
      </c>
      <c r="D6367" s="3">
        <v>18</v>
      </c>
      <c r="E6367" s="3" t="s">
        <v>9</v>
      </c>
      <c r="F6367" s="3">
        <v>0</v>
      </c>
      <c r="G6367" s="4"/>
      <c r="H6367" s="3">
        <v>0</v>
      </c>
    </row>
    <row r="6368" ht="14.25" spans="1:8">
      <c r="A6368" s="3" t="str">
        <f>"30711520419"</f>
        <v>30711520419</v>
      </c>
      <c r="B6368" s="3">
        <v>5</v>
      </c>
      <c r="C6368" s="3">
        <v>204</v>
      </c>
      <c r="D6368" s="3">
        <v>19</v>
      </c>
      <c r="E6368" s="3" t="s">
        <v>9</v>
      </c>
      <c r="F6368" s="4">
        <v>51.5</v>
      </c>
      <c r="G6368" s="4"/>
      <c r="H6368" s="4">
        <f t="shared" si="648"/>
        <v>51.5</v>
      </c>
    </row>
    <row r="6369" ht="14.25" spans="1:8">
      <c r="A6369" s="3" t="str">
        <f>"30711520420"</f>
        <v>30711520420</v>
      </c>
      <c r="B6369" s="3">
        <v>5</v>
      </c>
      <c r="C6369" s="3">
        <v>204</v>
      </c>
      <c r="D6369" s="3">
        <v>20</v>
      </c>
      <c r="E6369" s="3" t="s">
        <v>9</v>
      </c>
      <c r="F6369" s="4">
        <v>52</v>
      </c>
      <c r="G6369" s="4"/>
      <c r="H6369" s="4">
        <f t="shared" si="648"/>
        <v>52</v>
      </c>
    </row>
    <row r="6370" ht="14.25" spans="1:8">
      <c r="A6370" s="3" t="str">
        <f>"30711520421"</f>
        <v>30711520421</v>
      </c>
      <c r="B6370" s="3">
        <v>5</v>
      </c>
      <c r="C6370" s="3">
        <v>204</v>
      </c>
      <c r="D6370" s="3">
        <v>21</v>
      </c>
      <c r="E6370" s="3" t="s">
        <v>9</v>
      </c>
      <c r="F6370" s="3">
        <v>0</v>
      </c>
      <c r="G6370" s="4"/>
      <c r="H6370" s="3">
        <v>0</v>
      </c>
    </row>
    <row r="6371" ht="14.25" spans="1:8">
      <c r="A6371" s="3" t="str">
        <f>"30711520422"</f>
        <v>30711520422</v>
      </c>
      <c r="B6371" s="3">
        <v>5</v>
      </c>
      <c r="C6371" s="3">
        <v>204</v>
      </c>
      <c r="D6371" s="3">
        <v>22</v>
      </c>
      <c r="E6371" s="3" t="s">
        <v>9</v>
      </c>
      <c r="F6371" s="4">
        <v>43.5</v>
      </c>
      <c r="G6371" s="4"/>
      <c r="H6371" s="4">
        <f t="shared" ref="H6371:H6375" si="649">F6371+G6371</f>
        <v>43.5</v>
      </c>
    </row>
    <row r="6372" ht="14.25" spans="1:8">
      <c r="A6372" s="3" t="str">
        <f>"30711520423"</f>
        <v>30711520423</v>
      </c>
      <c r="B6372" s="3">
        <v>5</v>
      </c>
      <c r="C6372" s="3">
        <v>204</v>
      </c>
      <c r="D6372" s="3">
        <v>23</v>
      </c>
      <c r="E6372" s="3" t="s">
        <v>9</v>
      </c>
      <c r="F6372" s="4">
        <v>50.5</v>
      </c>
      <c r="G6372" s="4"/>
      <c r="H6372" s="4">
        <f t="shared" si="649"/>
        <v>50.5</v>
      </c>
    </row>
    <row r="6373" ht="14.25" spans="1:8">
      <c r="A6373" s="3" t="str">
        <f>"30712520424"</f>
        <v>30712520424</v>
      </c>
      <c r="B6373" s="3">
        <v>5</v>
      </c>
      <c r="C6373" s="3">
        <v>204</v>
      </c>
      <c r="D6373" s="3">
        <v>24</v>
      </c>
      <c r="E6373" s="3" t="s">
        <v>9</v>
      </c>
      <c r="F6373" s="4">
        <v>55</v>
      </c>
      <c r="G6373" s="4"/>
      <c r="H6373" s="4">
        <f t="shared" si="649"/>
        <v>55</v>
      </c>
    </row>
    <row r="6374" ht="14.25" spans="1:8">
      <c r="A6374" s="3" t="str">
        <f>"30712520425"</f>
        <v>30712520425</v>
      </c>
      <c r="B6374" s="3">
        <v>5</v>
      </c>
      <c r="C6374" s="3">
        <v>204</v>
      </c>
      <c r="D6374" s="3">
        <v>25</v>
      </c>
      <c r="E6374" s="3" t="s">
        <v>9</v>
      </c>
      <c r="F6374" s="4">
        <v>80</v>
      </c>
      <c r="G6374" s="4"/>
      <c r="H6374" s="4">
        <f t="shared" si="649"/>
        <v>80</v>
      </c>
    </row>
    <row r="6375" ht="14.25" spans="1:8">
      <c r="A6375" s="3" t="str">
        <f>"30712520426"</f>
        <v>30712520426</v>
      </c>
      <c r="B6375" s="3">
        <v>5</v>
      </c>
      <c r="C6375" s="3">
        <v>204</v>
      </c>
      <c r="D6375" s="3">
        <v>26</v>
      </c>
      <c r="E6375" s="3" t="s">
        <v>9</v>
      </c>
      <c r="F6375" s="4">
        <v>69</v>
      </c>
      <c r="G6375" s="4"/>
      <c r="H6375" s="4">
        <f t="shared" si="649"/>
        <v>69</v>
      </c>
    </row>
    <row r="6376" ht="14.25" spans="1:8">
      <c r="A6376" s="3" t="str">
        <f>"30712520427"</f>
        <v>30712520427</v>
      </c>
      <c r="B6376" s="3">
        <v>5</v>
      </c>
      <c r="C6376" s="3">
        <v>204</v>
      </c>
      <c r="D6376" s="3">
        <v>27</v>
      </c>
      <c r="E6376" s="3" t="s">
        <v>9</v>
      </c>
      <c r="F6376" s="3">
        <v>0</v>
      </c>
      <c r="G6376" s="4"/>
      <c r="H6376" s="3">
        <v>0</v>
      </c>
    </row>
    <row r="6377" ht="14.25" spans="1:8">
      <c r="A6377" s="3" t="str">
        <f>"30712520428"</f>
        <v>30712520428</v>
      </c>
      <c r="B6377" s="3">
        <v>5</v>
      </c>
      <c r="C6377" s="3">
        <v>204</v>
      </c>
      <c r="D6377" s="3">
        <v>28</v>
      </c>
      <c r="E6377" s="3" t="s">
        <v>9</v>
      </c>
      <c r="F6377" s="4">
        <v>53.5</v>
      </c>
      <c r="G6377" s="4"/>
      <c r="H6377" s="4">
        <f t="shared" ref="H6377:H6386" si="650">F6377+G6377</f>
        <v>53.5</v>
      </c>
    </row>
    <row r="6378" ht="14.25" spans="1:8">
      <c r="A6378" s="3" t="str">
        <f>"30712520429"</f>
        <v>30712520429</v>
      </c>
      <c r="B6378" s="3">
        <v>5</v>
      </c>
      <c r="C6378" s="3">
        <v>204</v>
      </c>
      <c r="D6378" s="3">
        <v>29</v>
      </c>
      <c r="E6378" s="3" t="s">
        <v>9</v>
      </c>
      <c r="F6378" s="4">
        <v>45</v>
      </c>
      <c r="G6378" s="4"/>
      <c r="H6378" s="4">
        <f t="shared" si="650"/>
        <v>45</v>
      </c>
    </row>
    <row r="6379" ht="14.25" spans="1:8">
      <c r="A6379" s="3" t="str">
        <f>"30712520430"</f>
        <v>30712520430</v>
      </c>
      <c r="B6379" s="3">
        <v>5</v>
      </c>
      <c r="C6379" s="3">
        <v>204</v>
      </c>
      <c r="D6379" s="3">
        <v>30</v>
      </c>
      <c r="E6379" s="3" t="s">
        <v>9</v>
      </c>
      <c r="F6379" s="3">
        <v>0</v>
      </c>
      <c r="G6379" s="4"/>
      <c r="H6379" s="3">
        <v>0</v>
      </c>
    </row>
    <row r="6380" ht="14.25" spans="1:8">
      <c r="A6380" s="3" t="str">
        <f>"30712520501"</f>
        <v>30712520501</v>
      </c>
      <c r="B6380" s="3">
        <v>5</v>
      </c>
      <c r="C6380" s="3">
        <v>205</v>
      </c>
      <c r="D6380" s="3">
        <v>1</v>
      </c>
      <c r="E6380" s="3" t="s">
        <v>9</v>
      </c>
      <c r="F6380" s="4">
        <v>61</v>
      </c>
      <c r="G6380" s="4"/>
      <c r="H6380" s="4">
        <f t="shared" si="650"/>
        <v>61</v>
      </c>
    </row>
    <row r="6381" ht="14.25" spans="1:8">
      <c r="A6381" s="3" t="str">
        <f>"30712520502"</f>
        <v>30712520502</v>
      </c>
      <c r="B6381" s="3">
        <v>5</v>
      </c>
      <c r="C6381" s="3">
        <v>205</v>
      </c>
      <c r="D6381" s="3">
        <v>2</v>
      </c>
      <c r="E6381" s="3" t="s">
        <v>9</v>
      </c>
      <c r="F6381" s="4">
        <v>59.5</v>
      </c>
      <c r="G6381" s="4"/>
      <c r="H6381" s="4">
        <f t="shared" si="650"/>
        <v>59.5</v>
      </c>
    </row>
    <row r="6382" ht="14.25" spans="1:8">
      <c r="A6382" s="3" t="str">
        <f>"30712520503"</f>
        <v>30712520503</v>
      </c>
      <c r="B6382" s="3">
        <v>5</v>
      </c>
      <c r="C6382" s="3">
        <v>205</v>
      </c>
      <c r="D6382" s="3">
        <v>3</v>
      </c>
      <c r="E6382" s="3" t="s">
        <v>9</v>
      </c>
      <c r="F6382" s="4">
        <v>62.5</v>
      </c>
      <c r="G6382" s="4"/>
      <c r="H6382" s="4">
        <f t="shared" si="650"/>
        <v>62.5</v>
      </c>
    </row>
    <row r="6383" ht="14.25" spans="1:8">
      <c r="A6383" s="3" t="str">
        <f>"30712520504"</f>
        <v>30712520504</v>
      </c>
      <c r="B6383" s="3">
        <v>5</v>
      </c>
      <c r="C6383" s="3">
        <v>205</v>
      </c>
      <c r="D6383" s="3">
        <v>4</v>
      </c>
      <c r="E6383" s="3" t="s">
        <v>9</v>
      </c>
      <c r="F6383" s="4">
        <v>66.5</v>
      </c>
      <c r="G6383" s="4"/>
      <c r="H6383" s="4">
        <f t="shared" si="650"/>
        <v>66.5</v>
      </c>
    </row>
    <row r="6384" ht="14.25" spans="1:8">
      <c r="A6384" s="3" t="str">
        <f>"30712520505"</f>
        <v>30712520505</v>
      </c>
      <c r="B6384" s="3">
        <v>5</v>
      </c>
      <c r="C6384" s="3">
        <v>205</v>
      </c>
      <c r="D6384" s="3">
        <v>5</v>
      </c>
      <c r="E6384" s="3" t="s">
        <v>9</v>
      </c>
      <c r="F6384" s="4">
        <v>43.5</v>
      </c>
      <c r="G6384" s="4"/>
      <c r="H6384" s="4">
        <f t="shared" si="650"/>
        <v>43.5</v>
      </c>
    </row>
    <row r="6385" ht="14.25" spans="1:8">
      <c r="A6385" s="3" t="str">
        <f>"30712520506"</f>
        <v>30712520506</v>
      </c>
      <c r="B6385" s="3">
        <v>5</v>
      </c>
      <c r="C6385" s="3">
        <v>205</v>
      </c>
      <c r="D6385" s="3">
        <v>6</v>
      </c>
      <c r="E6385" s="3" t="s">
        <v>9</v>
      </c>
      <c r="F6385" s="4">
        <v>59.5</v>
      </c>
      <c r="G6385" s="4"/>
      <c r="H6385" s="4">
        <f t="shared" si="650"/>
        <v>59.5</v>
      </c>
    </row>
    <row r="6386" ht="14.25" spans="1:8">
      <c r="A6386" s="3" t="str">
        <f>"30712520507"</f>
        <v>30712520507</v>
      </c>
      <c r="B6386" s="3">
        <v>5</v>
      </c>
      <c r="C6386" s="3">
        <v>205</v>
      </c>
      <c r="D6386" s="3">
        <v>7</v>
      </c>
      <c r="E6386" s="3" t="s">
        <v>9</v>
      </c>
      <c r="F6386" s="4">
        <v>87.5</v>
      </c>
      <c r="G6386" s="4"/>
      <c r="H6386" s="4">
        <f t="shared" si="650"/>
        <v>87.5</v>
      </c>
    </row>
    <row r="6387" ht="14.25" spans="1:8">
      <c r="A6387" s="3" t="str">
        <f>"30712520508"</f>
        <v>30712520508</v>
      </c>
      <c r="B6387" s="3">
        <v>5</v>
      </c>
      <c r="C6387" s="3">
        <v>205</v>
      </c>
      <c r="D6387" s="3">
        <v>8</v>
      </c>
      <c r="E6387" s="3" t="s">
        <v>9</v>
      </c>
      <c r="F6387" s="3">
        <v>0</v>
      </c>
      <c r="G6387" s="4"/>
      <c r="H6387" s="3">
        <v>0</v>
      </c>
    </row>
    <row r="6388" ht="14.25" spans="1:8">
      <c r="A6388" s="3" t="str">
        <f>"30712520509"</f>
        <v>30712520509</v>
      </c>
      <c r="B6388" s="3">
        <v>5</v>
      </c>
      <c r="C6388" s="3">
        <v>205</v>
      </c>
      <c r="D6388" s="3">
        <v>9</v>
      </c>
      <c r="E6388" s="3" t="s">
        <v>9</v>
      </c>
      <c r="F6388" s="3">
        <v>0</v>
      </c>
      <c r="G6388" s="4"/>
      <c r="H6388" s="3">
        <v>0</v>
      </c>
    </row>
    <row r="6389" ht="14.25" spans="1:8">
      <c r="A6389" s="3" t="str">
        <f>"30712520510"</f>
        <v>30712520510</v>
      </c>
      <c r="B6389" s="3">
        <v>5</v>
      </c>
      <c r="C6389" s="3">
        <v>205</v>
      </c>
      <c r="D6389" s="3">
        <v>10</v>
      </c>
      <c r="E6389" s="3" t="s">
        <v>9</v>
      </c>
      <c r="F6389" s="4">
        <v>62.5</v>
      </c>
      <c r="G6389" s="4"/>
      <c r="H6389" s="4">
        <f t="shared" ref="H6389:H6393" si="651">F6389+G6389</f>
        <v>62.5</v>
      </c>
    </row>
    <row r="6390" ht="14.25" spans="1:8">
      <c r="A6390" s="3" t="str">
        <f>"30712520511"</f>
        <v>30712520511</v>
      </c>
      <c r="B6390" s="3">
        <v>5</v>
      </c>
      <c r="C6390" s="3">
        <v>205</v>
      </c>
      <c r="D6390" s="3">
        <v>11</v>
      </c>
      <c r="E6390" s="3" t="s">
        <v>9</v>
      </c>
      <c r="F6390" s="4">
        <v>68.5</v>
      </c>
      <c r="G6390" s="4"/>
      <c r="H6390" s="4">
        <f t="shared" si="651"/>
        <v>68.5</v>
      </c>
    </row>
    <row r="6391" ht="14.25" spans="1:8">
      <c r="A6391" s="3" t="str">
        <f>"30712520512"</f>
        <v>30712520512</v>
      </c>
      <c r="B6391" s="3">
        <v>5</v>
      </c>
      <c r="C6391" s="3">
        <v>205</v>
      </c>
      <c r="D6391" s="3">
        <v>12</v>
      </c>
      <c r="E6391" s="3" t="s">
        <v>9</v>
      </c>
      <c r="F6391" s="4">
        <v>78.5</v>
      </c>
      <c r="G6391" s="4"/>
      <c r="H6391" s="4">
        <f t="shared" si="651"/>
        <v>78.5</v>
      </c>
    </row>
    <row r="6392" ht="14.25" spans="1:8">
      <c r="A6392" s="3" t="str">
        <f>"30712520513"</f>
        <v>30712520513</v>
      </c>
      <c r="B6392" s="3">
        <v>5</v>
      </c>
      <c r="C6392" s="3">
        <v>205</v>
      </c>
      <c r="D6392" s="3">
        <v>13</v>
      </c>
      <c r="E6392" s="3" t="s">
        <v>9</v>
      </c>
      <c r="F6392" s="4">
        <v>52.5</v>
      </c>
      <c r="G6392" s="4"/>
      <c r="H6392" s="4">
        <f t="shared" si="651"/>
        <v>52.5</v>
      </c>
    </row>
    <row r="6393" ht="14.25" spans="1:8">
      <c r="A6393" s="3" t="str">
        <f>"30712520514"</f>
        <v>30712520514</v>
      </c>
      <c r="B6393" s="3">
        <v>5</v>
      </c>
      <c r="C6393" s="3">
        <v>205</v>
      </c>
      <c r="D6393" s="3">
        <v>14</v>
      </c>
      <c r="E6393" s="3" t="s">
        <v>9</v>
      </c>
      <c r="F6393" s="4">
        <v>62</v>
      </c>
      <c r="G6393" s="4"/>
      <c r="H6393" s="4">
        <f t="shared" si="651"/>
        <v>62</v>
      </c>
    </row>
    <row r="6394" ht="14.25" spans="1:8">
      <c r="A6394" s="3" t="str">
        <f>"30712520515"</f>
        <v>30712520515</v>
      </c>
      <c r="B6394" s="3">
        <v>5</v>
      </c>
      <c r="C6394" s="3">
        <v>205</v>
      </c>
      <c r="D6394" s="3">
        <v>15</v>
      </c>
      <c r="E6394" s="3" t="s">
        <v>9</v>
      </c>
      <c r="F6394" s="3">
        <v>0</v>
      </c>
      <c r="G6394" s="4"/>
      <c r="H6394" s="3">
        <v>0</v>
      </c>
    </row>
    <row r="6395" ht="14.25" spans="1:8">
      <c r="A6395" s="3" t="str">
        <f>"30712520516"</f>
        <v>30712520516</v>
      </c>
      <c r="B6395" s="3">
        <v>5</v>
      </c>
      <c r="C6395" s="3">
        <v>205</v>
      </c>
      <c r="D6395" s="3">
        <v>16</v>
      </c>
      <c r="E6395" s="3" t="s">
        <v>9</v>
      </c>
      <c r="F6395" s="4">
        <v>79</v>
      </c>
      <c r="G6395" s="4"/>
      <c r="H6395" s="4">
        <f t="shared" ref="H6395:H6399" si="652">F6395+G6395</f>
        <v>79</v>
      </c>
    </row>
    <row r="6396" ht="14.25" spans="1:8">
      <c r="A6396" s="3" t="str">
        <f>"30712520517"</f>
        <v>30712520517</v>
      </c>
      <c r="B6396" s="3">
        <v>5</v>
      </c>
      <c r="C6396" s="3">
        <v>205</v>
      </c>
      <c r="D6396" s="3">
        <v>17</v>
      </c>
      <c r="E6396" s="3" t="s">
        <v>9</v>
      </c>
      <c r="F6396" s="4">
        <v>81</v>
      </c>
      <c r="G6396" s="4"/>
      <c r="H6396" s="4">
        <f t="shared" si="652"/>
        <v>81</v>
      </c>
    </row>
    <row r="6397" ht="14.25" spans="1:8">
      <c r="A6397" s="3" t="str">
        <f>"30712520518"</f>
        <v>30712520518</v>
      </c>
      <c r="B6397" s="3">
        <v>5</v>
      </c>
      <c r="C6397" s="3">
        <v>205</v>
      </c>
      <c r="D6397" s="3">
        <v>18</v>
      </c>
      <c r="E6397" s="3" t="s">
        <v>9</v>
      </c>
      <c r="F6397" s="4">
        <v>72</v>
      </c>
      <c r="G6397" s="4"/>
      <c r="H6397" s="4">
        <f t="shared" si="652"/>
        <v>72</v>
      </c>
    </row>
    <row r="6398" ht="14.25" spans="1:8">
      <c r="A6398" s="3" t="str">
        <f>"30712520519"</f>
        <v>30712520519</v>
      </c>
      <c r="B6398" s="3">
        <v>5</v>
      </c>
      <c r="C6398" s="3">
        <v>205</v>
      </c>
      <c r="D6398" s="3">
        <v>19</v>
      </c>
      <c r="E6398" s="3" t="s">
        <v>9</v>
      </c>
      <c r="F6398" s="4">
        <v>55</v>
      </c>
      <c r="G6398" s="4"/>
      <c r="H6398" s="4">
        <f t="shared" si="652"/>
        <v>55</v>
      </c>
    </row>
    <row r="6399" ht="14.25" spans="1:8">
      <c r="A6399" s="3" t="str">
        <f>"30712520520"</f>
        <v>30712520520</v>
      </c>
      <c r="B6399" s="3">
        <v>5</v>
      </c>
      <c r="C6399" s="3">
        <v>205</v>
      </c>
      <c r="D6399" s="3">
        <v>20</v>
      </c>
      <c r="E6399" s="3" t="s">
        <v>9</v>
      </c>
      <c r="F6399" s="4">
        <v>68.5</v>
      </c>
      <c r="G6399" s="4"/>
      <c r="H6399" s="4">
        <f t="shared" si="652"/>
        <v>68.5</v>
      </c>
    </row>
    <row r="6400" ht="14.25" spans="1:8">
      <c r="A6400" s="3" t="str">
        <f>"30712520521"</f>
        <v>30712520521</v>
      </c>
      <c r="B6400" s="3">
        <v>5</v>
      </c>
      <c r="C6400" s="3">
        <v>205</v>
      </c>
      <c r="D6400" s="3">
        <v>21</v>
      </c>
      <c r="E6400" s="3" t="s">
        <v>9</v>
      </c>
      <c r="F6400" s="3">
        <v>0</v>
      </c>
      <c r="G6400" s="4"/>
      <c r="H6400" s="3">
        <v>0</v>
      </c>
    </row>
    <row r="6401" ht="14.25" spans="1:8">
      <c r="A6401" s="3" t="str">
        <f>"30712520522"</f>
        <v>30712520522</v>
      </c>
      <c r="B6401" s="3">
        <v>5</v>
      </c>
      <c r="C6401" s="3">
        <v>205</v>
      </c>
      <c r="D6401" s="3">
        <v>22</v>
      </c>
      <c r="E6401" s="3" t="s">
        <v>9</v>
      </c>
      <c r="F6401" s="4">
        <v>85.5</v>
      </c>
      <c r="G6401" s="4"/>
      <c r="H6401" s="4">
        <f t="shared" ref="H6401:H6406" si="653">F6401+G6401</f>
        <v>85.5</v>
      </c>
    </row>
    <row r="6402" ht="14.25" spans="1:8">
      <c r="A6402" s="3" t="str">
        <f>"30712520523"</f>
        <v>30712520523</v>
      </c>
      <c r="B6402" s="3">
        <v>5</v>
      </c>
      <c r="C6402" s="3">
        <v>205</v>
      </c>
      <c r="D6402" s="3">
        <v>23</v>
      </c>
      <c r="E6402" s="3" t="s">
        <v>9</v>
      </c>
      <c r="F6402" s="4">
        <v>67.5</v>
      </c>
      <c r="G6402" s="4"/>
      <c r="H6402" s="4">
        <f t="shared" si="653"/>
        <v>67.5</v>
      </c>
    </row>
    <row r="6403" ht="14.25" spans="1:8">
      <c r="A6403" s="3" t="str">
        <f>"30712520524"</f>
        <v>30712520524</v>
      </c>
      <c r="B6403" s="3">
        <v>5</v>
      </c>
      <c r="C6403" s="3">
        <v>205</v>
      </c>
      <c r="D6403" s="3">
        <v>24</v>
      </c>
      <c r="E6403" s="3" t="s">
        <v>9</v>
      </c>
      <c r="F6403" s="4">
        <v>63.5</v>
      </c>
      <c r="G6403" s="4"/>
      <c r="H6403" s="4">
        <f t="shared" si="653"/>
        <v>63.5</v>
      </c>
    </row>
    <row r="6404" ht="14.25" spans="1:8">
      <c r="A6404" s="3" t="str">
        <f>"30712520525"</f>
        <v>30712520525</v>
      </c>
      <c r="B6404" s="3">
        <v>5</v>
      </c>
      <c r="C6404" s="3">
        <v>205</v>
      </c>
      <c r="D6404" s="3">
        <v>25</v>
      </c>
      <c r="E6404" s="3" t="s">
        <v>9</v>
      </c>
      <c r="F6404" s="4">
        <v>75.5</v>
      </c>
      <c r="G6404" s="4"/>
      <c r="H6404" s="4">
        <f t="shared" si="653"/>
        <v>75.5</v>
      </c>
    </row>
    <row r="6405" ht="14.25" spans="1:8">
      <c r="A6405" s="3" t="str">
        <f>"30712520526"</f>
        <v>30712520526</v>
      </c>
      <c r="B6405" s="3">
        <v>5</v>
      </c>
      <c r="C6405" s="3">
        <v>205</v>
      </c>
      <c r="D6405" s="3">
        <v>26</v>
      </c>
      <c r="E6405" s="3" t="s">
        <v>9</v>
      </c>
      <c r="F6405" s="4">
        <v>66</v>
      </c>
      <c r="G6405" s="4"/>
      <c r="H6405" s="4">
        <f t="shared" si="653"/>
        <v>66</v>
      </c>
    </row>
    <row r="6406" ht="14.25" spans="1:8">
      <c r="A6406" s="3" t="str">
        <f>"30712520527"</f>
        <v>30712520527</v>
      </c>
      <c r="B6406" s="3">
        <v>5</v>
      </c>
      <c r="C6406" s="3">
        <v>205</v>
      </c>
      <c r="D6406" s="3">
        <v>27</v>
      </c>
      <c r="E6406" s="3" t="s">
        <v>9</v>
      </c>
      <c r="F6406" s="4">
        <v>41.5</v>
      </c>
      <c r="G6406" s="4"/>
      <c r="H6406" s="4">
        <f t="shared" si="653"/>
        <v>41.5</v>
      </c>
    </row>
    <row r="6407" ht="14.25" spans="1:8">
      <c r="A6407" s="3" t="str">
        <f>"30712520528"</f>
        <v>30712520528</v>
      </c>
      <c r="B6407" s="3">
        <v>5</v>
      </c>
      <c r="C6407" s="3">
        <v>205</v>
      </c>
      <c r="D6407" s="3">
        <v>28</v>
      </c>
      <c r="E6407" s="3" t="s">
        <v>9</v>
      </c>
      <c r="F6407" s="3">
        <v>0</v>
      </c>
      <c r="G6407" s="4"/>
      <c r="H6407" s="3">
        <v>0</v>
      </c>
    </row>
    <row r="6408" ht="14.25" spans="1:8">
      <c r="A6408" s="3" t="str">
        <f>"30712520529"</f>
        <v>30712520529</v>
      </c>
      <c r="B6408" s="3">
        <v>5</v>
      </c>
      <c r="C6408" s="3">
        <v>205</v>
      </c>
      <c r="D6408" s="3">
        <v>29</v>
      </c>
      <c r="E6408" s="3" t="s">
        <v>9</v>
      </c>
      <c r="F6408" s="4">
        <v>55.5</v>
      </c>
      <c r="G6408" s="4"/>
      <c r="H6408" s="4">
        <f t="shared" ref="H6408:H6417" si="654">F6408+G6408</f>
        <v>55.5</v>
      </c>
    </row>
    <row r="6409" ht="14.25" spans="1:8">
      <c r="A6409" s="3" t="str">
        <f>"30713520530"</f>
        <v>30713520530</v>
      </c>
      <c r="B6409" s="3">
        <v>5</v>
      </c>
      <c r="C6409" s="3">
        <v>205</v>
      </c>
      <c r="D6409" s="3">
        <v>30</v>
      </c>
      <c r="E6409" s="3" t="s">
        <v>9</v>
      </c>
      <c r="F6409" s="4">
        <v>74</v>
      </c>
      <c r="G6409" s="4"/>
      <c r="H6409" s="4">
        <f t="shared" si="654"/>
        <v>74</v>
      </c>
    </row>
    <row r="6410" ht="14.25" spans="1:8">
      <c r="A6410" s="3" t="str">
        <f>"30713520601"</f>
        <v>30713520601</v>
      </c>
      <c r="B6410" s="3">
        <v>5</v>
      </c>
      <c r="C6410" s="3">
        <v>206</v>
      </c>
      <c r="D6410" s="3">
        <v>1</v>
      </c>
      <c r="E6410" s="3" t="s">
        <v>9</v>
      </c>
      <c r="F6410" s="4">
        <v>53.5</v>
      </c>
      <c r="G6410" s="4"/>
      <c r="H6410" s="4">
        <f t="shared" si="654"/>
        <v>53.5</v>
      </c>
    </row>
    <row r="6411" ht="14.25" spans="1:8">
      <c r="A6411" s="3" t="str">
        <f>"30713520602"</f>
        <v>30713520602</v>
      </c>
      <c r="B6411" s="3">
        <v>5</v>
      </c>
      <c r="C6411" s="3">
        <v>206</v>
      </c>
      <c r="D6411" s="3">
        <v>2</v>
      </c>
      <c r="E6411" s="3" t="s">
        <v>9</v>
      </c>
      <c r="F6411" s="4">
        <v>43</v>
      </c>
      <c r="G6411" s="4"/>
      <c r="H6411" s="4">
        <f t="shared" si="654"/>
        <v>43</v>
      </c>
    </row>
    <row r="6412" ht="14.25" spans="1:8">
      <c r="A6412" s="3" t="str">
        <f>"30713520603"</f>
        <v>30713520603</v>
      </c>
      <c r="B6412" s="3">
        <v>5</v>
      </c>
      <c r="C6412" s="3">
        <v>206</v>
      </c>
      <c r="D6412" s="3">
        <v>3</v>
      </c>
      <c r="E6412" s="3" t="s">
        <v>9</v>
      </c>
      <c r="F6412" s="4">
        <v>68</v>
      </c>
      <c r="G6412" s="4"/>
      <c r="H6412" s="4">
        <f t="shared" si="654"/>
        <v>68</v>
      </c>
    </row>
    <row r="6413" ht="14.25" spans="1:8">
      <c r="A6413" s="3" t="str">
        <f>"30713520604"</f>
        <v>30713520604</v>
      </c>
      <c r="B6413" s="3">
        <v>5</v>
      </c>
      <c r="C6413" s="3">
        <v>206</v>
      </c>
      <c r="D6413" s="3">
        <v>4</v>
      </c>
      <c r="E6413" s="3" t="s">
        <v>9</v>
      </c>
      <c r="F6413" s="4">
        <v>84</v>
      </c>
      <c r="G6413" s="4"/>
      <c r="H6413" s="4">
        <f t="shared" si="654"/>
        <v>84</v>
      </c>
    </row>
    <row r="6414" ht="14.25" spans="1:8">
      <c r="A6414" s="3" t="str">
        <f>"30713520605"</f>
        <v>30713520605</v>
      </c>
      <c r="B6414" s="3">
        <v>5</v>
      </c>
      <c r="C6414" s="3">
        <v>206</v>
      </c>
      <c r="D6414" s="3">
        <v>5</v>
      </c>
      <c r="E6414" s="3" t="s">
        <v>9</v>
      </c>
      <c r="F6414" s="4">
        <v>74</v>
      </c>
      <c r="G6414" s="4"/>
      <c r="H6414" s="4">
        <f t="shared" si="654"/>
        <v>74</v>
      </c>
    </row>
    <row r="6415" ht="14.25" spans="1:8">
      <c r="A6415" s="3" t="str">
        <f>"30801520606"</f>
        <v>30801520606</v>
      </c>
      <c r="B6415" s="3">
        <v>5</v>
      </c>
      <c r="C6415" s="3">
        <v>206</v>
      </c>
      <c r="D6415" s="3">
        <v>6</v>
      </c>
      <c r="E6415" s="3" t="s">
        <v>9</v>
      </c>
      <c r="F6415" s="4">
        <v>72.5</v>
      </c>
      <c r="G6415" s="4"/>
      <c r="H6415" s="4">
        <f t="shared" si="654"/>
        <v>72.5</v>
      </c>
    </row>
    <row r="6416" ht="14.25" spans="1:8">
      <c r="A6416" s="3" t="str">
        <f>"30801520607"</f>
        <v>30801520607</v>
      </c>
      <c r="B6416" s="3">
        <v>5</v>
      </c>
      <c r="C6416" s="3">
        <v>206</v>
      </c>
      <c r="D6416" s="3">
        <v>7</v>
      </c>
      <c r="E6416" s="3" t="s">
        <v>9</v>
      </c>
      <c r="F6416" s="4">
        <v>65</v>
      </c>
      <c r="G6416" s="4"/>
      <c r="H6416" s="4">
        <f t="shared" si="654"/>
        <v>65</v>
      </c>
    </row>
    <row r="6417" ht="14.25" spans="1:8">
      <c r="A6417" s="3" t="str">
        <f>"30801520608"</f>
        <v>30801520608</v>
      </c>
      <c r="B6417" s="3">
        <v>5</v>
      </c>
      <c r="C6417" s="3">
        <v>206</v>
      </c>
      <c r="D6417" s="3">
        <v>8</v>
      </c>
      <c r="E6417" s="3" t="s">
        <v>9</v>
      </c>
      <c r="F6417" s="4">
        <v>73</v>
      </c>
      <c r="G6417" s="4"/>
      <c r="H6417" s="4">
        <f t="shared" si="654"/>
        <v>73</v>
      </c>
    </row>
    <row r="6418" ht="14.25" spans="1:8">
      <c r="A6418" s="3" t="str">
        <f>"30801520609"</f>
        <v>30801520609</v>
      </c>
      <c r="B6418" s="3">
        <v>5</v>
      </c>
      <c r="C6418" s="3">
        <v>206</v>
      </c>
      <c r="D6418" s="3">
        <v>9</v>
      </c>
      <c r="E6418" s="3" t="s">
        <v>9</v>
      </c>
      <c r="F6418" s="3">
        <v>0</v>
      </c>
      <c r="G6418" s="4"/>
      <c r="H6418" s="3">
        <v>0</v>
      </c>
    </row>
    <row r="6419" ht="14.25" spans="1:8">
      <c r="A6419" s="3" t="str">
        <f>"30801520610"</f>
        <v>30801520610</v>
      </c>
      <c r="B6419" s="3">
        <v>5</v>
      </c>
      <c r="C6419" s="3">
        <v>206</v>
      </c>
      <c r="D6419" s="3">
        <v>10</v>
      </c>
      <c r="E6419" s="3" t="s">
        <v>9</v>
      </c>
      <c r="F6419" s="4">
        <v>77.5</v>
      </c>
      <c r="G6419" s="4"/>
      <c r="H6419" s="4">
        <f t="shared" ref="H6419:H6438" si="655">F6419+G6419</f>
        <v>77.5</v>
      </c>
    </row>
    <row r="6420" ht="14.25" spans="1:8">
      <c r="A6420" s="3" t="str">
        <f>"30801520611"</f>
        <v>30801520611</v>
      </c>
      <c r="B6420" s="3">
        <v>5</v>
      </c>
      <c r="C6420" s="3">
        <v>206</v>
      </c>
      <c r="D6420" s="3">
        <v>11</v>
      </c>
      <c r="E6420" s="3" t="s">
        <v>9</v>
      </c>
      <c r="F6420" s="4">
        <v>66</v>
      </c>
      <c r="G6420" s="4"/>
      <c r="H6420" s="4">
        <f t="shared" si="655"/>
        <v>66</v>
      </c>
    </row>
    <row r="6421" ht="14.25" spans="1:8">
      <c r="A6421" s="3" t="str">
        <f>"30801520612"</f>
        <v>30801520612</v>
      </c>
      <c r="B6421" s="3">
        <v>5</v>
      </c>
      <c r="C6421" s="3">
        <v>206</v>
      </c>
      <c r="D6421" s="3">
        <v>12</v>
      </c>
      <c r="E6421" s="3" t="s">
        <v>9</v>
      </c>
      <c r="F6421" s="3">
        <v>0</v>
      </c>
      <c r="G6421" s="4"/>
      <c r="H6421" s="3">
        <v>0</v>
      </c>
    </row>
    <row r="6422" ht="14.25" spans="1:8">
      <c r="A6422" s="3" t="str">
        <f>"30801520613"</f>
        <v>30801520613</v>
      </c>
      <c r="B6422" s="3">
        <v>5</v>
      </c>
      <c r="C6422" s="3">
        <v>206</v>
      </c>
      <c r="D6422" s="3">
        <v>13</v>
      </c>
      <c r="E6422" s="3" t="s">
        <v>9</v>
      </c>
      <c r="F6422" s="4">
        <v>89.5</v>
      </c>
      <c r="G6422" s="4"/>
      <c r="H6422" s="4">
        <f t="shared" si="655"/>
        <v>89.5</v>
      </c>
    </row>
    <row r="6423" ht="14.25" spans="1:8">
      <c r="A6423" s="3" t="str">
        <f>"30801520614"</f>
        <v>30801520614</v>
      </c>
      <c r="B6423" s="3">
        <v>5</v>
      </c>
      <c r="C6423" s="3">
        <v>206</v>
      </c>
      <c r="D6423" s="3">
        <v>14</v>
      </c>
      <c r="E6423" s="3" t="s">
        <v>9</v>
      </c>
      <c r="F6423" s="4">
        <v>76.5</v>
      </c>
      <c r="G6423" s="4"/>
      <c r="H6423" s="4">
        <f t="shared" si="655"/>
        <v>76.5</v>
      </c>
    </row>
    <row r="6424" ht="14.25" spans="1:8">
      <c r="A6424" s="3" t="str">
        <f>"30801520615"</f>
        <v>30801520615</v>
      </c>
      <c r="B6424" s="3">
        <v>5</v>
      </c>
      <c r="C6424" s="3">
        <v>206</v>
      </c>
      <c r="D6424" s="3">
        <v>15</v>
      </c>
      <c r="E6424" s="3" t="s">
        <v>9</v>
      </c>
      <c r="F6424" s="4">
        <v>88</v>
      </c>
      <c r="G6424" s="4"/>
      <c r="H6424" s="4">
        <f t="shared" si="655"/>
        <v>88</v>
      </c>
    </row>
    <row r="6425" ht="14.25" spans="1:8">
      <c r="A6425" s="3" t="str">
        <f>"30801520616"</f>
        <v>30801520616</v>
      </c>
      <c r="B6425" s="3">
        <v>5</v>
      </c>
      <c r="C6425" s="3">
        <v>206</v>
      </c>
      <c r="D6425" s="3">
        <v>16</v>
      </c>
      <c r="E6425" s="3" t="s">
        <v>9</v>
      </c>
      <c r="F6425" s="4">
        <v>76</v>
      </c>
      <c r="G6425" s="4"/>
      <c r="H6425" s="4">
        <f t="shared" si="655"/>
        <v>76</v>
      </c>
    </row>
    <row r="6426" ht="14.25" spans="1:8">
      <c r="A6426" s="3" t="str">
        <f>"30801520617"</f>
        <v>30801520617</v>
      </c>
      <c r="B6426" s="3">
        <v>5</v>
      </c>
      <c r="C6426" s="3">
        <v>206</v>
      </c>
      <c r="D6426" s="3">
        <v>17</v>
      </c>
      <c r="E6426" s="3" t="s">
        <v>9</v>
      </c>
      <c r="F6426" s="4">
        <v>80</v>
      </c>
      <c r="G6426" s="4"/>
      <c r="H6426" s="4">
        <f t="shared" si="655"/>
        <v>80</v>
      </c>
    </row>
    <row r="6427" ht="14.25" spans="1:8">
      <c r="A6427" s="3" t="str">
        <f>"30801520618"</f>
        <v>30801520618</v>
      </c>
      <c r="B6427" s="3">
        <v>5</v>
      </c>
      <c r="C6427" s="3">
        <v>206</v>
      </c>
      <c r="D6427" s="3">
        <v>18</v>
      </c>
      <c r="E6427" s="3" t="s">
        <v>9</v>
      </c>
      <c r="F6427" s="4">
        <v>70</v>
      </c>
      <c r="G6427" s="4"/>
      <c r="H6427" s="4">
        <f t="shared" si="655"/>
        <v>70</v>
      </c>
    </row>
    <row r="6428" ht="14.25" spans="1:8">
      <c r="A6428" s="3" t="str">
        <f>"30801520619"</f>
        <v>30801520619</v>
      </c>
      <c r="B6428" s="3">
        <v>5</v>
      </c>
      <c r="C6428" s="3">
        <v>206</v>
      </c>
      <c r="D6428" s="3">
        <v>19</v>
      </c>
      <c r="E6428" s="3" t="s">
        <v>9</v>
      </c>
      <c r="F6428" s="4">
        <v>76.5</v>
      </c>
      <c r="G6428" s="4"/>
      <c r="H6428" s="4">
        <f t="shared" si="655"/>
        <v>76.5</v>
      </c>
    </row>
    <row r="6429" ht="14.25" spans="1:8">
      <c r="A6429" s="3" t="str">
        <f>"30801520620"</f>
        <v>30801520620</v>
      </c>
      <c r="B6429" s="3">
        <v>5</v>
      </c>
      <c r="C6429" s="3">
        <v>206</v>
      </c>
      <c r="D6429" s="3">
        <v>20</v>
      </c>
      <c r="E6429" s="3" t="s">
        <v>9</v>
      </c>
      <c r="F6429" s="4">
        <v>80.5</v>
      </c>
      <c r="G6429" s="4"/>
      <c r="H6429" s="4">
        <f t="shared" si="655"/>
        <v>80.5</v>
      </c>
    </row>
    <row r="6430" ht="14.25" spans="1:8">
      <c r="A6430" s="3" t="str">
        <f>"30801520621"</f>
        <v>30801520621</v>
      </c>
      <c r="B6430" s="3">
        <v>5</v>
      </c>
      <c r="C6430" s="3">
        <v>206</v>
      </c>
      <c r="D6430" s="3">
        <v>21</v>
      </c>
      <c r="E6430" s="3" t="s">
        <v>9</v>
      </c>
      <c r="F6430" s="4">
        <v>73.5</v>
      </c>
      <c r="G6430" s="4"/>
      <c r="H6430" s="4">
        <f t="shared" si="655"/>
        <v>73.5</v>
      </c>
    </row>
    <row r="6431" ht="14.25" spans="1:8">
      <c r="A6431" s="3" t="str">
        <f>"30801520622"</f>
        <v>30801520622</v>
      </c>
      <c r="B6431" s="3">
        <v>5</v>
      </c>
      <c r="C6431" s="3">
        <v>206</v>
      </c>
      <c r="D6431" s="3">
        <v>22</v>
      </c>
      <c r="E6431" s="3" t="s">
        <v>9</v>
      </c>
      <c r="F6431" s="4">
        <v>83.5</v>
      </c>
      <c r="G6431" s="4"/>
      <c r="H6431" s="4">
        <f t="shared" si="655"/>
        <v>83.5</v>
      </c>
    </row>
    <row r="6432" ht="14.25" spans="1:8">
      <c r="A6432" s="3" t="str">
        <f>"30801520623"</f>
        <v>30801520623</v>
      </c>
      <c r="B6432" s="3">
        <v>5</v>
      </c>
      <c r="C6432" s="3">
        <v>206</v>
      </c>
      <c r="D6432" s="3">
        <v>23</v>
      </c>
      <c r="E6432" s="3" t="s">
        <v>9</v>
      </c>
      <c r="F6432" s="4">
        <v>74.5</v>
      </c>
      <c r="G6432" s="4"/>
      <c r="H6432" s="4">
        <f t="shared" si="655"/>
        <v>74.5</v>
      </c>
    </row>
    <row r="6433" ht="14.25" spans="1:8">
      <c r="A6433" s="3" t="str">
        <f>"30801520624"</f>
        <v>30801520624</v>
      </c>
      <c r="B6433" s="3">
        <v>5</v>
      </c>
      <c r="C6433" s="3">
        <v>206</v>
      </c>
      <c r="D6433" s="3">
        <v>24</v>
      </c>
      <c r="E6433" s="3" t="s">
        <v>9</v>
      </c>
      <c r="F6433" s="4">
        <v>82.5</v>
      </c>
      <c r="G6433" s="4"/>
      <c r="H6433" s="4">
        <f t="shared" si="655"/>
        <v>82.5</v>
      </c>
    </row>
    <row r="6434" ht="14.25" spans="1:8">
      <c r="A6434" s="3" t="str">
        <f>"30802520625"</f>
        <v>30802520625</v>
      </c>
      <c r="B6434" s="3">
        <v>5</v>
      </c>
      <c r="C6434" s="3">
        <v>206</v>
      </c>
      <c r="D6434" s="3">
        <v>25</v>
      </c>
      <c r="E6434" s="3" t="s">
        <v>9</v>
      </c>
      <c r="F6434" s="4">
        <v>84.5</v>
      </c>
      <c r="G6434" s="4"/>
      <c r="H6434" s="4">
        <f t="shared" si="655"/>
        <v>84.5</v>
      </c>
    </row>
    <row r="6435" ht="14.25" spans="1:8">
      <c r="A6435" s="3" t="str">
        <f>"30802520626"</f>
        <v>30802520626</v>
      </c>
      <c r="B6435" s="3">
        <v>5</v>
      </c>
      <c r="C6435" s="3">
        <v>206</v>
      </c>
      <c r="D6435" s="3">
        <v>26</v>
      </c>
      <c r="E6435" s="3" t="s">
        <v>9</v>
      </c>
      <c r="F6435" s="4">
        <v>51</v>
      </c>
      <c r="G6435" s="4"/>
      <c r="H6435" s="4">
        <f t="shared" si="655"/>
        <v>51</v>
      </c>
    </row>
    <row r="6436" ht="14.25" spans="1:8">
      <c r="A6436" s="3" t="str">
        <f>"30802520627"</f>
        <v>30802520627</v>
      </c>
      <c r="B6436" s="3">
        <v>5</v>
      </c>
      <c r="C6436" s="3">
        <v>206</v>
      </c>
      <c r="D6436" s="3">
        <v>27</v>
      </c>
      <c r="E6436" s="3" t="s">
        <v>9</v>
      </c>
      <c r="F6436" s="4">
        <v>76</v>
      </c>
      <c r="G6436" s="4"/>
      <c r="H6436" s="4">
        <f t="shared" si="655"/>
        <v>76</v>
      </c>
    </row>
    <row r="6437" ht="14.25" spans="1:8">
      <c r="A6437" s="3" t="str">
        <f>"30802520628"</f>
        <v>30802520628</v>
      </c>
      <c r="B6437" s="3">
        <v>5</v>
      </c>
      <c r="C6437" s="3">
        <v>206</v>
      </c>
      <c r="D6437" s="3">
        <v>28</v>
      </c>
      <c r="E6437" s="3" t="s">
        <v>9</v>
      </c>
      <c r="F6437" s="4">
        <v>73</v>
      </c>
      <c r="G6437" s="4"/>
      <c r="H6437" s="4">
        <f t="shared" si="655"/>
        <v>73</v>
      </c>
    </row>
    <row r="6438" ht="14.25" spans="1:8">
      <c r="A6438" s="3" t="str">
        <f>"30802520629"</f>
        <v>30802520629</v>
      </c>
      <c r="B6438" s="3">
        <v>5</v>
      </c>
      <c r="C6438" s="3">
        <v>206</v>
      </c>
      <c r="D6438" s="3">
        <v>29</v>
      </c>
      <c r="E6438" s="3" t="s">
        <v>9</v>
      </c>
      <c r="F6438" s="4">
        <v>65.5</v>
      </c>
      <c r="G6438" s="4"/>
      <c r="H6438" s="4">
        <f t="shared" si="655"/>
        <v>65.5</v>
      </c>
    </row>
    <row r="6439" ht="14.25" spans="1:8">
      <c r="A6439" s="3" t="str">
        <f>"30802520630"</f>
        <v>30802520630</v>
      </c>
      <c r="B6439" s="3">
        <v>5</v>
      </c>
      <c r="C6439" s="3">
        <v>206</v>
      </c>
      <c r="D6439" s="3">
        <v>30</v>
      </c>
      <c r="E6439" s="3" t="s">
        <v>9</v>
      </c>
      <c r="F6439" s="3">
        <v>0</v>
      </c>
      <c r="G6439" s="4"/>
      <c r="H6439" s="3">
        <v>0</v>
      </c>
    </row>
    <row r="6440" ht="14.25" spans="1:8">
      <c r="A6440" s="3" t="str">
        <f>"30802520701"</f>
        <v>30802520701</v>
      </c>
      <c r="B6440" s="3">
        <v>5</v>
      </c>
      <c r="C6440" s="3">
        <v>207</v>
      </c>
      <c r="D6440" s="3">
        <v>1</v>
      </c>
      <c r="E6440" s="3" t="s">
        <v>9</v>
      </c>
      <c r="F6440" s="4">
        <v>86.5</v>
      </c>
      <c r="G6440" s="4"/>
      <c r="H6440" s="4">
        <f t="shared" ref="H6440:H6447" si="656">F6440+G6440</f>
        <v>86.5</v>
      </c>
    </row>
    <row r="6441" ht="14.25" spans="1:8">
      <c r="A6441" s="3" t="str">
        <f>"30802520702"</f>
        <v>30802520702</v>
      </c>
      <c r="B6441" s="3">
        <v>5</v>
      </c>
      <c r="C6441" s="3">
        <v>207</v>
      </c>
      <c r="D6441" s="3">
        <v>2</v>
      </c>
      <c r="E6441" s="3" t="s">
        <v>9</v>
      </c>
      <c r="F6441" s="3">
        <v>0</v>
      </c>
      <c r="G6441" s="4"/>
      <c r="H6441" s="3">
        <v>0</v>
      </c>
    </row>
    <row r="6442" ht="14.25" spans="1:8">
      <c r="A6442" s="3" t="str">
        <f>"30802520703"</f>
        <v>30802520703</v>
      </c>
      <c r="B6442" s="3">
        <v>5</v>
      </c>
      <c r="C6442" s="3">
        <v>207</v>
      </c>
      <c r="D6442" s="3">
        <v>3</v>
      </c>
      <c r="E6442" s="3" t="s">
        <v>9</v>
      </c>
      <c r="F6442" s="4">
        <v>77.5</v>
      </c>
      <c r="G6442" s="4"/>
      <c r="H6442" s="4">
        <f t="shared" si="656"/>
        <v>77.5</v>
      </c>
    </row>
    <row r="6443" ht="14.25" spans="1:8">
      <c r="A6443" s="3" t="str">
        <f>"30802520704"</f>
        <v>30802520704</v>
      </c>
      <c r="B6443" s="3">
        <v>5</v>
      </c>
      <c r="C6443" s="3">
        <v>207</v>
      </c>
      <c r="D6443" s="3">
        <v>4</v>
      </c>
      <c r="E6443" s="3" t="s">
        <v>9</v>
      </c>
      <c r="F6443" s="4">
        <v>76</v>
      </c>
      <c r="G6443" s="4"/>
      <c r="H6443" s="4">
        <f t="shared" si="656"/>
        <v>76</v>
      </c>
    </row>
    <row r="6444" ht="14.25" spans="1:8">
      <c r="A6444" s="3" t="str">
        <f>"30802520705"</f>
        <v>30802520705</v>
      </c>
      <c r="B6444" s="3">
        <v>5</v>
      </c>
      <c r="C6444" s="3">
        <v>207</v>
      </c>
      <c r="D6444" s="3">
        <v>5</v>
      </c>
      <c r="E6444" s="3" t="s">
        <v>9</v>
      </c>
      <c r="F6444" s="4">
        <v>61.5</v>
      </c>
      <c r="G6444" s="4"/>
      <c r="H6444" s="4">
        <f t="shared" si="656"/>
        <v>61.5</v>
      </c>
    </row>
    <row r="6445" ht="14.25" spans="1:8">
      <c r="A6445" s="3" t="str">
        <f>"30802520706"</f>
        <v>30802520706</v>
      </c>
      <c r="B6445" s="3">
        <v>5</v>
      </c>
      <c r="C6445" s="3">
        <v>207</v>
      </c>
      <c r="D6445" s="3">
        <v>6</v>
      </c>
      <c r="E6445" s="3" t="s">
        <v>9</v>
      </c>
      <c r="F6445" s="4">
        <v>66.5</v>
      </c>
      <c r="G6445" s="4"/>
      <c r="H6445" s="4">
        <f t="shared" si="656"/>
        <v>66.5</v>
      </c>
    </row>
    <row r="6446" ht="14.25" spans="1:8">
      <c r="A6446" s="3" t="str">
        <f>"30802520707"</f>
        <v>30802520707</v>
      </c>
      <c r="B6446" s="3">
        <v>5</v>
      </c>
      <c r="C6446" s="3">
        <v>207</v>
      </c>
      <c r="D6446" s="3">
        <v>7</v>
      </c>
      <c r="E6446" s="3" t="s">
        <v>9</v>
      </c>
      <c r="F6446" s="4">
        <v>83</v>
      </c>
      <c r="G6446" s="4"/>
      <c r="H6446" s="4">
        <f t="shared" si="656"/>
        <v>83</v>
      </c>
    </row>
    <row r="6447" ht="14.25" spans="1:8">
      <c r="A6447" s="3" t="str">
        <f>"30802520708"</f>
        <v>30802520708</v>
      </c>
      <c r="B6447" s="3">
        <v>5</v>
      </c>
      <c r="C6447" s="3">
        <v>207</v>
      </c>
      <c r="D6447" s="3">
        <v>8</v>
      </c>
      <c r="E6447" s="3" t="s">
        <v>9</v>
      </c>
      <c r="F6447" s="4">
        <v>78</v>
      </c>
      <c r="G6447" s="4"/>
      <c r="H6447" s="4">
        <f t="shared" si="656"/>
        <v>78</v>
      </c>
    </row>
    <row r="6448" ht="14.25" spans="1:8">
      <c r="A6448" s="3" t="str">
        <f>"30802520709"</f>
        <v>30802520709</v>
      </c>
      <c r="B6448" s="3">
        <v>5</v>
      </c>
      <c r="C6448" s="3">
        <v>207</v>
      </c>
      <c r="D6448" s="3">
        <v>9</v>
      </c>
      <c r="E6448" s="3" t="s">
        <v>9</v>
      </c>
      <c r="F6448" s="3">
        <v>0</v>
      </c>
      <c r="G6448" s="4"/>
      <c r="H6448" s="3">
        <v>0</v>
      </c>
    </row>
    <row r="6449" ht="14.25" spans="1:8">
      <c r="A6449" s="3" t="str">
        <f>"30802520710"</f>
        <v>30802520710</v>
      </c>
      <c r="B6449" s="3">
        <v>5</v>
      </c>
      <c r="C6449" s="3">
        <v>207</v>
      </c>
      <c r="D6449" s="3">
        <v>10</v>
      </c>
      <c r="E6449" s="3" t="s">
        <v>9</v>
      </c>
      <c r="F6449" s="3">
        <v>0</v>
      </c>
      <c r="G6449" s="4"/>
      <c r="H6449" s="3">
        <v>0</v>
      </c>
    </row>
    <row r="6450" ht="14.25" spans="1:8">
      <c r="A6450" s="3" t="str">
        <f>"30802520711"</f>
        <v>30802520711</v>
      </c>
      <c r="B6450" s="3">
        <v>5</v>
      </c>
      <c r="C6450" s="3">
        <v>207</v>
      </c>
      <c r="D6450" s="3">
        <v>11</v>
      </c>
      <c r="E6450" s="3" t="s">
        <v>9</v>
      </c>
      <c r="F6450" s="4">
        <v>84.5</v>
      </c>
      <c r="G6450" s="4"/>
      <c r="H6450" s="4">
        <f t="shared" ref="H6450:H6459" si="657">F6450+G6450</f>
        <v>84.5</v>
      </c>
    </row>
    <row r="6451" ht="14.25" spans="1:8">
      <c r="A6451" s="3" t="str">
        <f>"30802520712"</f>
        <v>30802520712</v>
      </c>
      <c r="B6451" s="3">
        <v>5</v>
      </c>
      <c r="C6451" s="3">
        <v>207</v>
      </c>
      <c r="D6451" s="3">
        <v>12</v>
      </c>
      <c r="E6451" s="3" t="s">
        <v>9</v>
      </c>
      <c r="F6451" s="4">
        <v>80.5</v>
      </c>
      <c r="G6451" s="4"/>
      <c r="H6451" s="4">
        <f t="shared" si="657"/>
        <v>80.5</v>
      </c>
    </row>
    <row r="6452" ht="14.25" spans="1:8">
      <c r="A6452" s="3" t="str">
        <f>"30802520713"</f>
        <v>30802520713</v>
      </c>
      <c r="B6452" s="3">
        <v>5</v>
      </c>
      <c r="C6452" s="3">
        <v>207</v>
      </c>
      <c r="D6452" s="3">
        <v>13</v>
      </c>
      <c r="E6452" s="3" t="s">
        <v>9</v>
      </c>
      <c r="F6452" s="4">
        <v>84</v>
      </c>
      <c r="G6452" s="4"/>
      <c r="H6452" s="4">
        <f t="shared" si="657"/>
        <v>84</v>
      </c>
    </row>
    <row r="6453" ht="14.25" spans="1:8">
      <c r="A6453" s="3" t="str">
        <f>"30802520714"</f>
        <v>30802520714</v>
      </c>
      <c r="B6453" s="3">
        <v>5</v>
      </c>
      <c r="C6453" s="3">
        <v>207</v>
      </c>
      <c r="D6453" s="3">
        <v>14</v>
      </c>
      <c r="E6453" s="3" t="s">
        <v>9</v>
      </c>
      <c r="F6453" s="4">
        <v>79</v>
      </c>
      <c r="G6453" s="4"/>
      <c r="H6453" s="4">
        <f t="shared" si="657"/>
        <v>79</v>
      </c>
    </row>
    <row r="6454" ht="14.25" spans="1:8">
      <c r="A6454" s="3" t="str">
        <f>"30802520715"</f>
        <v>30802520715</v>
      </c>
      <c r="B6454" s="3">
        <v>5</v>
      </c>
      <c r="C6454" s="3">
        <v>207</v>
      </c>
      <c r="D6454" s="3">
        <v>15</v>
      </c>
      <c r="E6454" s="3" t="s">
        <v>9</v>
      </c>
      <c r="F6454" s="4">
        <v>72.5</v>
      </c>
      <c r="G6454" s="4"/>
      <c r="H6454" s="4">
        <f t="shared" si="657"/>
        <v>72.5</v>
      </c>
    </row>
    <row r="6455" ht="14.25" spans="1:8">
      <c r="A6455" s="3" t="str">
        <f>"30802520716"</f>
        <v>30802520716</v>
      </c>
      <c r="B6455" s="3">
        <v>5</v>
      </c>
      <c r="C6455" s="3">
        <v>207</v>
      </c>
      <c r="D6455" s="3">
        <v>16</v>
      </c>
      <c r="E6455" s="3" t="s">
        <v>9</v>
      </c>
      <c r="F6455" s="4">
        <v>81</v>
      </c>
      <c r="G6455" s="4"/>
      <c r="H6455" s="4">
        <f t="shared" si="657"/>
        <v>81</v>
      </c>
    </row>
    <row r="6456" ht="14.25" spans="1:8">
      <c r="A6456" s="3" t="str">
        <f>"30802520717"</f>
        <v>30802520717</v>
      </c>
      <c r="B6456" s="3">
        <v>5</v>
      </c>
      <c r="C6456" s="3">
        <v>207</v>
      </c>
      <c r="D6456" s="3">
        <v>17</v>
      </c>
      <c r="E6456" s="3" t="s">
        <v>9</v>
      </c>
      <c r="F6456" s="4">
        <v>74.5</v>
      </c>
      <c r="G6456" s="4"/>
      <c r="H6456" s="4">
        <f t="shared" si="657"/>
        <v>74.5</v>
      </c>
    </row>
    <row r="6457" ht="14.25" spans="1:8">
      <c r="A6457" s="3" t="str">
        <f>"30802520718"</f>
        <v>30802520718</v>
      </c>
      <c r="B6457" s="3">
        <v>5</v>
      </c>
      <c r="C6457" s="3">
        <v>207</v>
      </c>
      <c r="D6457" s="3">
        <v>18</v>
      </c>
      <c r="E6457" s="3" t="s">
        <v>9</v>
      </c>
      <c r="F6457" s="4">
        <v>65</v>
      </c>
      <c r="G6457" s="4"/>
      <c r="H6457" s="4">
        <f t="shared" si="657"/>
        <v>65</v>
      </c>
    </row>
    <row r="6458" ht="14.25" spans="1:8">
      <c r="A6458" s="3" t="str">
        <f>"30802520719"</f>
        <v>30802520719</v>
      </c>
      <c r="B6458" s="3">
        <v>5</v>
      </c>
      <c r="C6458" s="3">
        <v>207</v>
      </c>
      <c r="D6458" s="3">
        <v>19</v>
      </c>
      <c r="E6458" s="3" t="s">
        <v>9</v>
      </c>
      <c r="F6458" s="4">
        <v>76.5</v>
      </c>
      <c r="G6458" s="4"/>
      <c r="H6458" s="4">
        <f t="shared" si="657"/>
        <v>76.5</v>
      </c>
    </row>
    <row r="6459" ht="14.25" spans="1:8">
      <c r="A6459" s="3" t="str">
        <f>"30802520720"</f>
        <v>30802520720</v>
      </c>
      <c r="B6459" s="3">
        <v>5</v>
      </c>
      <c r="C6459" s="3">
        <v>207</v>
      </c>
      <c r="D6459" s="3">
        <v>20</v>
      </c>
      <c r="E6459" s="3" t="s">
        <v>9</v>
      </c>
      <c r="F6459" s="4">
        <v>75</v>
      </c>
      <c r="G6459" s="4"/>
      <c r="H6459" s="4">
        <f t="shared" si="657"/>
        <v>75</v>
      </c>
    </row>
    <row r="6460" ht="14.25" spans="1:8">
      <c r="A6460" s="3" t="str">
        <f>"30802520721"</f>
        <v>30802520721</v>
      </c>
      <c r="B6460" s="3">
        <v>5</v>
      </c>
      <c r="C6460" s="3">
        <v>207</v>
      </c>
      <c r="D6460" s="3">
        <v>21</v>
      </c>
      <c r="E6460" s="3" t="s">
        <v>9</v>
      </c>
      <c r="F6460" s="3">
        <v>0</v>
      </c>
      <c r="G6460" s="4"/>
      <c r="H6460" s="3">
        <v>0</v>
      </c>
    </row>
    <row r="6461" ht="14.25" spans="1:8">
      <c r="A6461" s="3" t="str">
        <f>"30803520722"</f>
        <v>30803520722</v>
      </c>
      <c r="B6461" s="3">
        <v>5</v>
      </c>
      <c r="C6461" s="3">
        <v>207</v>
      </c>
      <c r="D6461" s="3">
        <v>22</v>
      </c>
      <c r="E6461" s="3" t="s">
        <v>9</v>
      </c>
      <c r="F6461" s="4">
        <v>68.5</v>
      </c>
      <c r="G6461" s="4"/>
      <c r="H6461" s="4">
        <f t="shared" ref="H6461:H6481" si="658">F6461+G6461</f>
        <v>68.5</v>
      </c>
    </row>
    <row r="6462" ht="14.25" spans="1:8">
      <c r="A6462" s="3" t="str">
        <f>"30803520723"</f>
        <v>30803520723</v>
      </c>
      <c r="B6462" s="3">
        <v>5</v>
      </c>
      <c r="C6462" s="3">
        <v>207</v>
      </c>
      <c r="D6462" s="3">
        <v>23</v>
      </c>
      <c r="E6462" s="3" t="s">
        <v>9</v>
      </c>
      <c r="F6462" s="4">
        <v>67</v>
      </c>
      <c r="G6462" s="4"/>
      <c r="H6462" s="4">
        <f t="shared" si="658"/>
        <v>67</v>
      </c>
    </row>
    <row r="6463" ht="14.25" spans="1:8">
      <c r="A6463" s="3" t="str">
        <f>"30803520724"</f>
        <v>30803520724</v>
      </c>
      <c r="B6463" s="3">
        <v>5</v>
      </c>
      <c r="C6463" s="3">
        <v>207</v>
      </c>
      <c r="D6463" s="3">
        <v>24</v>
      </c>
      <c r="E6463" s="3" t="s">
        <v>9</v>
      </c>
      <c r="F6463" s="4">
        <v>75.5</v>
      </c>
      <c r="G6463" s="4"/>
      <c r="H6463" s="4">
        <f t="shared" si="658"/>
        <v>75.5</v>
      </c>
    </row>
    <row r="6464" ht="14.25" spans="1:8">
      <c r="A6464" s="3" t="str">
        <f>"30803520725"</f>
        <v>30803520725</v>
      </c>
      <c r="B6464" s="3">
        <v>5</v>
      </c>
      <c r="C6464" s="3">
        <v>207</v>
      </c>
      <c r="D6464" s="3">
        <v>25</v>
      </c>
      <c r="E6464" s="3" t="s">
        <v>9</v>
      </c>
      <c r="F6464" s="4">
        <v>76.5</v>
      </c>
      <c r="G6464" s="4"/>
      <c r="H6464" s="4">
        <f t="shared" si="658"/>
        <v>76.5</v>
      </c>
    </row>
    <row r="6465" ht="14.25" spans="1:8">
      <c r="A6465" s="3" t="str">
        <f>"30803520726"</f>
        <v>30803520726</v>
      </c>
      <c r="B6465" s="3">
        <v>5</v>
      </c>
      <c r="C6465" s="3">
        <v>207</v>
      </c>
      <c r="D6465" s="3">
        <v>26</v>
      </c>
      <c r="E6465" s="3" t="s">
        <v>9</v>
      </c>
      <c r="F6465" s="4">
        <v>75</v>
      </c>
      <c r="G6465" s="4"/>
      <c r="H6465" s="4">
        <f t="shared" si="658"/>
        <v>75</v>
      </c>
    </row>
    <row r="6466" ht="14.25" spans="1:8">
      <c r="A6466" s="3" t="str">
        <f>"30803520727"</f>
        <v>30803520727</v>
      </c>
      <c r="B6466" s="3">
        <v>5</v>
      </c>
      <c r="C6466" s="3">
        <v>207</v>
      </c>
      <c r="D6466" s="3">
        <v>27</v>
      </c>
      <c r="E6466" s="3" t="s">
        <v>9</v>
      </c>
      <c r="F6466" s="4">
        <v>69.5</v>
      </c>
      <c r="G6466" s="4"/>
      <c r="H6466" s="4">
        <f t="shared" si="658"/>
        <v>69.5</v>
      </c>
    </row>
    <row r="6467" ht="14.25" spans="1:8">
      <c r="A6467" s="3" t="str">
        <f>"30803520728"</f>
        <v>30803520728</v>
      </c>
      <c r="B6467" s="3">
        <v>5</v>
      </c>
      <c r="C6467" s="3">
        <v>207</v>
      </c>
      <c r="D6467" s="3">
        <v>28</v>
      </c>
      <c r="E6467" s="3" t="s">
        <v>9</v>
      </c>
      <c r="F6467" s="4">
        <v>73.5</v>
      </c>
      <c r="G6467" s="4"/>
      <c r="H6467" s="4">
        <f t="shared" si="658"/>
        <v>73.5</v>
      </c>
    </row>
    <row r="6468" ht="14.25" spans="1:8">
      <c r="A6468" s="3" t="str">
        <f>"30803520729"</f>
        <v>30803520729</v>
      </c>
      <c r="B6468" s="3">
        <v>5</v>
      </c>
      <c r="C6468" s="3">
        <v>207</v>
      </c>
      <c r="D6468" s="3">
        <v>29</v>
      </c>
      <c r="E6468" s="3" t="s">
        <v>9</v>
      </c>
      <c r="F6468" s="4">
        <v>70.5</v>
      </c>
      <c r="G6468" s="4"/>
      <c r="H6468" s="4">
        <f t="shared" si="658"/>
        <v>70.5</v>
      </c>
    </row>
    <row r="6469" ht="14.25" spans="1:8">
      <c r="A6469" s="3" t="str">
        <f>"30803520730"</f>
        <v>30803520730</v>
      </c>
      <c r="B6469" s="3">
        <v>5</v>
      </c>
      <c r="C6469" s="3">
        <v>207</v>
      </c>
      <c r="D6469" s="3">
        <v>30</v>
      </c>
      <c r="E6469" s="3" t="s">
        <v>9</v>
      </c>
      <c r="F6469" s="4">
        <v>63.5</v>
      </c>
      <c r="G6469" s="4"/>
      <c r="H6469" s="4">
        <f t="shared" si="658"/>
        <v>63.5</v>
      </c>
    </row>
    <row r="6470" ht="14.25" spans="1:8">
      <c r="A6470" s="3" t="str">
        <f>"30803520801"</f>
        <v>30803520801</v>
      </c>
      <c r="B6470" s="3">
        <v>5</v>
      </c>
      <c r="C6470" s="3">
        <v>208</v>
      </c>
      <c r="D6470" s="3">
        <v>1</v>
      </c>
      <c r="E6470" s="3" t="s">
        <v>9</v>
      </c>
      <c r="F6470" s="4">
        <v>72</v>
      </c>
      <c r="G6470" s="4"/>
      <c r="H6470" s="4">
        <f t="shared" si="658"/>
        <v>72</v>
      </c>
    </row>
    <row r="6471" ht="14.25" spans="1:8">
      <c r="A6471" s="3" t="str">
        <f>"30803520802"</f>
        <v>30803520802</v>
      </c>
      <c r="B6471" s="3">
        <v>5</v>
      </c>
      <c r="C6471" s="3">
        <v>208</v>
      </c>
      <c r="D6471" s="3">
        <v>2</v>
      </c>
      <c r="E6471" s="3" t="s">
        <v>9</v>
      </c>
      <c r="F6471" s="4">
        <v>80.5</v>
      </c>
      <c r="G6471" s="4"/>
      <c r="H6471" s="4">
        <f t="shared" si="658"/>
        <v>80.5</v>
      </c>
    </row>
    <row r="6472" ht="14.25" spans="1:8">
      <c r="A6472" s="3" t="str">
        <f>"30803520803"</f>
        <v>30803520803</v>
      </c>
      <c r="B6472" s="3">
        <v>5</v>
      </c>
      <c r="C6472" s="3">
        <v>208</v>
      </c>
      <c r="D6472" s="3">
        <v>3</v>
      </c>
      <c r="E6472" s="3" t="s">
        <v>9</v>
      </c>
      <c r="F6472" s="4">
        <v>71</v>
      </c>
      <c r="G6472" s="4"/>
      <c r="H6472" s="4">
        <f t="shared" si="658"/>
        <v>71</v>
      </c>
    </row>
    <row r="6473" ht="14.25" spans="1:8">
      <c r="A6473" s="3" t="str">
        <f>"30803520804"</f>
        <v>30803520804</v>
      </c>
      <c r="B6473" s="3">
        <v>5</v>
      </c>
      <c r="C6473" s="3">
        <v>208</v>
      </c>
      <c r="D6473" s="3">
        <v>4</v>
      </c>
      <c r="E6473" s="3" t="s">
        <v>9</v>
      </c>
      <c r="F6473" s="4">
        <v>71.5</v>
      </c>
      <c r="G6473" s="4"/>
      <c r="H6473" s="4">
        <f t="shared" si="658"/>
        <v>71.5</v>
      </c>
    </row>
    <row r="6474" ht="14.25" spans="1:8">
      <c r="A6474" s="3" t="str">
        <f>"30803520805"</f>
        <v>30803520805</v>
      </c>
      <c r="B6474" s="3">
        <v>5</v>
      </c>
      <c r="C6474" s="3">
        <v>208</v>
      </c>
      <c r="D6474" s="3">
        <v>5</v>
      </c>
      <c r="E6474" s="3" t="s">
        <v>9</v>
      </c>
      <c r="F6474" s="4">
        <v>76</v>
      </c>
      <c r="G6474" s="4"/>
      <c r="H6474" s="4">
        <f t="shared" si="658"/>
        <v>76</v>
      </c>
    </row>
    <row r="6475" ht="14.25" spans="1:8">
      <c r="A6475" s="3" t="str">
        <f>"30803520806"</f>
        <v>30803520806</v>
      </c>
      <c r="B6475" s="3">
        <v>5</v>
      </c>
      <c r="C6475" s="3">
        <v>208</v>
      </c>
      <c r="D6475" s="3">
        <v>6</v>
      </c>
      <c r="E6475" s="3" t="s">
        <v>9</v>
      </c>
      <c r="F6475" s="4">
        <v>80.5</v>
      </c>
      <c r="G6475" s="4"/>
      <c r="H6475" s="4">
        <f t="shared" si="658"/>
        <v>80.5</v>
      </c>
    </row>
    <row r="6476" ht="14.25" spans="1:8">
      <c r="A6476" s="3" t="str">
        <f>"30803520807"</f>
        <v>30803520807</v>
      </c>
      <c r="B6476" s="3">
        <v>5</v>
      </c>
      <c r="C6476" s="3">
        <v>208</v>
      </c>
      <c r="D6476" s="3">
        <v>7</v>
      </c>
      <c r="E6476" s="3" t="s">
        <v>9</v>
      </c>
      <c r="F6476" s="4">
        <v>76</v>
      </c>
      <c r="G6476" s="4"/>
      <c r="H6476" s="4">
        <f t="shared" si="658"/>
        <v>76</v>
      </c>
    </row>
    <row r="6477" ht="14.25" spans="1:8">
      <c r="A6477" s="3" t="str">
        <f>"30803520808"</f>
        <v>30803520808</v>
      </c>
      <c r="B6477" s="3">
        <v>5</v>
      </c>
      <c r="C6477" s="3">
        <v>208</v>
      </c>
      <c r="D6477" s="3">
        <v>8</v>
      </c>
      <c r="E6477" s="3" t="s">
        <v>9</v>
      </c>
      <c r="F6477" s="4">
        <v>74.5</v>
      </c>
      <c r="G6477" s="4"/>
      <c r="H6477" s="4">
        <f t="shared" si="658"/>
        <v>74.5</v>
      </c>
    </row>
    <row r="6478" ht="14.25" spans="1:8">
      <c r="A6478" s="3" t="str">
        <f>"30803520809"</f>
        <v>30803520809</v>
      </c>
      <c r="B6478" s="3">
        <v>5</v>
      </c>
      <c r="C6478" s="3">
        <v>208</v>
      </c>
      <c r="D6478" s="3">
        <v>9</v>
      </c>
      <c r="E6478" s="3" t="s">
        <v>9</v>
      </c>
      <c r="F6478" s="4">
        <v>61.5</v>
      </c>
      <c r="G6478" s="4"/>
      <c r="H6478" s="4">
        <f t="shared" si="658"/>
        <v>61.5</v>
      </c>
    </row>
    <row r="6479" ht="14.25" spans="1:8">
      <c r="A6479" s="3" t="str">
        <f>"30803520810"</f>
        <v>30803520810</v>
      </c>
      <c r="B6479" s="3">
        <v>5</v>
      </c>
      <c r="C6479" s="3">
        <v>208</v>
      </c>
      <c r="D6479" s="3">
        <v>10</v>
      </c>
      <c r="E6479" s="3" t="s">
        <v>9</v>
      </c>
      <c r="F6479" s="4">
        <v>86.5</v>
      </c>
      <c r="G6479" s="4"/>
      <c r="H6479" s="4">
        <f t="shared" si="658"/>
        <v>86.5</v>
      </c>
    </row>
    <row r="6480" ht="14.25" spans="1:8">
      <c r="A6480" s="3" t="str">
        <f>"30803520811"</f>
        <v>30803520811</v>
      </c>
      <c r="B6480" s="3">
        <v>5</v>
      </c>
      <c r="C6480" s="3">
        <v>208</v>
      </c>
      <c r="D6480" s="3">
        <v>11</v>
      </c>
      <c r="E6480" s="3" t="s">
        <v>9</v>
      </c>
      <c r="F6480" s="4">
        <v>69.5</v>
      </c>
      <c r="G6480" s="4"/>
      <c r="H6480" s="4">
        <f t="shared" si="658"/>
        <v>69.5</v>
      </c>
    </row>
    <row r="6481" ht="14.25" spans="1:8">
      <c r="A6481" s="3" t="str">
        <f>"30803520812"</f>
        <v>30803520812</v>
      </c>
      <c r="B6481" s="3">
        <v>5</v>
      </c>
      <c r="C6481" s="3">
        <v>208</v>
      </c>
      <c r="D6481" s="3">
        <v>12</v>
      </c>
      <c r="E6481" s="3" t="s">
        <v>9</v>
      </c>
      <c r="F6481" s="4">
        <v>61.5</v>
      </c>
      <c r="G6481" s="4"/>
      <c r="H6481" s="4">
        <f t="shared" si="658"/>
        <v>61.5</v>
      </c>
    </row>
    <row r="6482" ht="14.25" spans="1:8">
      <c r="A6482" s="3" t="str">
        <f>"30803520813"</f>
        <v>30803520813</v>
      </c>
      <c r="B6482" s="3">
        <v>5</v>
      </c>
      <c r="C6482" s="3">
        <v>208</v>
      </c>
      <c r="D6482" s="3">
        <v>13</v>
      </c>
      <c r="E6482" s="3" t="s">
        <v>9</v>
      </c>
      <c r="F6482" s="3">
        <v>0</v>
      </c>
      <c r="G6482" s="4"/>
      <c r="H6482" s="3">
        <v>0</v>
      </c>
    </row>
    <row r="6483" ht="14.25" spans="1:8">
      <c r="A6483" s="3" t="str">
        <f>"30803520814"</f>
        <v>30803520814</v>
      </c>
      <c r="B6483" s="3">
        <v>5</v>
      </c>
      <c r="C6483" s="3">
        <v>208</v>
      </c>
      <c r="D6483" s="3">
        <v>14</v>
      </c>
      <c r="E6483" s="3" t="s">
        <v>9</v>
      </c>
      <c r="F6483" s="4">
        <v>78.5</v>
      </c>
      <c r="G6483" s="4"/>
      <c r="H6483" s="4">
        <f t="shared" ref="H6483:H6499" si="659">F6483+G6483</f>
        <v>78.5</v>
      </c>
    </row>
    <row r="6484" ht="14.25" spans="1:8">
      <c r="A6484" s="3" t="str">
        <f>"30803520815"</f>
        <v>30803520815</v>
      </c>
      <c r="B6484" s="3">
        <v>5</v>
      </c>
      <c r="C6484" s="3">
        <v>208</v>
      </c>
      <c r="D6484" s="3">
        <v>15</v>
      </c>
      <c r="E6484" s="3" t="s">
        <v>9</v>
      </c>
      <c r="F6484" s="4">
        <v>67.5</v>
      </c>
      <c r="G6484" s="4"/>
      <c r="H6484" s="4">
        <f t="shared" si="659"/>
        <v>67.5</v>
      </c>
    </row>
    <row r="6485" ht="14.25" spans="1:8">
      <c r="A6485" s="3" t="str">
        <f>"30803520816"</f>
        <v>30803520816</v>
      </c>
      <c r="B6485" s="3">
        <v>5</v>
      </c>
      <c r="C6485" s="3">
        <v>208</v>
      </c>
      <c r="D6485" s="3">
        <v>16</v>
      </c>
      <c r="E6485" s="3" t="s">
        <v>9</v>
      </c>
      <c r="F6485" s="4">
        <v>78.5</v>
      </c>
      <c r="G6485" s="4"/>
      <c r="H6485" s="4">
        <f t="shared" si="659"/>
        <v>78.5</v>
      </c>
    </row>
    <row r="6486" ht="14.25" spans="1:8">
      <c r="A6486" s="3" t="str">
        <f>"30803520817"</f>
        <v>30803520817</v>
      </c>
      <c r="B6486" s="3">
        <v>5</v>
      </c>
      <c r="C6486" s="3">
        <v>208</v>
      </c>
      <c r="D6486" s="3">
        <v>17</v>
      </c>
      <c r="E6486" s="3" t="s">
        <v>9</v>
      </c>
      <c r="F6486" s="4">
        <v>73.5</v>
      </c>
      <c r="G6486" s="4"/>
      <c r="H6486" s="4">
        <f t="shared" si="659"/>
        <v>73.5</v>
      </c>
    </row>
    <row r="6487" ht="14.25" spans="1:8">
      <c r="A6487" s="3" t="str">
        <f>"30803520818"</f>
        <v>30803520818</v>
      </c>
      <c r="B6487" s="3">
        <v>5</v>
      </c>
      <c r="C6487" s="3">
        <v>208</v>
      </c>
      <c r="D6487" s="3">
        <v>18</v>
      </c>
      <c r="E6487" s="3" t="s">
        <v>9</v>
      </c>
      <c r="F6487" s="4">
        <v>62.5</v>
      </c>
      <c r="G6487" s="4"/>
      <c r="H6487" s="4">
        <f t="shared" si="659"/>
        <v>62.5</v>
      </c>
    </row>
    <row r="6488" ht="14.25" spans="1:8">
      <c r="A6488" s="3" t="str">
        <f>"30803520819"</f>
        <v>30803520819</v>
      </c>
      <c r="B6488" s="3">
        <v>5</v>
      </c>
      <c r="C6488" s="3">
        <v>208</v>
      </c>
      <c r="D6488" s="3">
        <v>19</v>
      </c>
      <c r="E6488" s="3" t="s">
        <v>9</v>
      </c>
      <c r="F6488" s="4">
        <v>84</v>
      </c>
      <c r="G6488" s="4"/>
      <c r="H6488" s="4">
        <f t="shared" si="659"/>
        <v>84</v>
      </c>
    </row>
    <row r="6489" ht="14.25" spans="1:8">
      <c r="A6489" s="3" t="str">
        <f>"30803520820"</f>
        <v>30803520820</v>
      </c>
      <c r="B6489" s="3">
        <v>5</v>
      </c>
      <c r="C6489" s="3">
        <v>208</v>
      </c>
      <c r="D6489" s="3">
        <v>20</v>
      </c>
      <c r="E6489" s="3" t="s">
        <v>9</v>
      </c>
      <c r="F6489" s="4">
        <v>63</v>
      </c>
      <c r="G6489" s="4"/>
      <c r="H6489" s="4">
        <f t="shared" si="659"/>
        <v>63</v>
      </c>
    </row>
    <row r="6490" ht="14.25" spans="1:8">
      <c r="A6490" s="3" t="str">
        <f>"30803520821"</f>
        <v>30803520821</v>
      </c>
      <c r="B6490" s="3">
        <v>5</v>
      </c>
      <c r="C6490" s="3">
        <v>208</v>
      </c>
      <c r="D6490" s="3">
        <v>21</v>
      </c>
      <c r="E6490" s="3" t="s">
        <v>9</v>
      </c>
      <c r="F6490" s="4">
        <v>78.5</v>
      </c>
      <c r="G6490" s="4"/>
      <c r="H6490" s="4">
        <f t="shared" si="659"/>
        <v>78.5</v>
      </c>
    </row>
    <row r="6491" ht="14.25" spans="1:8">
      <c r="A6491" s="3" t="str">
        <f>"30803520822"</f>
        <v>30803520822</v>
      </c>
      <c r="B6491" s="3">
        <v>5</v>
      </c>
      <c r="C6491" s="3">
        <v>208</v>
      </c>
      <c r="D6491" s="3">
        <v>22</v>
      </c>
      <c r="E6491" s="3" t="s">
        <v>9</v>
      </c>
      <c r="F6491" s="4">
        <v>71.5</v>
      </c>
      <c r="G6491" s="4"/>
      <c r="H6491" s="4">
        <f t="shared" si="659"/>
        <v>71.5</v>
      </c>
    </row>
    <row r="6492" ht="14.25" spans="1:8">
      <c r="A6492" s="3" t="str">
        <f>"30803520823"</f>
        <v>30803520823</v>
      </c>
      <c r="B6492" s="3">
        <v>5</v>
      </c>
      <c r="C6492" s="3">
        <v>208</v>
      </c>
      <c r="D6492" s="3">
        <v>23</v>
      </c>
      <c r="E6492" s="3" t="s">
        <v>9</v>
      </c>
      <c r="F6492" s="4">
        <v>76</v>
      </c>
      <c r="G6492" s="4"/>
      <c r="H6492" s="4">
        <f t="shared" si="659"/>
        <v>76</v>
      </c>
    </row>
    <row r="6493" ht="14.25" spans="1:8">
      <c r="A6493" s="3" t="str">
        <f>"30803520824"</f>
        <v>30803520824</v>
      </c>
      <c r="B6493" s="3">
        <v>5</v>
      </c>
      <c r="C6493" s="3">
        <v>208</v>
      </c>
      <c r="D6493" s="3">
        <v>24</v>
      </c>
      <c r="E6493" s="3" t="s">
        <v>9</v>
      </c>
      <c r="F6493" s="4">
        <v>62.5</v>
      </c>
      <c r="G6493" s="4"/>
      <c r="H6493" s="4">
        <f t="shared" si="659"/>
        <v>62.5</v>
      </c>
    </row>
    <row r="6494" ht="14.25" spans="1:8">
      <c r="A6494" s="3" t="str">
        <f>"30803520825"</f>
        <v>30803520825</v>
      </c>
      <c r="B6494" s="3">
        <v>5</v>
      </c>
      <c r="C6494" s="3">
        <v>208</v>
      </c>
      <c r="D6494" s="3">
        <v>25</v>
      </c>
      <c r="E6494" s="3" t="s">
        <v>9</v>
      </c>
      <c r="F6494" s="4">
        <v>86.5</v>
      </c>
      <c r="G6494" s="4"/>
      <c r="H6494" s="4">
        <f t="shared" si="659"/>
        <v>86.5</v>
      </c>
    </row>
    <row r="6495" ht="14.25" spans="1:8">
      <c r="A6495" s="3" t="str">
        <f>"30803520826"</f>
        <v>30803520826</v>
      </c>
      <c r="B6495" s="3">
        <v>5</v>
      </c>
      <c r="C6495" s="3">
        <v>208</v>
      </c>
      <c r="D6495" s="3">
        <v>26</v>
      </c>
      <c r="E6495" s="3" t="s">
        <v>9</v>
      </c>
      <c r="F6495" s="4">
        <v>69</v>
      </c>
      <c r="G6495" s="4"/>
      <c r="H6495" s="4">
        <f t="shared" si="659"/>
        <v>69</v>
      </c>
    </row>
    <row r="6496" ht="14.25" spans="1:8">
      <c r="A6496" s="3" t="str">
        <f>"30803520827"</f>
        <v>30803520827</v>
      </c>
      <c r="B6496" s="3">
        <v>5</v>
      </c>
      <c r="C6496" s="3">
        <v>208</v>
      </c>
      <c r="D6496" s="3">
        <v>27</v>
      </c>
      <c r="E6496" s="3" t="s">
        <v>9</v>
      </c>
      <c r="F6496" s="4">
        <v>73</v>
      </c>
      <c r="G6496" s="4"/>
      <c r="H6496" s="4">
        <f t="shared" si="659"/>
        <v>73</v>
      </c>
    </row>
    <row r="6497" ht="14.25" spans="1:8">
      <c r="A6497" s="3" t="str">
        <f>"30803520828"</f>
        <v>30803520828</v>
      </c>
      <c r="B6497" s="3">
        <v>5</v>
      </c>
      <c r="C6497" s="3">
        <v>208</v>
      </c>
      <c r="D6497" s="3">
        <v>28</v>
      </c>
      <c r="E6497" s="3" t="s">
        <v>9</v>
      </c>
      <c r="F6497" s="4">
        <v>54.5</v>
      </c>
      <c r="G6497" s="4"/>
      <c r="H6497" s="4">
        <f t="shared" si="659"/>
        <v>54.5</v>
      </c>
    </row>
    <row r="6498" ht="14.25" spans="1:8">
      <c r="A6498" s="3" t="str">
        <f>"30803520829"</f>
        <v>30803520829</v>
      </c>
      <c r="B6498" s="3">
        <v>5</v>
      </c>
      <c r="C6498" s="3">
        <v>208</v>
      </c>
      <c r="D6498" s="3">
        <v>29</v>
      </c>
      <c r="E6498" s="3" t="s">
        <v>9</v>
      </c>
      <c r="F6498" s="4">
        <v>79.5</v>
      </c>
      <c r="G6498" s="4"/>
      <c r="H6498" s="4">
        <f t="shared" si="659"/>
        <v>79.5</v>
      </c>
    </row>
    <row r="6499" ht="14.25" spans="1:8">
      <c r="A6499" s="3" t="str">
        <f>"30803520830"</f>
        <v>30803520830</v>
      </c>
      <c r="B6499" s="3">
        <v>5</v>
      </c>
      <c r="C6499" s="3">
        <v>208</v>
      </c>
      <c r="D6499" s="3">
        <v>30</v>
      </c>
      <c r="E6499" s="3" t="s">
        <v>9</v>
      </c>
      <c r="F6499" s="4">
        <v>83</v>
      </c>
      <c r="G6499" s="4"/>
      <c r="H6499" s="4">
        <f t="shared" si="659"/>
        <v>83</v>
      </c>
    </row>
    <row r="6500" ht="14.25" spans="1:8">
      <c r="A6500" s="3" t="str">
        <f>"30803520901"</f>
        <v>30803520901</v>
      </c>
      <c r="B6500" s="3">
        <v>5</v>
      </c>
      <c r="C6500" s="3">
        <v>209</v>
      </c>
      <c r="D6500" s="3">
        <v>1</v>
      </c>
      <c r="E6500" s="3" t="s">
        <v>9</v>
      </c>
      <c r="F6500" s="3">
        <v>0</v>
      </c>
      <c r="G6500" s="4"/>
      <c r="H6500" s="3">
        <v>0</v>
      </c>
    </row>
    <row r="6501" ht="14.25" spans="1:8">
      <c r="A6501" s="3" t="str">
        <f>"30803520902"</f>
        <v>30803520902</v>
      </c>
      <c r="B6501" s="3">
        <v>5</v>
      </c>
      <c r="C6501" s="3">
        <v>209</v>
      </c>
      <c r="D6501" s="3">
        <v>2</v>
      </c>
      <c r="E6501" s="3" t="s">
        <v>9</v>
      </c>
      <c r="F6501" s="4">
        <v>66.5</v>
      </c>
      <c r="G6501" s="4"/>
      <c r="H6501" s="4">
        <f t="shared" ref="H6501:H6504" si="660">F6501+G6501</f>
        <v>66.5</v>
      </c>
    </row>
    <row r="6502" ht="14.25" spans="1:8">
      <c r="A6502" s="3" t="str">
        <f>"30803520903"</f>
        <v>30803520903</v>
      </c>
      <c r="B6502" s="3">
        <v>5</v>
      </c>
      <c r="C6502" s="3">
        <v>209</v>
      </c>
      <c r="D6502" s="3">
        <v>3</v>
      </c>
      <c r="E6502" s="3" t="s">
        <v>9</v>
      </c>
      <c r="F6502" s="4">
        <v>64.5</v>
      </c>
      <c r="G6502" s="4"/>
      <c r="H6502" s="4">
        <f t="shared" si="660"/>
        <v>64.5</v>
      </c>
    </row>
    <row r="6503" ht="14.25" spans="1:8">
      <c r="A6503" s="3" t="str">
        <f>"30803520904"</f>
        <v>30803520904</v>
      </c>
      <c r="B6503" s="3">
        <v>5</v>
      </c>
      <c r="C6503" s="3">
        <v>209</v>
      </c>
      <c r="D6503" s="3">
        <v>4</v>
      </c>
      <c r="E6503" s="3" t="s">
        <v>9</v>
      </c>
      <c r="F6503" s="4">
        <v>79.5</v>
      </c>
      <c r="G6503" s="4"/>
      <c r="H6503" s="4">
        <f t="shared" si="660"/>
        <v>79.5</v>
      </c>
    </row>
    <row r="6504" ht="14.25" spans="1:8">
      <c r="A6504" s="3" t="str">
        <f>"30803520905"</f>
        <v>30803520905</v>
      </c>
      <c r="B6504" s="3">
        <v>5</v>
      </c>
      <c r="C6504" s="3">
        <v>209</v>
      </c>
      <c r="D6504" s="3">
        <v>5</v>
      </c>
      <c r="E6504" s="3" t="s">
        <v>9</v>
      </c>
      <c r="F6504" s="4">
        <v>59.5</v>
      </c>
      <c r="G6504" s="4"/>
      <c r="H6504" s="4">
        <f t="shared" si="660"/>
        <v>59.5</v>
      </c>
    </row>
    <row r="6505" ht="14.25" spans="1:8">
      <c r="A6505" s="3" t="str">
        <f>"30803520906"</f>
        <v>30803520906</v>
      </c>
      <c r="B6505" s="3">
        <v>5</v>
      </c>
      <c r="C6505" s="3">
        <v>209</v>
      </c>
      <c r="D6505" s="3">
        <v>6</v>
      </c>
      <c r="E6505" s="3" t="s">
        <v>9</v>
      </c>
      <c r="F6505" s="3">
        <v>0</v>
      </c>
      <c r="G6505" s="4"/>
      <c r="H6505" s="3">
        <v>0</v>
      </c>
    </row>
    <row r="6506" ht="14.25" spans="1:8">
      <c r="A6506" s="3" t="str">
        <f>"30803520907"</f>
        <v>30803520907</v>
      </c>
      <c r="B6506" s="3">
        <v>5</v>
      </c>
      <c r="C6506" s="3">
        <v>209</v>
      </c>
      <c r="D6506" s="3">
        <v>7</v>
      </c>
      <c r="E6506" s="3" t="s">
        <v>9</v>
      </c>
      <c r="F6506" s="3">
        <v>0</v>
      </c>
      <c r="G6506" s="4"/>
      <c r="H6506" s="3">
        <v>0</v>
      </c>
    </row>
    <row r="6507" ht="14.25" spans="1:8">
      <c r="A6507" s="3" t="str">
        <f>"30803520908"</f>
        <v>30803520908</v>
      </c>
      <c r="B6507" s="3">
        <v>5</v>
      </c>
      <c r="C6507" s="3">
        <v>209</v>
      </c>
      <c r="D6507" s="3">
        <v>8</v>
      </c>
      <c r="E6507" s="3" t="s">
        <v>9</v>
      </c>
      <c r="F6507" s="4">
        <v>74.5</v>
      </c>
      <c r="G6507" s="4"/>
      <c r="H6507" s="4">
        <f t="shared" ref="H6507:H6521" si="661">F6507+G6507</f>
        <v>74.5</v>
      </c>
    </row>
    <row r="6508" ht="14.25" spans="1:8">
      <c r="A6508" s="3" t="str">
        <f>"30803520909"</f>
        <v>30803520909</v>
      </c>
      <c r="B6508" s="3">
        <v>5</v>
      </c>
      <c r="C6508" s="3">
        <v>209</v>
      </c>
      <c r="D6508" s="3">
        <v>9</v>
      </c>
      <c r="E6508" s="3" t="s">
        <v>9</v>
      </c>
      <c r="F6508" s="4">
        <v>71.5</v>
      </c>
      <c r="G6508" s="4"/>
      <c r="H6508" s="4">
        <f t="shared" si="661"/>
        <v>71.5</v>
      </c>
    </row>
    <row r="6509" ht="14.25" spans="1:8">
      <c r="A6509" s="3" t="str">
        <f>"30803520910"</f>
        <v>30803520910</v>
      </c>
      <c r="B6509" s="3">
        <v>5</v>
      </c>
      <c r="C6509" s="3">
        <v>209</v>
      </c>
      <c r="D6509" s="3">
        <v>10</v>
      </c>
      <c r="E6509" s="3" t="s">
        <v>9</v>
      </c>
      <c r="F6509" s="4">
        <v>64</v>
      </c>
      <c r="G6509" s="4"/>
      <c r="H6509" s="4">
        <f t="shared" si="661"/>
        <v>64</v>
      </c>
    </row>
    <row r="6510" ht="14.25" spans="1:8">
      <c r="A6510" s="3" t="str">
        <f>"30803520911"</f>
        <v>30803520911</v>
      </c>
      <c r="B6510" s="3">
        <v>5</v>
      </c>
      <c r="C6510" s="3">
        <v>209</v>
      </c>
      <c r="D6510" s="3">
        <v>11</v>
      </c>
      <c r="E6510" s="3" t="s">
        <v>9</v>
      </c>
      <c r="F6510" s="4">
        <v>78</v>
      </c>
      <c r="G6510" s="4"/>
      <c r="H6510" s="4">
        <f t="shared" si="661"/>
        <v>78</v>
      </c>
    </row>
    <row r="6511" ht="14.25" spans="1:8">
      <c r="A6511" s="3" t="str">
        <f>"30803520912"</f>
        <v>30803520912</v>
      </c>
      <c r="B6511" s="3">
        <v>5</v>
      </c>
      <c r="C6511" s="3">
        <v>209</v>
      </c>
      <c r="D6511" s="3">
        <v>12</v>
      </c>
      <c r="E6511" s="3" t="s">
        <v>9</v>
      </c>
      <c r="F6511" s="4">
        <v>75.5</v>
      </c>
      <c r="G6511" s="4"/>
      <c r="H6511" s="4">
        <f t="shared" si="661"/>
        <v>75.5</v>
      </c>
    </row>
    <row r="6512" ht="14.25" spans="1:8">
      <c r="A6512" s="3" t="str">
        <f>"30803520913"</f>
        <v>30803520913</v>
      </c>
      <c r="B6512" s="3">
        <v>5</v>
      </c>
      <c r="C6512" s="3">
        <v>209</v>
      </c>
      <c r="D6512" s="3">
        <v>13</v>
      </c>
      <c r="E6512" s="3" t="s">
        <v>9</v>
      </c>
      <c r="F6512" s="4">
        <v>85.5</v>
      </c>
      <c r="G6512" s="4"/>
      <c r="H6512" s="4">
        <f t="shared" si="661"/>
        <v>85.5</v>
      </c>
    </row>
    <row r="6513" ht="14.25" spans="1:8">
      <c r="A6513" s="3" t="str">
        <f>"30803520914"</f>
        <v>30803520914</v>
      </c>
      <c r="B6513" s="3">
        <v>5</v>
      </c>
      <c r="C6513" s="3">
        <v>209</v>
      </c>
      <c r="D6513" s="3">
        <v>14</v>
      </c>
      <c r="E6513" s="3" t="s">
        <v>9</v>
      </c>
      <c r="F6513" s="4">
        <v>73.5</v>
      </c>
      <c r="G6513" s="4"/>
      <c r="H6513" s="4">
        <f t="shared" si="661"/>
        <v>73.5</v>
      </c>
    </row>
    <row r="6514" ht="14.25" spans="1:8">
      <c r="A6514" s="3" t="str">
        <f>"30803520915"</f>
        <v>30803520915</v>
      </c>
      <c r="B6514" s="3">
        <v>5</v>
      </c>
      <c r="C6514" s="3">
        <v>209</v>
      </c>
      <c r="D6514" s="3">
        <v>15</v>
      </c>
      <c r="E6514" s="3" t="s">
        <v>9</v>
      </c>
      <c r="F6514" s="4">
        <v>78.5</v>
      </c>
      <c r="G6514" s="4"/>
      <c r="H6514" s="4">
        <f t="shared" si="661"/>
        <v>78.5</v>
      </c>
    </row>
    <row r="6515" ht="14.25" spans="1:8">
      <c r="A6515" s="3" t="str">
        <f>"30803520916"</f>
        <v>30803520916</v>
      </c>
      <c r="B6515" s="3">
        <v>5</v>
      </c>
      <c r="C6515" s="3">
        <v>209</v>
      </c>
      <c r="D6515" s="3">
        <v>16</v>
      </c>
      <c r="E6515" s="3" t="s">
        <v>9</v>
      </c>
      <c r="F6515" s="4">
        <v>59.5</v>
      </c>
      <c r="G6515" s="4"/>
      <c r="H6515" s="4">
        <f t="shared" si="661"/>
        <v>59.5</v>
      </c>
    </row>
    <row r="6516" ht="14.25" spans="1:8">
      <c r="A6516" s="3" t="str">
        <f>"30803520917"</f>
        <v>30803520917</v>
      </c>
      <c r="B6516" s="3">
        <v>5</v>
      </c>
      <c r="C6516" s="3">
        <v>209</v>
      </c>
      <c r="D6516" s="3">
        <v>17</v>
      </c>
      <c r="E6516" s="3" t="s">
        <v>9</v>
      </c>
      <c r="F6516" s="4">
        <v>72</v>
      </c>
      <c r="G6516" s="4"/>
      <c r="H6516" s="4">
        <f t="shared" si="661"/>
        <v>72</v>
      </c>
    </row>
    <row r="6517" ht="14.25" spans="1:8">
      <c r="A6517" s="3" t="str">
        <f>"30804520918"</f>
        <v>30804520918</v>
      </c>
      <c r="B6517" s="3">
        <v>5</v>
      </c>
      <c r="C6517" s="3">
        <v>209</v>
      </c>
      <c r="D6517" s="3">
        <v>18</v>
      </c>
      <c r="E6517" s="3" t="s">
        <v>9</v>
      </c>
      <c r="F6517" s="4">
        <v>70</v>
      </c>
      <c r="G6517" s="4"/>
      <c r="H6517" s="4">
        <f t="shared" si="661"/>
        <v>70</v>
      </c>
    </row>
    <row r="6518" ht="14.25" spans="1:8">
      <c r="A6518" s="3" t="str">
        <f>"30804520919"</f>
        <v>30804520919</v>
      </c>
      <c r="B6518" s="3">
        <v>5</v>
      </c>
      <c r="C6518" s="3">
        <v>209</v>
      </c>
      <c r="D6518" s="3">
        <v>19</v>
      </c>
      <c r="E6518" s="3" t="s">
        <v>9</v>
      </c>
      <c r="F6518" s="4">
        <v>70</v>
      </c>
      <c r="G6518" s="4"/>
      <c r="H6518" s="4">
        <f t="shared" si="661"/>
        <v>70</v>
      </c>
    </row>
    <row r="6519" ht="14.25" spans="1:8">
      <c r="A6519" s="3" t="str">
        <f>"30804520920"</f>
        <v>30804520920</v>
      </c>
      <c r="B6519" s="3">
        <v>5</v>
      </c>
      <c r="C6519" s="3">
        <v>209</v>
      </c>
      <c r="D6519" s="3">
        <v>20</v>
      </c>
      <c r="E6519" s="3" t="s">
        <v>9</v>
      </c>
      <c r="F6519" s="4">
        <v>70</v>
      </c>
      <c r="G6519" s="4"/>
      <c r="H6519" s="4">
        <f t="shared" si="661"/>
        <v>70</v>
      </c>
    </row>
    <row r="6520" ht="14.25" spans="1:8">
      <c r="A6520" s="3" t="str">
        <f>"30804520921"</f>
        <v>30804520921</v>
      </c>
      <c r="B6520" s="3">
        <v>5</v>
      </c>
      <c r="C6520" s="3">
        <v>209</v>
      </c>
      <c r="D6520" s="3">
        <v>21</v>
      </c>
      <c r="E6520" s="3" t="s">
        <v>9</v>
      </c>
      <c r="F6520" s="4">
        <v>69.5</v>
      </c>
      <c r="G6520" s="4"/>
      <c r="H6520" s="4">
        <f t="shared" si="661"/>
        <v>69.5</v>
      </c>
    </row>
    <row r="6521" ht="14.25" spans="1:8">
      <c r="A6521" s="3" t="str">
        <f>"30804520922"</f>
        <v>30804520922</v>
      </c>
      <c r="B6521" s="3">
        <v>5</v>
      </c>
      <c r="C6521" s="3">
        <v>209</v>
      </c>
      <c r="D6521" s="3">
        <v>22</v>
      </c>
      <c r="E6521" s="3" t="s">
        <v>9</v>
      </c>
      <c r="F6521" s="4">
        <v>63.5</v>
      </c>
      <c r="G6521" s="4"/>
      <c r="H6521" s="4">
        <f t="shared" si="661"/>
        <v>63.5</v>
      </c>
    </row>
    <row r="6522" ht="14.25" spans="1:8">
      <c r="A6522" s="3" t="str">
        <f>"30804520923"</f>
        <v>30804520923</v>
      </c>
      <c r="B6522" s="3">
        <v>5</v>
      </c>
      <c r="C6522" s="3">
        <v>209</v>
      </c>
      <c r="D6522" s="3">
        <v>23</v>
      </c>
      <c r="E6522" s="3" t="s">
        <v>9</v>
      </c>
      <c r="F6522" s="3">
        <v>0</v>
      </c>
      <c r="G6522" s="4"/>
      <c r="H6522" s="3">
        <v>0</v>
      </c>
    </row>
    <row r="6523" ht="14.25" spans="1:8">
      <c r="A6523" s="3" t="str">
        <f>"30804520924"</f>
        <v>30804520924</v>
      </c>
      <c r="B6523" s="3">
        <v>5</v>
      </c>
      <c r="C6523" s="3">
        <v>209</v>
      </c>
      <c r="D6523" s="3">
        <v>24</v>
      </c>
      <c r="E6523" s="3" t="s">
        <v>9</v>
      </c>
      <c r="F6523" s="4">
        <v>70.5</v>
      </c>
      <c r="G6523" s="4"/>
      <c r="H6523" s="4">
        <f t="shared" ref="H6523:H6540" si="662">F6523+G6523</f>
        <v>70.5</v>
      </c>
    </row>
    <row r="6524" ht="14.25" spans="1:8">
      <c r="A6524" s="3" t="str">
        <f>"30804520925"</f>
        <v>30804520925</v>
      </c>
      <c r="B6524" s="3">
        <v>5</v>
      </c>
      <c r="C6524" s="3">
        <v>209</v>
      </c>
      <c r="D6524" s="3">
        <v>25</v>
      </c>
      <c r="E6524" s="3" t="s">
        <v>9</v>
      </c>
      <c r="F6524" s="3">
        <v>0</v>
      </c>
      <c r="G6524" s="4"/>
      <c r="H6524" s="3">
        <v>0</v>
      </c>
    </row>
    <row r="6525" ht="14.25" spans="1:8">
      <c r="A6525" s="3" t="str">
        <f>"30804520926"</f>
        <v>30804520926</v>
      </c>
      <c r="B6525" s="3">
        <v>5</v>
      </c>
      <c r="C6525" s="3">
        <v>209</v>
      </c>
      <c r="D6525" s="3">
        <v>26</v>
      </c>
      <c r="E6525" s="3" t="s">
        <v>9</v>
      </c>
      <c r="F6525" s="4">
        <v>74.5</v>
      </c>
      <c r="G6525" s="4"/>
      <c r="H6525" s="4">
        <f t="shared" si="662"/>
        <v>74.5</v>
      </c>
    </row>
    <row r="6526" ht="14.25" spans="1:8">
      <c r="A6526" s="3" t="str">
        <f>"30805520927"</f>
        <v>30805520927</v>
      </c>
      <c r="B6526" s="3">
        <v>5</v>
      </c>
      <c r="C6526" s="3">
        <v>209</v>
      </c>
      <c r="D6526" s="3">
        <v>27</v>
      </c>
      <c r="E6526" s="3" t="s">
        <v>9</v>
      </c>
      <c r="F6526" s="4">
        <v>87</v>
      </c>
      <c r="G6526" s="4"/>
      <c r="H6526" s="4">
        <f t="shared" si="662"/>
        <v>87</v>
      </c>
    </row>
    <row r="6527" ht="14.25" spans="1:8">
      <c r="A6527" s="3" t="str">
        <f>"30805520928"</f>
        <v>30805520928</v>
      </c>
      <c r="B6527" s="3">
        <v>5</v>
      </c>
      <c r="C6527" s="3">
        <v>209</v>
      </c>
      <c r="D6527" s="3">
        <v>28</v>
      </c>
      <c r="E6527" s="3" t="s">
        <v>9</v>
      </c>
      <c r="F6527" s="4">
        <v>69</v>
      </c>
      <c r="G6527" s="4"/>
      <c r="H6527" s="4">
        <f t="shared" si="662"/>
        <v>69</v>
      </c>
    </row>
    <row r="6528" ht="14.25" spans="1:8">
      <c r="A6528" s="3" t="str">
        <f>"30805520929"</f>
        <v>30805520929</v>
      </c>
      <c r="B6528" s="3">
        <v>5</v>
      </c>
      <c r="C6528" s="3">
        <v>209</v>
      </c>
      <c r="D6528" s="3">
        <v>29</v>
      </c>
      <c r="E6528" s="3" t="s">
        <v>9</v>
      </c>
      <c r="F6528" s="4">
        <v>64.5</v>
      </c>
      <c r="G6528" s="4"/>
      <c r="H6528" s="4">
        <f t="shared" si="662"/>
        <v>64.5</v>
      </c>
    </row>
    <row r="6529" ht="14.25" spans="1:8">
      <c r="A6529" s="3" t="str">
        <f>"30805520930"</f>
        <v>30805520930</v>
      </c>
      <c r="B6529" s="3">
        <v>5</v>
      </c>
      <c r="C6529" s="3">
        <v>209</v>
      </c>
      <c r="D6529" s="3">
        <v>30</v>
      </c>
      <c r="E6529" s="3" t="s">
        <v>9</v>
      </c>
      <c r="F6529" s="4">
        <v>73</v>
      </c>
      <c r="G6529" s="4"/>
      <c r="H6529" s="4">
        <f t="shared" si="662"/>
        <v>73</v>
      </c>
    </row>
    <row r="6530" ht="14.25" spans="1:8">
      <c r="A6530" s="3" t="str">
        <f>"30805521001"</f>
        <v>30805521001</v>
      </c>
      <c r="B6530" s="3">
        <v>5</v>
      </c>
      <c r="C6530" s="3">
        <v>210</v>
      </c>
      <c r="D6530" s="3">
        <v>1</v>
      </c>
      <c r="E6530" s="3" t="s">
        <v>9</v>
      </c>
      <c r="F6530" s="4">
        <v>80.5</v>
      </c>
      <c r="G6530" s="4"/>
      <c r="H6530" s="4">
        <f t="shared" si="662"/>
        <v>80.5</v>
      </c>
    </row>
    <row r="6531" ht="14.25" spans="1:8">
      <c r="A6531" s="3" t="str">
        <f>"30805521002"</f>
        <v>30805521002</v>
      </c>
      <c r="B6531" s="3">
        <v>5</v>
      </c>
      <c r="C6531" s="3">
        <v>210</v>
      </c>
      <c r="D6531" s="3">
        <v>2</v>
      </c>
      <c r="E6531" s="3" t="s">
        <v>9</v>
      </c>
      <c r="F6531" s="4">
        <v>66.5</v>
      </c>
      <c r="G6531" s="4"/>
      <c r="H6531" s="4">
        <f t="shared" si="662"/>
        <v>66.5</v>
      </c>
    </row>
    <row r="6532" ht="14.25" spans="1:8">
      <c r="A6532" s="3" t="str">
        <f>"30805521003"</f>
        <v>30805521003</v>
      </c>
      <c r="B6532" s="3">
        <v>5</v>
      </c>
      <c r="C6532" s="3">
        <v>210</v>
      </c>
      <c r="D6532" s="3">
        <v>3</v>
      </c>
      <c r="E6532" s="3" t="s">
        <v>9</v>
      </c>
      <c r="F6532" s="4">
        <v>76</v>
      </c>
      <c r="G6532" s="4"/>
      <c r="H6532" s="4">
        <f t="shared" si="662"/>
        <v>76</v>
      </c>
    </row>
    <row r="6533" ht="14.25" spans="1:8">
      <c r="A6533" s="3" t="str">
        <f>"30805521004"</f>
        <v>30805521004</v>
      </c>
      <c r="B6533" s="3">
        <v>5</v>
      </c>
      <c r="C6533" s="3">
        <v>210</v>
      </c>
      <c r="D6533" s="3">
        <v>4</v>
      </c>
      <c r="E6533" s="3" t="s">
        <v>9</v>
      </c>
      <c r="F6533" s="4">
        <v>81.5</v>
      </c>
      <c r="G6533" s="4"/>
      <c r="H6533" s="4">
        <f t="shared" si="662"/>
        <v>81.5</v>
      </c>
    </row>
    <row r="6534" ht="14.25" spans="1:8">
      <c r="A6534" s="3" t="str">
        <f>"30805521005"</f>
        <v>30805521005</v>
      </c>
      <c r="B6534" s="3">
        <v>5</v>
      </c>
      <c r="C6534" s="3">
        <v>210</v>
      </c>
      <c r="D6534" s="3">
        <v>5</v>
      </c>
      <c r="E6534" s="3" t="s">
        <v>9</v>
      </c>
      <c r="F6534" s="4">
        <v>69</v>
      </c>
      <c r="G6534" s="4"/>
      <c r="H6534" s="4">
        <f t="shared" si="662"/>
        <v>69</v>
      </c>
    </row>
    <row r="6535" ht="14.25" spans="1:8">
      <c r="A6535" s="3" t="str">
        <f>"30805521006"</f>
        <v>30805521006</v>
      </c>
      <c r="B6535" s="3">
        <v>5</v>
      </c>
      <c r="C6535" s="3">
        <v>210</v>
      </c>
      <c r="D6535" s="3">
        <v>6</v>
      </c>
      <c r="E6535" s="3" t="s">
        <v>9</v>
      </c>
      <c r="F6535" s="4">
        <v>69</v>
      </c>
      <c r="G6535" s="4"/>
      <c r="H6535" s="4">
        <f t="shared" si="662"/>
        <v>69</v>
      </c>
    </row>
    <row r="6536" ht="14.25" spans="1:8">
      <c r="A6536" s="3" t="str">
        <f>"30806521007"</f>
        <v>30806521007</v>
      </c>
      <c r="B6536" s="3">
        <v>5</v>
      </c>
      <c r="C6536" s="3">
        <v>210</v>
      </c>
      <c r="D6536" s="3">
        <v>7</v>
      </c>
      <c r="E6536" s="3" t="s">
        <v>9</v>
      </c>
      <c r="F6536" s="4">
        <v>73.5</v>
      </c>
      <c r="G6536" s="4"/>
      <c r="H6536" s="4">
        <f t="shared" si="662"/>
        <v>73.5</v>
      </c>
    </row>
    <row r="6537" ht="14.25" spans="1:8">
      <c r="A6537" s="3" t="str">
        <f>"30806521008"</f>
        <v>30806521008</v>
      </c>
      <c r="B6537" s="3">
        <v>5</v>
      </c>
      <c r="C6537" s="3">
        <v>210</v>
      </c>
      <c r="D6537" s="3">
        <v>8</v>
      </c>
      <c r="E6537" s="3" t="s">
        <v>9</v>
      </c>
      <c r="F6537" s="4">
        <v>77.5</v>
      </c>
      <c r="G6537" s="4"/>
      <c r="H6537" s="4">
        <f t="shared" si="662"/>
        <v>77.5</v>
      </c>
    </row>
    <row r="6538" ht="14.25" spans="1:8">
      <c r="A6538" s="3" t="str">
        <f>"30806521009"</f>
        <v>30806521009</v>
      </c>
      <c r="B6538" s="3">
        <v>5</v>
      </c>
      <c r="C6538" s="3">
        <v>210</v>
      </c>
      <c r="D6538" s="3">
        <v>9</v>
      </c>
      <c r="E6538" s="3" t="s">
        <v>9</v>
      </c>
      <c r="F6538" s="4">
        <v>78</v>
      </c>
      <c r="G6538" s="4"/>
      <c r="H6538" s="4">
        <f t="shared" si="662"/>
        <v>78</v>
      </c>
    </row>
    <row r="6539" ht="14.25" spans="1:8">
      <c r="A6539" s="3" t="str">
        <f>"30806521010"</f>
        <v>30806521010</v>
      </c>
      <c r="B6539" s="3">
        <v>5</v>
      </c>
      <c r="C6539" s="3">
        <v>210</v>
      </c>
      <c r="D6539" s="3">
        <v>10</v>
      </c>
      <c r="E6539" s="3" t="s">
        <v>9</v>
      </c>
      <c r="F6539" s="4">
        <v>59</v>
      </c>
      <c r="G6539" s="4"/>
      <c r="H6539" s="4">
        <f t="shared" si="662"/>
        <v>59</v>
      </c>
    </row>
    <row r="6540" ht="14.25" spans="1:8">
      <c r="A6540" s="3" t="str">
        <f>"30807521011"</f>
        <v>30807521011</v>
      </c>
      <c r="B6540" s="3">
        <v>5</v>
      </c>
      <c r="C6540" s="3">
        <v>210</v>
      </c>
      <c r="D6540" s="3">
        <v>11</v>
      </c>
      <c r="E6540" s="3" t="s">
        <v>9</v>
      </c>
      <c r="F6540" s="4">
        <v>67</v>
      </c>
      <c r="G6540" s="4"/>
      <c r="H6540" s="4">
        <f t="shared" si="662"/>
        <v>67</v>
      </c>
    </row>
    <row r="6541" ht="14.25" spans="1:8">
      <c r="A6541" s="3" t="str">
        <f>"30807521012"</f>
        <v>30807521012</v>
      </c>
      <c r="B6541" s="3">
        <v>5</v>
      </c>
      <c r="C6541" s="3">
        <v>210</v>
      </c>
      <c r="D6541" s="3">
        <v>12</v>
      </c>
      <c r="E6541" s="3" t="s">
        <v>9</v>
      </c>
      <c r="F6541" s="3">
        <v>0</v>
      </c>
      <c r="G6541" s="4"/>
      <c r="H6541" s="3">
        <v>0</v>
      </c>
    </row>
    <row r="6542" ht="14.25" spans="1:8">
      <c r="A6542" s="3" t="str">
        <f>"30807521013"</f>
        <v>30807521013</v>
      </c>
      <c r="B6542" s="3">
        <v>5</v>
      </c>
      <c r="C6542" s="3">
        <v>210</v>
      </c>
      <c r="D6542" s="3">
        <v>13</v>
      </c>
      <c r="E6542" s="3" t="s">
        <v>9</v>
      </c>
      <c r="F6542" s="4">
        <v>82.5</v>
      </c>
      <c r="G6542" s="4"/>
      <c r="H6542" s="4">
        <f t="shared" ref="H6542:H6547" si="663">F6542+G6542</f>
        <v>82.5</v>
      </c>
    </row>
    <row r="6543" ht="14.25" spans="1:8">
      <c r="A6543" s="3" t="str">
        <f>"30807521014"</f>
        <v>30807521014</v>
      </c>
      <c r="B6543" s="3">
        <v>5</v>
      </c>
      <c r="C6543" s="3">
        <v>210</v>
      </c>
      <c r="D6543" s="3">
        <v>14</v>
      </c>
      <c r="E6543" s="3" t="s">
        <v>9</v>
      </c>
      <c r="F6543" s="4">
        <v>54.5</v>
      </c>
      <c r="G6543" s="4"/>
      <c r="H6543" s="4">
        <f t="shared" si="663"/>
        <v>54.5</v>
      </c>
    </row>
    <row r="6544" ht="14.25" spans="1:8">
      <c r="A6544" s="3" t="str">
        <f>"30807521015"</f>
        <v>30807521015</v>
      </c>
      <c r="B6544" s="3">
        <v>5</v>
      </c>
      <c r="C6544" s="3">
        <v>210</v>
      </c>
      <c r="D6544" s="3">
        <v>15</v>
      </c>
      <c r="E6544" s="3" t="s">
        <v>9</v>
      </c>
      <c r="F6544" s="4">
        <v>61</v>
      </c>
      <c r="G6544" s="4"/>
      <c r="H6544" s="4">
        <f t="shared" si="663"/>
        <v>61</v>
      </c>
    </row>
    <row r="6545" ht="14.25" spans="1:8">
      <c r="A6545" s="3" t="str">
        <f>"30807521016"</f>
        <v>30807521016</v>
      </c>
      <c r="B6545" s="3">
        <v>5</v>
      </c>
      <c r="C6545" s="3">
        <v>210</v>
      </c>
      <c r="D6545" s="3">
        <v>16</v>
      </c>
      <c r="E6545" s="3" t="s">
        <v>9</v>
      </c>
      <c r="F6545" s="4">
        <v>80</v>
      </c>
      <c r="G6545" s="4"/>
      <c r="H6545" s="4">
        <f t="shared" si="663"/>
        <v>80</v>
      </c>
    </row>
    <row r="6546" ht="14.25" spans="1:8">
      <c r="A6546" s="3" t="str">
        <f>"30808521017"</f>
        <v>30808521017</v>
      </c>
      <c r="B6546" s="3">
        <v>5</v>
      </c>
      <c r="C6546" s="3">
        <v>210</v>
      </c>
      <c r="D6546" s="3">
        <v>17</v>
      </c>
      <c r="E6546" s="3" t="s">
        <v>9</v>
      </c>
      <c r="F6546" s="4">
        <v>63</v>
      </c>
      <c r="G6546" s="4"/>
      <c r="H6546" s="4">
        <f t="shared" si="663"/>
        <v>63</v>
      </c>
    </row>
    <row r="6547" ht="14.25" spans="1:8">
      <c r="A6547" s="3" t="str">
        <f>"30808521018"</f>
        <v>30808521018</v>
      </c>
      <c r="B6547" s="3">
        <v>5</v>
      </c>
      <c r="C6547" s="3">
        <v>210</v>
      </c>
      <c r="D6547" s="3">
        <v>18</v>
      </c>
      <c r="E6547" s="3" t="s">
        <v>9</v>
      </c>
      <c r="F6547" s="4">
        <v>75.5</v>
      </c>
      <c r="G6547" s="4"/>
      <c r="H6547" s="4">
        <f t="shared" si="663"/>
        <v>75.5</v>
      </c>
    </row>
    <row r="6548" ht="14.25" spans="1:8">
      <c r="A6548" s="3" t="str">
        <f>"30808521019"</f>
        <v>30808521019</v>
      </c>
      <c r="B6548" s="3">
        <v>5</v>
      </c>
      <c r="C6548" s="3">
        <v>210</v>
      </c>
      <c r="D6548" s="3">
        <v>19</v>
      </c>
      <c r="E6548" s="3" t="s">
        <v>9</v>
      </c>
      <c r="F6548" s="3">
        <v>0</v>
      </c>
      <c r="G6548" s="4"/>
      <c r="H6548" s="3">
        <v>0</v>
      </c>
    </row>
    <row r="6549" ht="14.25" spans="1:8">
      <c r="A6549" s="3" t="str">
        <f>"30808521020"</f>
        <v>30808521020</v>
      </c>
      <c r="B6549" s="3">
        <v>5</v>
      </c>
      <c r="C6549" s="3">
        <v>210</v>
      </c>
      <c r="D6549" s="3">
        <v>20</v>
      </c>
      <c r="E6549" s="3" t="s">
        <v>9</v>
      </c>
      <c r="F6549" s="3">
        <v>0</v>
      </c>
      <c r="G6549" s="4"/>
      <c r="H6549" s="3">
        <v>0</v>
      </c>
    </row>
    <row r="6550" ht="14.25" spans="1:8">
      <c r="A6550" s="3" t="str">
        <f>"30808521021"</f>
        <v>30808521021</v>
      </c>
      <c r="B6550" s="3">
        <v>5</v>
      </c>
      <c r="C6550" s="3">
        <v>210</v>
      </c>
      <c r="D6550" s="3">
        <v>21</v>
      </c>
      <c r="E6550" s="3" t="s">
        <v>9</v>
      </c>
      <c r="F6550" s="4">
        <v>57.5</v>
      </c>
      <c r="G6550" s="4"/>
      <c r="H6550" s="4">
        <f t="shared" ref="H6550:H6552" si="664">F6550+G6550</f>
        <v>57.5</v>
      </c>
    </row>
    <row r="6551" ht="14.25" spans="1:8">
      <c r="A6551" s="3" t="str">
        <f>"30808521022"</f>
        <v>30808521022</v>
      </c>
      <c r="B6551" s="3">
        <v>5</v>
      </c>
      <c r="C6551" s="3">
        <v>210</v>
      </c>
      <c r="D6551" s="3">
        <v>22</v>
      </c>
      <c r="E6551" s="3" t="s">
        <v>9</v>
      </c>
      <c r="F6551" s="4">
        <v>69</v>
      </c>
      <c r="G6551" s="4"/>
      <c r="H6551" s="4">
        <f t="shared" si="664"/>
        <v>69</v>
      </c>
    </row>
    <row r="6552" ht="14.25" spans="1:8">
      <c r="A6552" s="3" t="str">
        <f>"30901521023"</f>
        <v>30901521023</v>
      </c>
      <c r="B6552" s="3">
        <v>5</v>
      </c>
      <c r="C6552" s="3">
        <v>210</v>
      </c>
      <c r="D6552" s="3">
        <v>23</v>
      </c>
      <c r="E6552" s="3" t="s">
        <v>9</v>
      </c>
      <c r="F6552" s="4">
        <v>79.5</v>
      </c>
      <c r="G6552" s="4"/>
      <c r="H6552" s="4">
        <f t="shared" si="664"/>
        <v>79.5</v>
      </c>
    </row>
    <row r="6553" ht="14.25" spans="1:8">
      <c r="A6553" s="3" t="str">
        <f>"30901521024"</f>
        <v>30901521024</v>
      </c>
      <c r="B6553" s="3">
        <v>5</v>
      </c>
      <c r="C6553" s="3">
        <v>210</v>
      </c>
      <c r="D6553" s="3">
        <v>24</v>
      </c>
      <c r="E6553" s="3" t="s">
        <v>9</v>
      </c>
      <c r="F6553" s="3">
        <v>0</v>
      </c>
      <c r="G6553" s="4"/>
      <c r="H6553" s="3">
        <v>0</v>
      </c>
    </row>
    <row r="6554" ht="14.25" spans="1:8">
      <c r="A6554" s="3" t="str">
        <f>"30901521025"</f>
        <v>30901521025</v>
      </c>
      <c r="B6554" s="3">
        <v>5</v>
      </c>
      <c r="C6554" s="3">
        <v>210</v>
      </c>
      <c r="D6554" s="3">
        <v>25</v>
      </c>
      <c r="E6554" s="3" t="s">
        <v>9</v>
      </c>
      <c r="F6554" s="4">
        <v>78.5</v>
      </c>
      <c r="G6554" s="4"/>
      <c r="H6554" s="4">
        <f t="shared" ref="H6554:H6559" si="665">F6554+G6554</f>
        <v>78.5</v>
      </c>
    </row>
    <row r="6555" ht="14.25" spans="1:8">
      <c r="A6555" s="3" t="str">
        <f>"30901521026"</f>
        <v>30901521026</v>
      </c>
      <c r="B6555" s="3">
        <v>5</v>
      </c>
      <c r="C6555" s="3">
        <v>210</v>
      </c>
      <c r="D6555" s="3">
        <v>26</v>
      </c>
      <c r="E6555" s="3" t="s">
        <v>9</v>
      </c>
      <c r="F6555" s="3">
        <v>0</v>
      </c>
      <c r="G6555" s="4"/>
      <c r="H6555" s="3">
        <v>0</v>
      </c>
    </row>
    <row r="6556" ht="14.25" spans="1:8">
      <c r="A6556" s="3" t="str">
        <f>"30901521027"</f>
        <v>30901521027</v>
      </c>
      <c r="B6556" s="3">
        <v>5</v>
      </c>
      <c r="C6556" s="3">
        <v>210</v>
      </c>
      <c r="D6556" s="3">
        <v>27</v>
      </c>
      <c r="E6556" s="3" t="s">
        <v>9</v>
      </c>
      <c r="F6556" s="4">
        <v>65.5</v>
      </c>
      <c r="G6556" s="4"/>
      <c r="H6556" s="4">
        <f t="shared" si="665"/>
        <v>65.5</v>
      </c>
    </row>
    <row r="6557" ht="14.25" spans="1:8">
      <c r="A6557" s="3" t="str">
        <f>"30901521028"</f>
        <v>30901521028</v>
      </c>
      <c r="B6557" s="3">
        <v>5</v>
      </c>
      <c r="C6557" s="3">
        <v>210</v>
      </c>
      <c r="D6557" s="3">
        <v>28</v>
      </c>
      <c r="E6557" s="3" t="s">
        <v>9</v>
      </c>
      <c r="F6557" s="4">
        <v>61</v>
      </c>
      <c r="G6557" s="4"/>
      <c r="H6557" s="4">
        <f t="shared" si="665"/>
        <v>61</v>
      </c>
    </row>
    <row r="6558" ht="14.25" spans="1:8">
      <c r="A6558" s="3" t="str">
        <f>"30901521029"</f>
        <v>30901521029</v>
      </c>
      <c r="B6558" s="3">
        <v>5</v>
      </c>
      <c r="C6558" s="3">
        <v>210</v>
      </c>
      <c r="D6558" s="3">
        <v>29</v>
      </c>
      <c r="E6558" s="3" t="s">
        <v>9</v>
      </c>
      <c r="F6558" s="4">
        <v>51</v>
      </c>
      <c r="G6558" s="4"/>
      <c r="H6558" s="4">
        <f t="shared" si="665"/>
        <v>51</v>
      </c>
    </row>
    <row r="6559" ht="14.25" spans="1:8">
      <c r="A6559" s="3" t="str">
        <f>"30901521030"</f>
        <v>30901521030</v>
      </c>
      <c r="B6559" s="3">
        <v>5</v>
      </c>
      <c r="C6559" s="3">
        <v>210</v>
      </c>
      <c r="D6559" s="3">
        <v>30</v>
      </c>
      <c r="E6559" s="3" t="s">
        <v>9</v>
      </c>
      <c r="F6559" s="4">
        <v>66</v>
      </c>
      <c r="G6559" s="4"/>
      <c r="H6559" s="4">
        <f t="shared" si="665"/>
        <v>66</v>
      </c>
    </row>
    <row r="6560" ht="14.25" spans="1:8">
      <c r="A6560" s="3" t="str">
        <f>"30901521101"</f>
        <v>30901521101</v>
      </c>
      <c r="B6560" s="3">
        <v>5</v>
      </c>
      <c r="C6560" s="3">
        <v>211</v>
      </c>
      <c r="D6560" s="3">
        <v>1</v>
      </c>
      <c r="E6560" s="3" t="s">
        <v>9</v>
      </c>
      <c r="F6560" s="3">
        <v>0</v>
      </c>
      <c r="G6560" s="4"/>
      <c r="H6560" s="3">
        <v>0</v>
      </c>
    </row>
    <row r="6561" ht="14.25" spans="1:8">
      <c r="A6561" s="3" t="str">
        <f>"30901521102"</f>
        <v>30901521102</v>
      </c>
      <c r="B6561" s="3">
        <v>5</v>
      </c>
      <c r="C6561" s="3">
        <v>211</v>
      </c>
      <c r="D6561" s="3">
        <v>2</v>
      </c>
      <c r="E6561" s="3" t="s">
        <v>9</v>
      </c>
      <c r="F6561" s="3">
        <v>0</v>
      </c>
      <c r="G6561" s="4"/>
      <c r="H6561" s="3">
        <v>0</v>
      </c>
    </row>
    <row r="6562" ht="14.25" spans="1:8">
      <c r="A6562" s="3" t="str">
        <f>"30901521103"</f>
        <v>30901521103</v>
      </c>
      <c r="B6562" s="3">
        <v>5</v>
      </c>
      <c r="C6562" s="3">
        <v>211</v>
      </c>
      <c r="D6562" s="3">
        <v>3</v>
      </c>
      <c r="E6562" s="3" t="s">
        <v>9</v>
      </c>
      <c r="F6562" s="3">
        <v>0</v>
      </c>
      <c r="G6562" s="4"/>
      <c r="H6562" s="3">
        <v>0</v>
      </c>
    </row>
    <row r="6563" ht="14.25" spans="1:8">
      <c r="A6563" s="3" t="str">
        <f>"30901521104"</f>
        <v>30901521104</v>
      </c>
      <c r="B6563" s="3">
        <v>5</v>
      </c>
      <c r="C6563" s="3">
        <v>211</v>
      </c>
      <c r="D6563" s="3">
        <v>4</v>
      </c>
      <c r="E6563" s="3" t="s">
        <v>9</v>
      </c>
      <c r="F6563" s="3">
        <v>0</v>
      </c>
      <c r="G6563" s="4"/>
      <c r="H6563" s="3">
        <v>0</v>
      </c>
    </row>
    <row r="6564" ht="14.25" spans="1:8">
      <c r="A6564" s="3" t="str">
        <f>"30901521105"</f>
        <v>30901521105</v>
      </c>
      <c r="B6564" s="3">
        <v>5</v>
      </c>
      <c r="C6564" s="3">
        <v>211</v>
      </c>
      <c r="D6564" s="3">
        <v>5</v>
      </c>
      <c r="E6564" s="3" t="s">
        <v>9</v>
      </c>
      <c r="F6564" s="4">
        <v>65.5</v>
      </c>
      <c r="G6564" s="4"/>
      <c r="H6564" s="4">
        <f t="shared" ref="H6564:H6566" si="666">F6564+G6564</f>
        <v>65.5</v>
      </c>
    </row>
    <row r="6565" ht="14.25" spans="1:8">
      <c r="A6565" s="3" t="str">
        <f>"30901521106"</f>
        <v>30901521106</v>
      </c>
      <c r="B6565" s="3">
        <v>5</v>
      </c>
      <c r="C6565" s="3">
        <v>211</v>
      </c>
      <c r="D6565" s="3">
        <v>6</v>
      </c>
      <c r="E6565" s="3" t="s">
        <v>9</v>
      </c>
      <c r="F6565" s="4">
        <v>61.5</v>
      </c>
      <c r="G6565" s="4"/>
      <c r="H6565" s="4">
        <f t="shared" si="666"/>
        <v>61.5</v>
      </c>
    </row>
    <row r="6566" ht="14.25" spans="1:8">
      <c r="A6566" s="3" t="str">
        <f>"30901521107"</f>
        <v>30901521107</v>
      </c>
      <c r="B6566" s="3">
        <v>5</v>
      </c>
      <c r="C6566" s="3">
        <v>211</v>
      </c>
      <c r="D6566" s="3">
        <v>7</v>
      </c>
      <c r="E6566" s="3" t="s">
        <v>9</v>
      </c>
      <c r="F6566" s="4">
        <v>78.5</v>
      </c>
      <c r="G6566" s="4"/>
      <c r="H6566" s="4">
        <f t="shared" si="666"/>
        <v>78.5</v>
      </c>
    </row>
    <row r="6567" ht="14.25" spans="1:8">
      <c r="A6567" s="3" t="str">
        <f>"30901521108"</f>
        <v>30901521108</v>
      </c>
      <c r="B6567" s="3">
        <v>5</v>
      </c>
      <c r="C6567" s="3">
        <v>211</v>
      </c>
      <c r="D6567" s="3">
        <v>8</v>
      </c>
      <c r="E6567" s="3" t="s">
        <v>9</v>
      </c>
      <c r="F6567" s="3">
        <v>0</v>
      </c>
      <c r="G6567" s="4"/>
      <c r="H6567" s="3">
        <v>0</v>
      </c>
    </row>
    <row r="6568" ht="14.25" spans="1:8">
      <c r="A6568" s="3" t="str">
        <f>"30901521109"</f>
        <v>30901521109</v>
      </c>
      <c r="B6568" s="3">
        <v>5</v>
      </c>
      <c r="C6568" s="3">
        <v>211</v>
      </c>
      <c r="D6568" s="3">
        <v>9</v>
      </c>
      <c r="E6568" s="3" t="s">
        <v>9</v>
      </c>
      <c r="F6568" s="4">
        <v>72</v>
      </c>
      <c r="G6568" s="4"/>
      <c r="H6568" s="4">
        <f t="shared" ref="H6568:H6571" si="667">F6568+G6568</f>
        <v>72</v>
      </c>
    </row>
    <row r="6569" ht="14.25" spans="1:8">
      <c r="A6569" s="3" t="str">
        <f>"30901521110"</f>
        <v>30901521110</v>
      </c>
      <c r="B6569" s="3">
        <v>5</v>
      </c>
      <c r="C6569" s="3">
        <v>211</v>
      </c>
      <c r="D6569" s="3">
        <v>10</v>
      </c>
      <c r="E6569" s="3" t="s">
        <v>9</v>
      </c>
      <c r="F6569" s="4">
        <v>86.5</v>
      </c>
      <c r="G6569" s="4"/>
      <c r="H6569" s="4">
        <f t="shared" si="667"/>
        <v>86.5</v>
      </c>
    </row>
    <row r="6570" ht="14.25" spans="1:8">
      <c r="A6570" s="3" t="str">
        <f>"30901521111"</f>
        <v>30901521111</v>
      </c>
      <c r="B6570" s="3">
        <v>5</v>
      </c>
      <c r="C6570" s="3">
        <v>211</v>
      </c>
      <c r="D6570" s="3">
        <v>11</v>
      </c>
      <c r="E6570" s="3" t="s">
        <v>9</v>
      </c>
      <c r="F6570" s="3">
        <v>0</v>
      </c>
      <c r="G6570" s="4"/>
      <c r="H6570" s="3">
        <v>0</v>
      </c>
    </row>
    <row r="6571" ht="14.25" spans="1:8">
      <c r="A6571" s="3" t="str">
        <f>"30901521112"</f>
        <v>30901521112</v>
      </c>
      <c r="B6571" s="3">
        <v>5</v>
      </c>
      <c r="C6571" s="3">
        <v>211</v>
      </c>
      <c r="D6571" s="3">
        <v>12</v>
      </c>
      <c r="E6571" s="3" t="s">
        <v>9</v>
      </c>
      <c r="F6571" s="4">
        <v>86.5</v>
      </c>
      <c r="G6571" s="4"/>
      <c r="H6571" s="4">
        <f t="shared" si="667"/>
        <v>86.5</v>
      </c>
    </row>
    <row r="6572" ht="14.25" spans="1:8">
      <c r="A6572" s="3" t="str">
        <f>"30901521113"</f>
        <v>30901521113</v>
      </c>
      <c r="B6572" s="3">
        <v>5</v>
      </c>
      <c r="C6572" s="3">
        <v>211</v>
      </c>
      <c r="D6572" s="3">
        <v>13</v>
      </c>
      <c r="E6572" s="3" t="s">
        <v>9</v>
      </c>
      <c r="F6572" s="3">
        <v>0</v>
      </c>
      <c r="G6572" s="4"/>
      <c r="H6572" s="3">
        <v>0</v>
      </c>
    </row>
    <row r="6573" ht="14.25" spans="1:8">
      <c r="A6573" s="3" t="str">
        <f>"30901521114"</f>
        <v>30901521114</v>
      </c>
      <c r="B6573" s="3">
        <v>5</v>
      </c>
      <c r="C6573" s="3">
        <v>211</v>
      </c>
      <c r="D6573" s="3">
        <v>14</v>
      </c>
      <c r="E6573" s="3" t="s">
        <v>9</v>
      </c>
      <c r="F6573" s="3">
        <v>0</v>
      </c>
      <c r="G6573" s="4"/>
      <c r="H6573" s="3">
        <v>0</v>
      </c>
    </row>
    <row r="6574" ht="14.25" spans="1:8">
      <c r="A6574" s="3" t="str">
        <f>"30901521115"</f>
        <v>30901521115</v>
      </c>
      <c r="B6574" s="3">
        <v>5</v>
      </c>
      <c r="C6574" s="3">
        <v>211</v>
      </c>
      <c r="D6574" s="3">
        <v>15</v>
      </c>
      <c r="E6574" s="3" t="s">
        <v>9</v>
      </c>
      <c r="F6574" s="3">
        <v>0</v>
      </c>
      <c r="G6574" s="4"/>
      <c r="H6574" s="3">
        <v>0</v>
      </c>
    </row>
    <row r="6575" ht="14.25" spans="1:8">
      <c r="A6575" s="3" t="str">
        <f>"30901521116"</f>
        <v>30901521116</v>
      </c>
      <c r="B6575" s="3">
        <v>5</v>
      </c>
      <c r="C6575" s="3">
        <v>211</v>
      </c>
      <c r="D6575" s="3">
        <v>16</v>
      </c>
      <c r="E6575" s="3" t="s">
        <v>9</v>
      </c>
      <c r="F6575" s="3">
        <v>0</v>
      </c>
      <c r="G6575" s="4"/>
      <c r="H6575" s="3">
        <v>0</v>
      </c>
    </row>
    <row r="6576" ht="14.25" spans="1:8">
      <c r="A6576" s="3" t="str">
        <f>"30901521117"</f>
        <v>30901521117</v>
      </c>
      <c r="B6576" s="3">
        <v>5</v>
      </c>
      <c r="C6576" s="3">
        <v>211</v>
      </c>
      <c r="D6576" s="3">
        <v>17</v>
      </c>
      <c r="E6576" s="3" t="s">
        <v>9</v>
      </c>
      <c r="F6576" s="4">
        <v>72.5</v>
      </c>
      <c r="G6576" s="4"/>
      <c r="H6576" s="4">
        <f t="shared" ref="H6576:H6581" si="668">F6576+G6576</f>
        <v>72.5</v>
      </c>
    </row>
    <row r="6577" ht="14.25" spans="1:8">
      <c r="A6577" s="3" t="str">
        <f>"30901521118"</f>
        <v>30901521118</v>
      </c>
      <c r="B6577" s="3">
        <v>5</v>
      </c>
      <c r="C6577" s="3">
        <v>211</v>
      </c>
      <c r="D6577" s="3">
        <v>18</v>
      </c>
      <c r="E6577" s="3" t="s">
        <v>9</v>
      </c>
      <c r="F6577" s="4">
        <v>87.5</v>
      </c>
      <c r="G6577" s="4"/>
      <c r="H6577" s="4">
        <f t="shared" si="668"/>
        <v>87.5</v>
      </c>
    </row>
    <row r="6578" ht="14.25" spans="1:8">
      <c r="A6578" s="3" t="str">
        <f>"30901521119"</f>
        <v>30901521119</v>
      </c>
      <c r="B6578" s="3">
        <v>5</v>
      </c>
      <c r="C6578" s="3">
        <v>211</v>
      </c>
      <c r="D6578" s="3">
        <v>19</v>
      </c>
      <c r="E6578" s="3" t="s">
        <v>9</v>
      </c>
      <c r="F6578" s="3">
        <v>0</v>
      </c>
      <c r="G6578" s="4"/>
      <c r="H6578" s="3">
        <v>0</v>
      </c>
    </row>
    <row r="6579" ht="14.25" spans="1:8">
      <c r="A6579" s="3" t="str">
        <f>"30901521120"</f>
        <v>30901521120</v>
      </c>
      <c r="B6579" s="3">
        <v>5</v>
      </c>
      <c r="C6579" s="3">
        <v>211</v>
      </c>
      <c r="D6579" s="3">
        <v>20</v>
      </c>
      <c r="E6579" s="3" t="s">
        <v>9</v>
      </c>
      <c r="F6579" s="3">
        <v>0</v>
      </c>
      <c r="G6579" s="4"/>
      <c r="H6579" s="3">
        <v>0</v>
      </c>
    </row>
    <row r="6580" ht="14.25" spans="1:8">
      <c r="A6580" s="3" t="str">
        <f>"30901521121"</f>
        <v>30901521121</v>
      </c>
      <c r="B6580" s="3">
        <v>5</v>
      </c>
      <c r="C6580" s="3">
        <v>211</v>
      </c>
      <c r="D6580" s="3">
        <v>21</v>
      </c>
      <c r="E6580" s="3" t="s">
        <v>9</v>
      </c>
      <c r="F6580" s="4">
        <v>67.5</v>
      </c>
      <c r="G6580" s="4"/>
      <c r="H6580" s="4">
        <f t="shared" si="668"/>
        <v>67.5</v>
      </c>
    </row>
    <row r="6581" ht="14.25" spans="1:8">
      <c r="A6581" s="3" t="str">
        <f>"30901521122"</f>
        <v>30901521122</v>
      </c>
      <c r="B6581" s="3">
        <v>5</v>
      </c>
      <c r="C6581" s="3">
        <v>211</v>
      </c>
      <c r="D6581" s="3">
        <v>22</v>
      </c>
      <c r="E6581" s="3" t="s">
        <v>9</v>
      </c>
      <c r="F6581" s="4">
        <v>69.5</v>
      </c>
      <c r="G6581" s="4"/>
      <c r="H6581" s="4">
        <f t="shared" si="668"/>
        <v>69.5</v>
      </c>
    </row>
    <row r="6582" ht="14.25" spans="1:8">
      <c r="A6582" s="3" t="str">
        <f>"30901521123"</f>
        <v>30901521123</v>
      </c>
      <c r="B6582" s="3">
        <v>5</v>
      </c>
      <c r="C6582" s="3">
        <v>211</v>
      </c>
      <c r="D6582" s="3">
        <v>23</v>
      </c>
      <c r="E6582" s="3" t="s">
        <v>9</v>
      </c>
      <c r="F6582" s="3">
        <v>0</v>
      </c>
      <c r="G6582" s="4"/>
      <c r="H6582" s="3">
        <v>0</v>
      </c>
    </row>
    <row r="6583" ht="14.25" spans="1:8">
      <c r="A6583" s="3" t="str">
        <f>"30901521124"</f>
        <v>30901521124</v>
      </c>
      <c r="B6583" s="3">
        <v>5</v>
      </c>
      <c r="C6583" s="3">
        <v>211</v>
      </c>
      <c r="D6583" s="3">
        <v>24</v>
      </c>
      <c r="E6583" s="3" t="s">
        <v>9</v>
      </c>
      <c r="F6583" s="4">
        <v>83.5</v>
      </c>
      <c r="G6583" s="4"/>
      <c r="H6583" s="4">
        <f t="shared" ref="H6583:H6588" si="669">F6583+G6583</f>
        <v>83.5</v>
      </c>
    </row>
    <row r="6584" ht="14.25" spans="1:8">
      <c r="A6584" s="3" t="str">
        <f>"30901521125"</f>
        <v>30901521125</v>
      </c>
      <c r="B6584" s="3">
        <v>5</v>
      </c>
      <c r="C6584" s="3">
        <v>211</v>
      </c>
      <c r="D6584" s="3">
        <v>25</v>
      </c>
      <c r="E6584" s="3" t="s">
        <v>9</v>
      </c>
      <c r="F6584" s="3">
        <v>0</v>
      </c>
      <c r="G6584" s="4"/>
      <c r="H6584" s="3">
        <v>0</v>
      </c>
    </row>
    <row r="6585" ht="14.25" spans="1:8">
      <c r="A6585" s="3" t="str">
        <f>"30901521126"</f>
        <v>30901521126</v>
      </c>
      <c r="B6585" s="3">
        <v>5</v>
      </c>
      <c r="C6585" s="3">
        <v>211</v>
      </c>
      <c r="D6585" s="3">
        <v>26</v>
      </c>
      <c r="E6585" s="3" t="s">
        <v>9</v>
      </c>
      <c r="F6585" s="4">
        <v>58</v>
      </c>
      <c r="G6585" s="4"/>
      <c r="H6585" s="4">
        <f t="shared" si="669"/>
        <v>58</v>
      </c>
    </row>
    <row r="6586" ht="14.25" spans="1:8">
      <c r="A6586" s="3" t="str">
        <f>"30901521127"</f>
        <v>30901521127</v>
      </c>
      <c r="B6586" s="3">
        <v>5</v>
      </c>
      <c r="C6586" s="3">
        <v>211</v>
      </c>
      <c r="D6586" s="3">
        <v>27</v>
      </c>
      <c r="E6586" s="3" t="s">
        <v>9</v>
      </c>
      <c r="F6586" s="4">
        <v>79</v>
      </c>
      <c r="G6586" s="4"/>
      <c r="H6586" s="4">
        <f t="shared" si="669"/>
        <v>79</v>
      </c>
    </row>
    <row r="6587" ht="14.25" spans="1:8">
      <c r="A6587" s="3" t="str">
        <f>"30901521128"</f>
        <v>30901521128</v>
      </c>
      <c r="B6587" s="3">
        <v>5</v>
      </c>
      <c r="C6587" s="3">
        <v>211</v>
      </c>
      <c r="D6587" s="3">
        <v>28</v>
      </c>
      <c r="E6587" s="3" t="s">
        <v>9</v>
      </c>
      <c r="F6587" s="4">
        <v>74.5</v>
      </c>
      <c r="G6587" s="4"/>
      <c r="H6587" s="4">
        <f t="shared" si="669"/>
        <v>74.5</v>
      </c>
    </row>
    <row r="6588" ht="14.25" spans="1:8">
      <c r="A6588" s="3" t="str">
        <f>"30901521129"</f>
        <v>30901521129</v>
      </c>
      <c r="B6588" s="3">
        <v>5</v>
      </c>
      <c r="C6588" s="3">
        <v>211</v>
      </c>
      <c r="D6588" s="3">
        <v>29</v>
      </c>
      <c r="E6588" s="3" t="s">
        <v>9</v>
      </c>
      <c r="F6588" s="4">
        <v>67</v>
      </c>
      <c r="G6588" s="4"/>
      <c r="H6588" s="4">
        <f t="shared" si="669"/>
        <v>67</v>
      </c>
    </row>
    <row r="6589" ht="14.25" spans="1:8">
      <c r="A6589" s="3" t="str">
        <f>"30901521130"</f>
        <v>30901521130</v>
      </c>
      <c r="B6589" s="3">
        <v>5</v>
      </c>
      <c r="C6589" s="3">
        <v>211</v>
      </c>
      <c r="D6589" s="3">
        <v>30</v>
      </c>
      <c r="E6589" s="3" t="s">
        <v>9</v>
      </c>
      <c r="F6589" s="3">
        <v>0</v>
      </c>
      <c r="G6589" s="4"/>
      <c r="H6589" s="3">
        <v>0</v>
      </c>
    </row>
    <row r="6590" ht="14.25" spans="1:8">
      <c r="A6590" s="3" t="str">
        <f>"30901521201"</f>
        <v>30901521201</v>
      </c>
      <c r="B6590" s="3">
        <v>5</v>
      </c>
      <c r="C6590" s="3">
        <v>212</v>
      </c>
      <c r="D6590" s="3">
        <v>1</v>
      </c>
      <c r="E6590" s="3" t="s">
        <v>9</v>
      </c>
      <c r="F6590" s="4">
        <v>71.5</v>
      </c>
      <c r="G6590" s="4"/>
      <c r="H6590" s="4">
        <f t="shared" ref="H6590:H6593" si="670">F6590+G6590</f>
        <v>71.5</v>
      </c>
    </row>
    <row r="6591" ht="14.25" spans="1:8">
      <c r="A6591" s="3" t="str">
        <f>"30901521202"</f>
        <v>30901521202</v>
      </c>
      <c r="B6591" s="3">
        <v>5</v>
      </c>
      <c r="C6591" s="3">
        <v>212</v>
      </c>
      <c r="D6591" s="3">
        <v>2</v>
      </c>
      <c r="E6591" s="3" t="s">
        <v>9</v>
      </c>
      <c r="F6591" s="3">
        <v>0</v>
      </c>
      <c r="G6591" s="4"/>
      <c r="H6591" s="3">
        <v>0</v>
      </c>
    </row>
    <row r="6592" ht="14.25" spans="1:8">
      <c r="A6592" s="3" t="str">
        <f>"30901521203"</f>
        <v>30901521203</v>
      </c>
      <c r="B6592" s="3">
        <v>5</v>
      </c>
      <c r="C6592" s="3">
        <v>212</v>
      </c>
      <c r="D6592" s="3">
        <v>3</v>
      </c>
      <c r="E6592" s="3" t="s">
        <v>9</v>
      </c>
      <c r="F6592" s="4">
        <v>53</v>
      </c>
      <c r="G6592" s="4"/>
      <c r="H6592" s="4">
        <f t="shared" si="670"/>
        <v>53</v>
      </c>
    </row>
    <row r="6593" ht="14.25" spans="1:8">
      <c r="A6593" s="3" t="str">
        <f>"30901521204"</f>
        <v>30901521204</v>
      </c>
      <c r="B6593" s="3">
        <v>5</v>
      </c>
      <c r="C6593" s="3">
        <v>212</v>
      </c>
      <c r="D6593" s="3">
        <v>4</v>
      </c>
      <c r="E6593" s="3" t="s">
        <v>9</v>
      </c>
      <c r="F6593" s="4">
        <v>82.5</v>
      </c>
      <c r="G6593" s="4"/>
      <c r="H6593" s="4">
        <f t="shared" si="670"/>
        <v>82.5</v>
      </c>
    </row>
    <row r="6594" ht="14.25" spans="1:8">
      <c r="A6594" s="3" t="str">
        <f>"30901521205"</f>
        <v>30901521205</v>
      </c>
      <c r="B6594" s="3">
        <v>5</v>
      </c>
      <c r="C6594" s="3">
        <v>212</v>
      </c>
      <c r="D6594" s="3">
        <v>5</v>
      </c>
      <c r="E6594" s="3" t="s">
        <v>9</v>
      </c>
      <c r="F6594" s="3">
        <v>0</v>
      </c>
      <c r="G6594" s="4"/>
      <c r="H6594" s="3">
        <v>0</v>
      </c>
    </row>
    <row r="6595" ht="14.25" spans="1:8">
      <c r="A6595" s="3" t="str">
        <f>"30901521206"</f>
        <v>30901521206</v>
      </c>
      <c r="B6595" s="3">
        <v>5</v>
      </c>
      <c r="C6595" s="3">
        <v>212</v>
      </c>
      <c r="D6595" s="3">
        <v>6</v>
      </c>
      <c r="E6595" s="3" t="s">
        <v>9</v>
      </c>
      <c r="F6595" s="4">
        <v>69.5</v>
      </c>
      <c r="G6595" s="4"/>
      <c r="H6595" s="4">
        <f t="shared" ref="H6595:H6600" si="671">F6595+G6595</f>
        <v>69.5</v>
      </c>
    </row>
    <row r="6596" ht="14.25" spans="1:8">
      <c r="A6596" s="3" t="str">
        <f>"30901521207"</f>
        <v>30901521207</v>
      </c>
      <c r="B6596" s="3">
        <v>5</v>
      </c>
      <c r="C6596" s="3">
        <v>212</v>
      </c>
      <c r="D6596" s="3">
        <v>7</v>
      </c>
      <c r="E6596" s="3" t="s">
        <v>9</v>
      </c>
      <c r="F6596" s="4">
        <v>62.5</v>
      </c>
      <c r="G6596" s="4"/>
      <c r="H6596" s="4">
        <f t="shared" si="671"/>
        <v>62.5</v>
      </c>
    </row>
    <row r="6597" ht="14.25" spans="1:8">
      <c r="A6597" s="3" t="str">
        <f>"30901521208"</f>
        <v>30901521208</v>
      </c>
      <c r="B6597" s="3">
        <v>5</v>
      </c>
      <c r="C6597" s="3">
        <v>212</v>
      </c>
      <c r="D6597" s="3">
        <v>8</v>
      </c>
      <c r="E6597" s="3" t="s">
        <v>9</v>
      </c>
      <c r="F6597" s="3">
        <v>0</v>
      </c>
      <c r="G6597" s="4"/>
      <c r="H6597" s="3">
        <v>0</v>
      </c>
    </row>
    <row r="6598" ht="14.25" spans="1:8">
      <c r="A6598" s="3" t="str">
        <f>"30901521209"</f>
        <v>30901521209</v>
      </c>
      <c r="B6598" s="3">
        <v>5</v>
      </c>
      <c r="C6598" s="3">
        <v>212</v>
      </c>
      <c r="D6598" s="3">
        <v>9</v>
      </c>
      <c r="E6598" s="3" t="s">
        <v>9</v>
      </c>
      <c r="F6598" s="3">
        <v>0</v>
      </c>
      <c r="G6598" s="4"/>
      <c r="H6598" s="3">
        <v>0</v>
      </c>
    </row>
    <row r="6599" ht="14.25" spans="1:8">
      <c r="A6599" s="3" t="str">
        <f>"30901521210"</f>
        <v>30901521210</v>
      </c>
      <c r="B6599" s="3">
        <v>5</v>
      </c>
      <c r="C6599" s="3">
        <v>212</v>
      </c>
      <c r="D6599" s="3">
        <v>10</v>
      </c>
      <c r="E6599" s="3" t="s">
        <v>9</v>
      </c>
      <c r="F6599" s="4">
        <v>69</v>
      </c>
      <c r="G6599" s="4"/>
      <c r="H6599" s="4">
        <f t="shared" si="671"/>
        <v>69</v>
      </c>
    </row>
    <row r="6600" ht="14.25" spans="1:8">
      <c r="A6600" s="3" t="str">
        <f>"30901521211"</f>
        <v>30901521211</v>
      </c>
      <c r="B6600" s="3">
        <v>5</v>
      </c>
      <c r="C6600" s="3">
        <v>212</v>
      </c>
      <c r="D6600" s="3">
        <v>11</v>
      </c>
      <c r="E6600" s="3" t="s">
        <v>9</v>
      </c>
      <c r="F6600" s="4">
        <v>83</v>
      </c>
      <c r="G6600" s="4"/>
      <c r="H6600" s="4">
        <f t="shared" si="671"/>
        <v>83</v>
      </c>
    </row>
    <row r="6601" ht="14.25" spans="1:8">
      <c r="A6601" s="3" t="str">
        <f>"30901521212"</f>
        <v>30901521212</v>
      </c>
      <c r="B6601" s="3">
        <v>5</v>
      </c>
      <c r="C6601" s="3">
        <v>212</v>
      </c>
      <c r="D6601" s="3">
        <v>12</v>
      </c>
      <c r="E6601" s="3" t="s">
        <v>9</v>
      </c>
      <c r="F6601" s="3">
        <v>0</v>
      </c>
      <c r="G6601" s="4"/>
      <c r="H6601" s="3">
        <v>0</v>
      </c>
    </row>
    <row r="6602" ht="14.25" spans="1:8">
      <c r="A6602" s="3" t="str">
        <f>"30902521213"</f>
        <v>30902521213</v>
      </c>
      <c r="B6602" s="3">
        <v>5</v>
      </c>
      <c r="C6602" s="3">
        <v>212</v>
      </c>
      <c r="D6602" s="3">
        <v>13</v>
      </c>
      <c r="E6602" s="3" t="s">
        <v>9</v>
      </c>
      <c r="F6602" s="3">
        <v>0</v>
      </c>
      <c r="G6602" s="4"/>
      <c r="H6602" s="3">
        <v>0</v>
      </c>
    </row>
    <row r="6603" ht="14.25" spans="1:8">
      <c r="A6603" s="3" t="str">
        <f>"30902521214"</f>
        <v>30902521214</v>
      </c>
      <c r="B6603" s="3">
        <v>5</v>
      </c>
      <c r="C6603" s="3">
        <v>212</v>
      </c>
      <c r="D6603" s="3">
        <v>14</v>
      </c>
      <c r="E6603" s="3" t="s">
        <v>9</v>
      </c>
      <c r="F6603" s="4">
        <v>74.5</v>
      </c>
      <c r="G6603" s="4"/>
      <c r="H6603" s="4">
        <f t="shared" ref="H6603:H6610" si="672">F6603+G6603</f>
        <v>74.5</v>
      </c>
    </row>
    <row r="6604" ht="14.25" spans="1:8">
      <c r="A6604" s="3" t="str">
        <f>"30902521215"</f>
        <v>30902521215</v>
      </c>
      <c r="B6604" s="3">
        <v>5</v>
      </c>
      <c r="C6604" s="3">
        <v>212</v>
      </c>
      <c r="D6604" s="3">
        <v>15</v>
      </c>
      <c r="E6604" s="3" t="s">
        <v>9</v>
      </c>
      <c r="F6604" s="3">
        <v>0</v>
      </c>
      <c r="G6604" s="4"/>
      <c r="H6604" s="3">
        <v>0</v>
      </c>
    </row>
    <row r="6605" ht="14.25" spans="1:8">
      <c r="A6605" s="3" t="str">
        <f>"30902521216"</f>
        <v>30902521216</v>
      </c>
      <c r="B6605" s="3">
        <v>5</v>
      </c>
      <c r="C6605" s="3">
        <v>212</v>
      </c>
      <c r="D6605" s="3">
        <v>16</v>
      </c>
      <c r="E6605" s="3" t="s">
        <v>9</v>
      </c>
      <c r="F6605" s="4">
        <v>67</v>
      </c>
      <c r="G6605" s="4"/>
      <c r="H6605" s="4">
        <f t="shared" si="672"/>
        <v>67</v>
      </c>
    </row>
    <row r="6606" ht="14.25" spans="1:8">
      <c r="A6606" s="3" t="str">
        <f>"30902521217"</f>
        <v>30902521217</v>
      </c>
      <c r="B6606" s="3">
        <v>5</v>
      </c>
      <c r="C6606" s="3">
        <v>212</v>
      </c>
      <c r="D6606" s="3">
        <v>17</v>
      </c>
      <c r="E6606" s="3" t="s">
        <v>9</v>
      </c>
      <c r="F6606" s="3">
        <v>0</v>
      </c>
      <c r="G6606" s="4"/>
      <c r="H6606" s="3">
        <v>0</v>
      </c>
    </row>
    <row r="6607" ht="14.25" spans="1:8">
      <c r="A6607" s="3" t="str">
        <f>"30902521218"</f>
        <v>30902521218</v>
      </c>
      <c r="B6607" s="3">
        <v>5</v>
      </c>
      <c r="C6607" s="3">
        <v>212</v>
      </c>
      <c r="D6607" s="3">
        <v>18</v>
      </c>
      <c r="E6607" s="3" t="s">
        <v>9</v>
      </c>
      <c r="F6607" s="4">
        <v>90.5</v>
      </c>
      <c r="G6607" s="4"/>
      <c r="H6607" s="4">
        <f t="shared" si="672"/>
        <v>90.5</v>
      </c>
    </row>
    <row r="6608" ht="14.25" spans="1:8">
      <c r="A6608" s="3" t="str">
        <f>"30902521219"</f>
        <v>30902521219</v>
      </c>
      <c r="B6608" s="3">
        <v>5</v>
      </c>
      <c r="C6608" s="3">
        <v>212</v>
      </c>
      <c r="D6608" s="3">
        <v>19</v>
      </c>
      <c r="E6608" s="3" t="s">
        <v>9</v>
      </c>
      <c r="F6608" s="4">
        <v>76.5</v>
      </c>
      <c r="G6608" s="4"/>
      <c r="H6608" s="4">
        <f t="shared" si="672"/>
        <v>76.5</v>
      </c>
    </row>
    <row r="6609" ht="14.25" spans="1:8">
      <c r="A6609" s="3" t="str">
        <f>"30902521220"</f>
        <v>30902521220</v>
      </c>
      <c r="B6609" s="3">
        <v>5</v>
      </c>
      <c r="C6609" s="3">
        <v>212</v>
      </c>
      <c r="D6609" s="3">
        <v>20</v>
      </c>
      <c r="E6609" s="3" t="s">
        <v>9</v>
      </c>
      <c r="F6609" s="4">
        <v>71.5</v>
      </c>
      <c r="G6609" s="4"/>
      <c r="H6609" s="4">
        <f t="shared" si="672"/>
        <v>71.5</v>
      </c>
    </row>
    <row r="6610" ht="14.25" spans="1:8">
      <c r="A6610" s="3" t="str">
        <f>"30902521221"</f>
        <v>30902521221</v>
      </c>
      <c r="B6610" s="3">
        <v>5</v>
      </c>
      <c r="C6610" s="3">
        <v>212</v>
      </c>
      <c r="D6610" s="3">
        <v>21</v>
      </c>
      <c r="E6610" s="3" t="s">
        <v>9</v>
      </c>
      <c r="F6610" s="4">
        <v>67</v>
      </c>
      <c r="G6610" s="4"/>
      <c r="H6610" s="4">
        <f t="shared" si="672"/>
        <v>67</v>
      </c>
    </row>
    <row r="6611" ht="14.25" spans="1:8">
      <c r="A6611" s="3" t="str">
        <f>"30902521222"</f>
        <v>30902521222</v>
      </c>
      <c r="B6611" s="3">
        <v>5</v>
      </c>
      <c r="C6611" s="3">
        <v>212</v>
      </c>
      <c r="D6611" s="3">
        <v>22</v>
      </c>
      <c r="E6611" s="3" t="s">
        <v>9</v>
      </c>
      <c r="F6611" s="3">
        <v>0</v>
      </c>
      <c r="G6611" s="4"/>
      <c r="H6611" s="3">
        <v>0</v>
      </c>
    </row>
    <row r="6612" ht="14.25" spans="1:8">
      <c r="A6612" s="3" t="str">
        <f>"30902521223"</f>
        <v>30902521223</v>
      </c>
      <c r="B6612" s="3">
        <v>5</v>
      </c>
      <c r="C6612" s="3">
        <v>212</v>
      </c>
      <c r="D6612" s="3">
        <v>23</v>
      </c>
      <c r="E6612" s="3" t="s">
        <v>9</v>
      </c>
      <c r="F6612" s="3">
        <v>0</v>
      </c>
      <c r="G6612" s="4"/>
      <c r="H6612" s="3">
        <v>0</v>
      </c>
    </row>
    <row r="6613" ht="14.25" spans="1:8">
      <c r="A6613" s="3" t="str">
        <f>"30902521224"</f>
        <v>30902521224</v>
      </c>
      <c r="B6613" s="3">
        <v>5</v>
      </c>
      <c r="C6613" s="3">
        <v>212</v>
      </c>
      <c r="D6613" s="3">
        <v>24</v>
      </c>
      <c r="E6613" s="3" t="s">
        <v>9</v>
      </c>
      <c r="F6613" s="3">
        <v>0</v>
      </c>
      <c r="G6613" s="4"/>
      <c r="H6613" s="3">
        <v>0</v>
      </c>
    </row>
    <row r="6614" ht="14.25" spans="1:8">
      <c r="A6614" s="3" t="str">
        <f>"30902521225"</f>
        <v>30902521225</v>
      </c>
      <c r="B6614" s="3">
        <v>5</v>
      </c>
      <c r="C6614" s="3">
        <v>212</v>
      </c>
      <c r="D6614" s="3">
        <v>25</v>
      </c>
      <c r="E6614" s="3" t="s">
        <v>9</v>
      </c>
      <c r="F6614" s="4">
        <v>70.5</v>
      </c>
      <c r="G6614" s="4"/>
      <c r="H6614" s="4">
        <f t="shared" ref="H6614:H6622" si="673">F6614+G6614</f>
        <v>70.5</v>
      </c>
    </row>
    <row r="6615" ht="14.25" spans="1:8">
      <c r="A6615" s="3" t="str">
        <f>"30902521226"</f>
        <v>30902521226</v>
      </c>
      <c r="B6615" s="3">
        <v>5</v>
      </c>
      <c r="C6615" s="3">
        <v>212</v>
      </c>
      <c r="D6615" s="3">
        <v>26</v>
      </c>
      <c r="E6615" s="3" t="s">
        <v>9</v>
      </c>
      <c r="F6615" s="4">
        <v>55</v>
      </c>
      <c r="G6615" s="4"/>
      <c r="H6615" s="4">
        <f t="shared" si="673"/>
        <v>55</v>
      </c>
    </row>
    <row r="6616" ht="14.25" spans="1:8">
      <c r="A6616" s="3" t="str">
        <f>"30902521227"</f>
        <v>30902521227</v>
      </c>
      <c r="B6616" s="3">
        <v>5</v>
      </c>
      <c r="C6616" s="3">
        <v>212</v>
      </c>
      <c r="D6616" s="3">
        <v>27</v>
      </c>
      <c r="E6616" s="3" t="s">
        <v>9</v>
      </c>
      <c r="F6616" s="3">
        <v>0</v>
      </c>
      <c r="G6616" s="4"/>
      <c r="H6616" s="3">
        <v>0</v>
      </c>
    </row>
    <row r="6617" ht="14.25" spans="1:8">
      <c r="A6617" s="3" t="str">
        <f>"30902521228"</f>
        <v>30902521228</v>
      </c>
      <c r="B6617" s="3">
        <v>5</v>
      </c>
      <c r="C6617" s="3">
        <v>212</v>
      </c>
      <c r="D6617" s="3">
        <v>28</v>
      </c>
      <c r="E6617" s="3" t="s">
        <v>9</v>
      </c>
      <c r="F6617" s="3">
        <v>0</v>
      </c>
      <c r="G6617" s="4"/>
      <c r="H6617" s="3">
        <v>0</v>
      </c>
    </row>
    <row r="6618" ht="14.25" spans="1:8">
      <c r="A6618" s="3" t="str">
        <f>"30902521229"</f>
        <v>30902521229</v>
      </c>
      <c r="B6618" s="3">
        <v>5</v>
      </c>
      <c r="C6618" s="3">
        <v>212</v>
      </c>
      <c r="D6618" s="3">
        <v>29</v>
      </c>
      <c r="E6618" s="3" t="s">
        <v>9</v>
      </c>
      <c r="F6618" s="3">
        <v>0</v>
      </c>
      <c r="G6618" s="4"/>
      <c r="H6618" s="3">
        <v>0</v>
      </c>
    </row>
    <row r="6619" ht="14.25" spans="1:8">
      <c r="A6619" s="3" t="str">
        <f>"30902521230"</f>
        <v>30902521230</v>
      </c>
      <c r="B6619" s="3">
        <v>5</v>
      </c>
      <c r="C6619" s="3">
        <v>212</v>
      </c>
      <c r="D6619" s="3">
        <v>30</v>
      </c>
      <c r="E6619" s="3" t="s">
        <v>9</v>
      </c>
      <c r="F6619" s="4">
        <v>68</v>
      </c>
      <c r="G6619" s="4"/>
      <c r="H6619" s="4">
        <f t="shared" si="673"/>
        <v>68</v>
      </c>
    </row>
    <row r="6620" ht="14.25" spans="1:8">
      <c r="A6620" s="3" t="str">
        <f>"30902521301"</f>
        <v>30902521301</v>
      </c>
      <c r="B6620" s="3">
        <v>5</v>
      </c>
      <c r="C6620" s="3">
        <v>213</v>
      </c>
      <c r="D6620" s="3">
        <v>1</v>
      </c>
      <c r="E6620" s="3" t="s">
        <v>9</v>
      </c>
      <c r="F6620" s="4">
        <v>54</v>
      </c>
      <c r="G6620" s="4"/>
      <c r="H6620" s="4">
        <f t="shared" si="673"/>
        <v>54</v>
      </c>
    </row>
    <row r="6621" ht="14.25" spans="1:8">
      <c r="A6621" s="3" t="str">
        <f>"30902521302"</f>
        <v>30902521302</v>
      </c>
      <c r="B6621" s="3">
        <v>5</v>
      </c>
      <c r="C6621" s="3">
        <v>213</v>
      </c>
      <c r="D6621" s="3">
        <v>2</v>
      </c>
      <c r="E6621" s="3" t="s">
        <v>9</v>
      </c>
      <c r="F6621" s="4">
        <v>44.5</v>
      </c>
      <c r="G6621" s="4"/>
      <c r="H6621" s="4">
        <f t="shared" si="673"/>
        <v>44.5</v>
      </c>
    </row>
    <row r="6622" ht="14.25" spans="1:8">
      <c r="A6622" s="3" t="str">
        <f>"30902521303"</f>
        <v>30902521303</v>
      </c>
      <c r="B6622" s="3">
        <v>5</v>
      </c>
      <c r="C6622" s="3">
        <v>213</v>
      </c>
      <c r="D6622" s="3">
        <v>3</v>
      </c>
      <c r="E6622" s="3" t="s">
        <v>9</v>
      </c>
      <c r="F6622" s="4">
        <v>60</v>
      </c>
      <c r="G6622" s="4"/>
      <c r="H6622" s="4">
        <f t="shared" si="673"/>
        <v>60</v>
      </c>
    </row>
    <row r="6623" ht="14.25" spans="1:8">
      <c r="A6623" s="3" t="str">
        <f>"30902521304"</f>
        <v>30902521304</v>
      </c>
      <c r="B6623" s="3">
        <v>5</v>
      </c>
      <c r="C6623" s="3">
        <v>213</v>
      </c>
      <c r="D6623" s="3">
        <v>4</v>
      </c>
      <c r="E6623" s="3" t="s">
        <v>9</v>
      </c>
      <c r="F6623" s="3">
        <v>0</v>
      </c>
      <c r="G6623" s="4"/>
      <c r="H6623" s="3">
        <v>0</v>
      </c>
    </row>
    <row r="6624" ht="14.25" spans="1:8">
      <c r="A6624" s="3" t="str">
        <f>"30902521305"</f>
        <v>30902521305</v>
      </c>
      <c r="B6624" s="3">
        <v>5</v>
      </c>
      <c r="C6624" s="3">
        <v>213</v>
      </c>
      <c r="D6624" s="3">
        <v>5</v>
      </c>
      <c r="E6624" s="3" t="s">
        <v>9</v>
      </c>
      <c r="F6624" s="3">
        <v>0</v>
      </c>
      <c r="G6624" s="4"/>
      <c r="H6624" s="3">
        <v>0</v>
      </c>
    </row>
    <row r="6625" ht="14.25" spans="1:8">
      <c r="A6625" s="3" t="str">
        <f>"30902521306"</f>
        <v>30902521306</v>
      </c>
      <c r="B6625" s="3">
        <v>5</v>
      </c>
      <c r="C6625" s="3">
        <v>213</v>
      </c>
      <c r="D6625" s="3">
        <v>6</v>
      </c>
      <c r="E6625" s="3" t="s">
        <v>9</v>
      </c>
      <c r="F6625" s="4">
        <v>66</v>
      </c>
      <c r="G6625" s="4"/>
      <c r="H6625" s="4">
        <f t="shared" ref="H6625:H6630" si="674">F6625+G6625</f>
        <v>66</v>
      </c>
    </row>
    <row r="6626" ht="14.25" spans="1:8">
      <c r="A6626" s="3" t="str">
        <f>"30902521307"</f>
        <v>30902521307</v>
      </c>
      <c r="B6626" s="3">
        <v>5</v>
      </c>
      <c r="C6626" s="3">
        <v>213</v>
      </c>
      <c r="D6626" s="3">
        <v>7</v>
      </c>
      <c r="E6626" s="3" t="s">
        <v>9</v>
      </c>
      <c r="F6626" s="3">
        <v>0</v>
      </c>
      <c r="G6626" s="4"/>
      <c r="H6626" s="3">
        <v>0</v>
      </c>
    </row>
    <row r="6627" ht="14.25" spans="1:8">
      <c r="A6627" s="3" t="str">
        <f>"30902521308"</f>
        <v>30902521308</v>
      </c>
      <c r="B6627" s="3">
        <v>5</v>
      </c>
      <c r="C6627" s="3">
        <v>213</v>
      </c>
      <c r="D6627" s="3">
        <v>8</v>
      </c>
      <c r="E6627" s="3" t="s">
        <v>9</v>
      </c>
      <c r="F6627" s="4">
        <v>66.5</v>
      </c>
      <c r="G6627" s="4"/>
      <c r="H6627" s="4">
        <f t="shared" si="674"/>
        <v>66.5</v>
      </c>
    </row>
    <row r="6628" ht="14.25" spans="1:8">
      <c r="A6628" s="3" t="str">
        <f>"30902521309"</f>
        <v>30902521309</v>
      </c>
      <c r="B6628" s="3">
        <v>5</v>
      </c>
      <c r="C6628" s="3">
        <v>213</v>
      </c>
      <c r="D6628" s="3">
        <v>9</v>
      </c>
      <c r="E6628" s="3" t="s">
        <v>9</v>
      </c>
      <c r="F6628" s="4">
        <v>57.5</v>
      </c>
      <c r="G6628" s="4"/>
      <c r="H6628" s="4">
        <f t="shared" si="674"/>
        <v>57.5</v>
      </c>
    </row>
    <row r="6629" ht="14.25" spans="1:8">
      <c r="A6629" s="3" t="str">
        <f>"30902521310"</f>
        <v>30902521310</v>
      </c>
      <c r="B6629" s="3">
        <v>5</v>
      </c>
      <c r="C6629" s="3">
        <v>213</v>
      </c>
      <c r="D6629" s="3">
        <v>10</v>
      </c>
      <c r="E6629" s="3" t="s">
        <v>9</v>
      </c>
      <c r="F6629" s="4">
        <v>71</v>
      </c>
      <c r="G6629" s="4"/>
      <c r="H6629" s="4">
        <f t="shared" si="674"/>
        <v>71</v>
      </c>
    </row>
    <row r="6630" ht="14.25" spans="1:8">
      <c r="A6630" s="3" t="str">
        <f>"30902521311"</f>
        <v>30902521311</v>
      </c>
      <c r="B6630" s="3">
        <v>5</v>
      </c>
      <c r="C6630" s="3">
        <v>213</v>
      </c>
      <c r="D6630" s="3">
        <v>11</v>
      </c>
      <c r="E6630" s="3" t="s">
        <v>9</v>
      </c>
      <c r="F6630" s="4">
        <v>74</v>
      </c>
      <c r="G6630" s="4"/>
      <c r="H6630" s="4">
        <f t="shared" si="674"/>
        <v>74</v>
      </c>
    </row>
    <row r="6631" ht="14.25" spans="1:8">
      <c r="A6631" s="3" t="str">
        <f>"30902521312"</f>
        <v>30902521312</v>
      </c>
      <c r="B6631" s="3">
        <v>5</v>
      </c>
      <c r="C6631" s="3">
        <v>213</v>
      </c>
      <c r="D6631" s="3">
        <v>12</v>
      </c>
      <c r="E6631" s="3" t="s">
        <v>9</v>
      </c>
      <c r="F6631" s="3">
        <v>0</v>
      </c>
      <c r="G6631" s="4"/>
      <c r="H6631" s="3">
        <v>0</v>
      </c>
    </row>
    <row r="6632" ht="14.25" spans="1:8">
      <c r="A6632" s="3" t="str">
        <f>"30902521313"</f>
        <v>30902521313</v>
      </c>
      <c r="B6632" s="3">
        <v>5</v>
      </c>
      <c r="C6632" s="3">
        <v>213</v>
      </c>
      <c r="D6632" s="3">
        <v>13</v>
      </c>
      <c r="E6632" s="3" t="s">
        <v>9</v>
      </c>
      <c r="F6632" s="4">
        <v>72.5</v>
      </c>
      <c r="G6632" s="4"/>
      <c r="H6632" s="4">
        <f t="shared" ref="H6632:H6638" si="675">F6632+G6632</f>
        <v>72.5</v>
      </c>
    </row>
    <row r="6633" ht="14.25" spans="1:8">
      <c r="A6633" s="3" t="str">
        <f>"30902521314"</f>
        <v>30902521314</v>
      </c>
      <c r="B6633" s="3">
        <v>5</v>
      </c>
      <c r="C6633" s="3">
        <v>213</v>
      </c>
      <c r="D6633" s="3">
        <v>14</v>
      </c>
      <c r="E6633" s="3" t="s">
        <v>9</v>
      </c>
      <c r="F6633" s="4">
        <v>67</v>
      </c>
      <c r="G6633" s="4"/>
      <c r="H6633" s="4">
        <f t="shared" si="675"/>
        <v>67</v>
      </c>
    </row>
    <row r="6634" ht="14.25" spans="1:8">
      <c r="A6634" s="3" t="str">
        <f>"30902521315"</f>
        <v>30902521315</v>
      </c>
      <c r="B6634" s="3">
        <v>5</v>
      </c>
      <c r="C6634" s="3">
        <v>213</v>
      </c>
      <c r="D6634" s="3">
        <v>15</v>
      </c>
      <c r="E6634" s="3" t="s">
        <v>9</v>
      </c>
      <c r="F6634" s="4">
        <v>75.5</v>
      </c>
      <c r="G6634" s="4"/>
      <c r="H6634" s="4">
        <f t="shared" si="675"/>
        <v>75.5</v>
      </c>
    </row>
    <row r="6635" ht="14.25" spans="1:8">
      <c r="A6635" s="3" t="str">
        <f>"30902521316"</f>
        <v>30902521316</v>
      </c>
      <c r="B6635" s="3">
        <v>5</v>
      </c>
      <c r="C6635" s="3">
        <v>213</v>
      </c>
      <c r="D6635" s="3">
        <v>16</v>
      </c>
      <c r="E6635" s="3" t="s">
        <v>9</v>
      </c>
      <c r="F6635" s="4">
        <v>75</v>
      </c>
      <c r="G6635" s="4"/>
      <c r="H6635" s="4">
        <f t="shared" si="675"/>
        <v>75</v>
      </c>
    </row>
    <row r="6636" ht="14.25" spans="1:8">
      <c r="A6636" s="3" t="str">
        <f>"30902521317"</f>
        <v>30902521317</v>
      </c>
      <c r="B6636" s="3">
        <v>5</v>
      </c>
      <c r="C6636" s="3">
        <v>213</v>
      </c>
      <c r="D6636" s="3">
        <v>17</v>
      </c>
      <c r="E6636" s="3" t="s">
        <v>9</v>
      </c>
      <c r="F6636" s="4">
        <v>58.5</v>
      </c>
      <c r="G6636" s="4"/>
      <c r="H6636" s="4">
        <f t="shared" si="675"/>
        <v>58.5</v>
      </c>
    </row>
    <row r="6637" ht="14.25" spans="1:8">
      <c r="A6637" s="3" t="str">
        <f>"30902521318"</f>
        <v>30902521318</v>
      </c>
      <c r="B6637" s="3">
        <v>5</v>
      </c>
      <c r="C6637" s="3">
        <v>213</v>
      </c>
      <c r="D6637" s="3">
        <v>18</v>
      </c>
      <c r="E6637" s="3" t="s">
        <v>9</v>
      </c>
      <c r="F6637" s="4">
        <v>70</v>
      </c>
      <c r="G6637" s="4"/>
      <c r="H6637" s="4">
        <f t="shared" si="675"/>
        <v>70</v>
      </c>
    </row>
    <row r="6638" ht="14.25" spans="1:8">
      <c r="A6638" s="3" t="str">
        <f>"30902521319"</f>
        <v>30902521319</v>
      </c>
      <c r="B6638" s="3">
        <v>5</v>
      </c>
      <c r="C6638" s="3">
        <v>213</v>
      </c>
      <c r="D6638" s="3">
        <v>19</v>
      </c>
      <c r="E6638" s="3" t="s">
        <v>9</v>
      </c>
      <c r="F6638" s="4">
        <v>78</v>
      </c>
      <c r="G6638" s="4"/>
      <c r="H6638" s="4">
        <f t="shared" si="675"/>
        <v>78</v>
      </c>
    </row>
    <row r="6639" ht="14.25" spans="1:8">
      <c r="A6639" s="3" t="str">
        <f>"30902521320"</f>
        <v>30902521320</v>
      </c>
      <c r="B6639" s="3">
        <v>5</v>
      </c>
      <c r="C6639" s="3">
        <v>213</v>
      </c>
      <c r="D6639" s="3">
        <v>20</v>
      </c>
      <c r="E6639" s="3" t="s">
        <v>9</v>
      </c>
      <c r="F6639" s="3">
        <v>0</v>
      </c>
      <c r="G6639" s="4"/>
      <c r="H6639" s="3">
        <v>0</v>
      </c>
    </row>
    <row r="6640" ht="14.25" spans="1:8">
      <c r="A6640" s="3" t="str">
        <f>"30903521321"</f>
        <v>30903521321</v>
      </c>
      <c r="B6640" s="3">
        <v>5</v>
      </c>
      <c r="C6640" s="3">
        <v>213</v>
      </c>
      <c r="D6640" s="3">
        <v>21</v>
      </c>
      <c r="E6640" s="3" t="s">
        <v>9</v>
      </c>
      <c r="F6640" s="4">
        <v>76.5</v>
      </c>
      <c r="G6640" s="4"/>
      <c r="H6640" s="4">
        <f t="shared" ref="H6640:H6645" si="676">F6640+G6640</f>
        <v>76.5</v>
      </c>
    </row>
    <row r="6641" ht="14.25" spans="1:8">
      <c r="A6641" s="3" t="str">
        <f>"30903521322"</f>
        <v>30903521322</v>
      </c>
      <c r="B6641" s="3">
        <v>5</v>
      </c>
      <c r="C6641" s="3">
        <v>213</v>
      </c>
      <c r="D6641" s="3">
        <v>22</v>
      </c>
      <c r="E6641" s="3" t="s">
        <v>9</v>
      </c>
      <c r="F6641" s="4">
        <v>80.5</v>
      </c>
      <c r="G6641" s="4"/>
      <c r="H6641" s="4">
        <f t="shared" si="676"/>
        <v>80.5</v>
      </c>
    </row>
    <row r="6642" ht="14.25" spans="1:8">
      <c r="A6642" s="3" t="str">
        <f>"30903521323"</f>
        <v>30903521323</v>
      </c>
      <c r="B6642" s="3">
        <v>5</v>
      </c>
      <c r="C6642" s="3">
        <v>213</v>
      </c>
      <c r="D6642" s="3">
        <v>23</v>
      </c>
      <c r="E6642" s="3" t="s">
        <v>9</v>
      </c>
      <c r="F6642" s="3">
        <v>0</v>
      </c>
      <c r="G6642" s="4"/>
      <c r="H6642" s="3">
        <v>0</v>
      </c>
    </row>
    <row r="6643" ht="14.25" spans="1:8">
      <c r="A6643" s="3" t="str">
        <f>"30903521324"</f>
        <v>30903521324</v>
      </c>
      <c r="B6643" s="3">
        <v>5</v>
      </c>
      <c r="C6643" s="3">
        <v>213</v>
      </c>
      <c r="D6643" s="3">
        <v>24</v>
      </c>
      <c r="E6643" s="3" t="s">
        <v>9</v>
      </c>
      <c r="F6643" s="3">
        <v>0</v>
      </c>
      <c r="G6643" s="4"/>
      <c r="H6643" s="3">
        <v>0</v>
      </c>
    </row>
    <row r="6644" ht="14.25" spans="1:8">
      <c r="A6644" s="3" t="str">
        <f>"30903521325"</f>
        <v>30903521325</v>
      </c>
      <c r="B6644" s="3">
        <v>5</v>
      </c>
      <c r="C6644" s="3">
        <v>213</v>
      </c>
      <c r="D6644" s="3">
        <v>25</v>
      </c>
      <c r="E6644" s="3" t="s">
        <v>9</v>
      </c>
      <c r="F6644" s="3">
        <v>0</v>
      </c>
      <c r="G6644" s="4"/>
      <c r="H6644" s="3">
        <v>0</v>
      </c>
    </row>
    <row r="6645" ht="14.25" spans="1:8">
      <c r="A6645" s="3" t="str">
        <f>"30903521326"</f>
        <v>30903521326</v>
      </c>
      <c r="B6645" s="3">
        <v>5</v>
      </c>
      <c r="C6645" s="3">
        <v>213</v>
      </c>
      <c r="D6645" s="3">
        <v>26</v>
      </c>
      <c r="E6645" s="3" t="s">
        <v>9</v>
      </c>
      <c r="F6645" s="4">
        <v>85.5</v>
      </c>
      <c r="G6645" s="4"/>
      <c r="H6645" s="4">
        <f t="shared" si="676"/>
        <v>85.5</v>
      </c>
    </row>
    <row r="6646" ht="14.25" spans="1:8">
      <c r="A6646" s="3" t="str">
        <f>"30903521327"</f>
        <v>30903521327</v>
      </c>
      <c r="B6646" s="3">
        <v>5</v>
      </c>
      <c r="C6646" s="3">
        <v>213</v>
      </c>
      <c r="D6646" s="3">
        <v>27</v>
      </c>
      <c r="E6646" s="3" t="s">
        <v>9</v>
      </c>
      <c r="F6646" s="3">
        <v>0</v>
      </c>
      <c r="G6646" s="4"/>
      <c r="H6646" s="3">
        <v>0</v>
      </c>
    </row>
    <row r="6647" ht="14.25" spans="1:8">
      <c r="A6647" s="3" t="str">
        <f>"30903521328"</f>
        <v>30903521328</v>
      </c>
      <c r="B6647" s="3">
        <v>5</v>
      </c>
      <c r="C6647" s="3">
        <v>213</v>
      </c>
      <c r="D6647" s="3">
        <v>28</v>
      </c>
      <c r="E6647" s="3" t="s">
        <v>9</v>
      </c>
      <c r="F6647" s="4">
        <v>75</v>
      </c>
      <c r="G6647" s="4"/>
      <c r="H6647" s="4">
        <f t="shared" ref="H6647:H6652" si="677">F6647+G6647</f>
        <v>75</v>
      </c>
    </row>
    <row r="6648" ht="14.25" spans="1:8">
      <c r="A6648" s="3" t="str">
        <f>"30903521329"</f>
        <v>30903521329</v>
      </c>
      <c r="B6648" s="3">
        <v>5</v>
      </c>
      <c r="C6648" s="3">
        <v>213</v>
      </c>
      <c r="D6648" s="3">
        <v>29</v>
      </c>
      <c r="E6648" s="3" t="s">
        <v>9</v>
      </c>
      <c r="F6648" s="4">
        <v>58.5</v>
      </c>
      <c r="G6648" s="4"/>
      <c r="H6648" s="4">
        <f t="shared" si="677"/>
        <v>58.5</v>
      </c>
    </row>
    <row r="6649" ht="14.25" spans="1:8">
      <c r="A6649" s="3" t="str">
        <f>"30903521330"</f>
        <v>30903521330</v>
      </c>
      <c r="B6649" s="3">
        <v>5</v>
      </c>
      <c r="C6649" s="3">
        <v>213</v>
      </c>
      <c r="D6649" s="3">
        <v>30</v>
      </c>
      <c r="E6649" s="3" t="s">
        <v>9</v>
      </c>
      <c r="F6649" s="4">
        <v>79</v>
      </c>
      <c r="G6649" s="4"/>
      <c r="H6649" s="4">
        <f t="shared" si="677"/>
        <v>79</v>
      </c>
    </row>
    <row r="6650" ht="14.25" spans="1:8">
      <c r="A6650" s="3" t="str">
        <f>"30903521401"</f>
        <v>30903521401</v>
      </c>
      <c r="B6650" s="3">
        <v>5</v>
      </c>
      <c r="C6650" s="3">
        <v>214</v>
      </c>
      <c r="D6650" s="3">
        <v>1</v>
      </c>
      <c r="E6650" s="3" t="s">
        <v>9</v>
      </c>
      <c r="F6650" s="4">
        <v>59</v>
      </c>
      <c r="G6650" s="4"/>
      <c r="H6650" s="4">
        <f t="shared" si="677"/>
        <v>59</v>
      </c>
    </row>
    <row r="6651" ht="14.25" spans="1:8">
      <c r="A6651" s="3" t="str">
        <f>"30903521402"</f>
        <v>30903521402</v>
      </c>
      <c r="B6651" s="3">
        <v>5</v>
      </c>
      <c r="C6651" s="3">
        <v>214</v>
      </c>
      <c r="D6651" s="3">
        <v>2</v>
      </c>
      <c r="E6651" s="3" t="s">
        <v>9</v>
      </c>
      <c r="F6651" s="4">
        <v>69</v>
      </c>
      <c r="G6651" s="4"/>
      <c r="H6651" s="4">
        <f t="shared" si="677"/>
        <v>69</v>
      </c>
    </row>
    <row r="6652" ht="14.25" spans="1:8">
      <c r="A6652" s="3" t="str">
        <f>"30903521403"</f>
        <v>30903521403</v>
      </c>
      <c r="B6652" s="3">
        <v>5</v>
      </c>
      <c r="C6652" s="3">
        <v>214</v>
      </c>
      <c r="D6652" s="3">
        <v>3</v>
      </c>
      <c r="E6652" s="3" t="s">
        <v>9</v>
      </c>
      <c r="F6652" s="4">
        <v>68.5</v>
      </c>
      <c r="G6652" s="4"/>
      <c r="H6652" s="4">
        <f t="shared" si="677"/>
        <v>68.5</v>
      </c>
    </row>
    <row r="6653" ht="14.25" spans="1:8">
      <c r="A6653" s="3" t="str">
        <f>"30903521404"</f>
        <v>30903521404</v>
      </c>
      <c r="B6653" s="3">
        <v>5</v>
      </c>
      <c r="C6653" s="3">
        <v>214</v>
      </c>
      <c r="D6653" s="3">
        <v>4</v>
      </c>
      <c r="E6653" s="3" t="s">
        <v>9</v>
      </c>
      <c r="F6653" s="3">
        <v>0</v>
      </c>
      <c r="G6653" s="4"/>
      <c r="H6653" s="3">
        <v>0</v>
      </c>
    </row>
    <row r="6654" ht="14.25" spans="1:8">
      <c r="A6654" s="3" t="str">
        <f>"30903521405"</f>
        <v>30903521405</v>
      </c>
      <c r="B6654" s="3">
        <v>5</v>
      </c>
      <c r="C6654" s="3">
        <v>214</v>
      </c>
      <c r="D6654" s="3">
        <v>5</v>
      </c>
      <c r="E6654" s="3" t="s">
        <v>9</v>
      </c>
      <c r="F6654" s="4">
        <v>76.5</v>
      </c>
      <c r="G6654" s="4"/>
      <c r="H6654" s="4">
        <f t="shared" ref="H6654:H6657" si="678">F6654+G6654</f>
        <v>76.5</v>
      </c>
    </row>
    <row r="6655" ht="14.25" spans="1:8">
      <c r="A6655" s="3" t="str">
        <f>"30903521406"</f>
        <v>30903521406</v>
      </c>
      <c r="B6655" s="3">
        <v>5</v>
      </c>
      <c r="C6655" s="3">
        <v>214</v>
      </c>
      <c r="D6655" s="3">
        <v>6</v>
      </c>
      <c r="E6655" s="3" t="s">
        <v>9</v>
      </c>
      <c r="F6655" s="4">
        <v>61.5</v>
      </c>
      <c r="G6655" s="4"/>
      <c r="H6655" s="4">
        <f t="shared" si="678"/>
        <v>61.5</v>
      </c>
    </row>
    <row r="6656" ht="14.25" spans="1:8">
      <c r="A6656" s="3" t="str">
        <f>"30903521407"</f>
        <v>30903521407</v>
      </c>
      <c r="B6656" s="3">
        <v>5</v>
      </c>
      <c r="C6656" s="3">
        <v>214</v>
      </c>
      <c r="D6656" s="3">
        <v>7</v>
      </c>
      <c r="E6656" s="3" t="s">
        <v>9</v>
      </c>
      <c r="F6656" s="4">
        <v>84</v>
      </c>
      <c r="G6656" s="4"/>
      <c r="H6656" s="4">
        <f t="shared" si="678"/>
        <v>84</v>
      </c>
    </row>
    <row r="6657" ht="14.25" spans="1:8">
      <c r="A6657" s="3" t="str">
        <f>"30903521408"</f>
        <v>30903521408</v>
      </c>
      <c r="B6657" s="3">
        <v>5</v>
      </c>
      <c r="C6657" s="3">
        <v>214</v>
      </c>
      <c r="D6657" s="3">
        <v>8</v>
      </c>
      <c r="E6657" s="3" t="s">
        <v>9</v>
      </c>
      <c r="F6657" s="4">
        <v>78</v>
      </c>
      <c r="G6657" s="4"/>
      <c r="H6657" s="4">
        <f t="shared" si="678"/>
        <v>78</v>
      </c>
    </row>
    <row r="6658" ht="14.25" spans="1:8">
      <c r="A6658" s="3" t="str">
        <f>"30903521409"</f>
        <v>30903521409</v>
      </c>
      <c r="B6658" s="3">
        <v>5</v>
      </c>
      <c r="C6658" s="3">
        <v>214</v>
      </c>
      <c r="D6658" s="3">
        <v>9</v>
      </c>
      <c r="E6658" s="3" t="s">
        <v>9</v>
      </c>
      <c r="F6658" s="3">
        <v>0</v>
      </c>
      <c r="G6658" s="4"/>
      <c r="H6658" s="3">
        <v>0</v>
      </c>
    </row>
    <row r="6659" ht="14.25" spans="1:8">
      <c r="A6659" s="3" t="str">
        <f>"30903521410"</f>
        <v>30903521410</v>
      </c>
      <c r="B6659" s="3">
        <v>5</v>
      </c>
      <c r="C6659" s="3">
        <v>214</v>
      </c>
      <c r="D6659" s="3">
        <v>10</v>
      </c>
      <c r="E6659" s="3" t="s">
        <v>9</v>
      </c>
      <c r="F6659" s="4">
        <v>59</v>
      </c>
      <c r="G6659" s="4"/>
      <c r="H6659" s="4">
        <f t="shared" ref="H6659:H6664" si="679">F6659+G6659</f>
        <v>59</v>
      </c>
    </row>
    <row r="6660" ht="14.25" spans="1:8">
      <c r="A6660" s="3" t="str">
        <f>"30903521411"</f>
        <v>30903521411</v>
      </c>
      <c r="B6660" s="3">
        <v>5</v>
      </c>
      <c r="C6660" s="3">
        <v>214</v>
      </c>
      <c r="D6660" s="3">
        <v>11</v>
      </c>
      <c r="E6660" s="3" t="s">
        <v>9</v>
      </c>
      <c r="F6660" s="3">
        <v>0</v>
      </c>
      <c r="G6660" s="4"/>
      <c r="H6660" s="3">
        <v>0</v>
      </c>
    </row>
    <row r="6661" ht="14.25" spans="1:8">
      <c r="A6661" s="3" t="str">
        <f>"30903521412"</f>
        <v>30903521412</v>
      </c>
      <c r="B6661" s="3">
        <v>5</v>
      </c>
      <c r="C6661" s="3">
        <v>214</v>
      </c>
      <c r="D6661" s="3">
        <v>12</v>
      </c>
      <c r="E6661" s="3" t="s">
        <v>9</v>
      </c>
      <c r="F6661" s="4">
        <v>65.5</v>
      </c>
      <c r="G6661" s="4"/>
      <c r="H6661" s="4">
        <f t="shared" si="679"/>
        <v>65.5</v>
      </c>
    </row>
    <row r="6662" ht="14.25" spans="1:8">
      <c r="A6662" s="3" t="str">
        <f>"30903521413"</f>
        <v>30903521413</v>
      </c>
      <c r="B6662" s="3">
        <v>5</v>
      </c>
      <c r="C6662" s="3">
        <v>214</v>
      </c>
      <c r="D6662" s="3">
        <v>13</v>
      </c>
      <c r="E6662" s="3" t="s">
        <v>9</v>
      </c>
      <c r="F6662" s="4">
        <v>84.5</v>
      </c>
      <c r="G6662" s="4"/>
      <c r="H6662" s="4">
        <f t="shared" si="679"/>
        <v>84.5</v>
      </c>
    </row>
    <row r="6663" ht="14.25" spans="1:8">
      <c r="A6663" s="3" t="str">
        <f>"30903521414"</f>
        <v>30903521414</v>
      </c>
      <c r="B6663" s="3">
        <v>5</v>
      </c>
      <c r="C6663" s="3">
        <v>214</v>
      </c>
      <c r="D6663" s="3">
        <v>14</v>
      </c>
      <c r="E6663" s="3" t="s">
        <v>9</v>
      </c>
      <c r="F6663" s="4">
        <v>83</v>
      </c>
      <c r="G6663" s="4"/>
      <c r="H6663" s="4">
        <f t="shared" si="679"/>
        <v>83</v>
      </c>
    </row>
    <row r="6664" ht="14.25" spans="1:8">
      <c r="A6664" s="3" t="str">
        <f>"30903521415"</f>
        <v>30903521415</v>
      </c>
      <c r="B6664" s="3">
        <v>5</v>
      </c>
      <c r="C6664" s="3">
        <v>214</v>
      </c>
      <c r="D6664" s="3">
        <v>15</v>
      </c>
      <c r="E6664" s="3" t="s">
        <v>9</v>
      </c>
      <c r="F6664" s="4">
        <v>80</v>
      </c>
      <c r="G6664" s="4"/>
      <c r="H6664" s="4">
        <f t="shared" si="679"/>
        <v>80</v>
      </c>
    </row>
    <row r="6665" ht="14.25" spans="1:8">
      <c r="A6665" s="3" t="str">
        <f>"30903521416"</f>
        <v>30903521416</v>
      </c>
      <c r="B6665" s="3">
        <v>5</v>
      </c>
      <c r="C6665" s="3">
        <v>214</v>
      </c>
      <c r="D6665" s="3">
        <v>16</v>
      </c>
      <c r="E6665" s="3" t="s">
        <v>9</v>
      </c>
      <c r="F6665" s="3">
        <v>0</v>
      </c>
      <c r="G6665" s="4"/>
      <c r="H6665" s="3">
        <v>0</v>
      </c>
    </row>
    <row r="6666" ht="14.25" spans="1:8">
      <c r="A6666" s="3" t="str">
        <f>"30903521417"</f>
        <v>30903521417</v>
      </c>
      <c r="B6666" s="3">
        <v>5</v>
      </c>
      <c r="C6666" s="3">
        <v>214</v>
      </c>
      <c r="D6666" s="3">
        <v>17</v>
      </c>
      <c r="E6666" s="3" t="s">
        <v>9</v>
      </c>
      <c r="F6666" s="3">
        <v>0</v>
      </c>
      <c r="G6666" s="4"/>
      <c r="H6666" s="3">
        <v>0</v>
      </c>
    </row>
    <row r="6667" ht="14.25" spans="1:8">
      <c r="A6667" s="3" t="str">
        <f>"30903521418"</f>
        <v>30903521418</v>
      </c>
      <c r="B6667" s="3">
        <v>5</v>
      </c>
      <c r="C6667" s="3">
        <v>214</v>
      </c>
      <c r="D6667" s="3">
        <v>18</v>
      </c>
      <c r="E6667" s="3" t="s">
        <v>9</v>
      </c>
      <c r="F6667" s="4">
        <v>69</v>
      </c>
      <c r="G6667" s="4"/>
      <c r="H6667" s="4">
        <f t="shared" ref="H6667:H6671" si="680">F6667+G6667</f>
        <v>69</v>
      </c>
    </row>
    <row r="6668" ht="14.25" spans="1:8">
      <c r="A6668" s="3" t="str">
        <f>"30903521419"</f>
        <v>30903521419</v>
      </c>
      <c r="B6668" s="3">
        <v>5</v>
      </c>
      <c r="C6668" s="3">
        <v>214</v>
      </c>
      <c r="D6668" s="3">
        <v>19</v>
      </c>
      <c r="E6668" s="3" t="s">
        <v>9</v>
      </c>
      <c r="F6668" s="4">
        <v>81.5</v>
      </c>
      <c r="G6668" s="4"/>
      <c r="H6668" s="4">
        <f t="shared" si="680"/>
        <v>81.5</v>
      </c>
    </row>
    <row r="6669" ht="14.25" spans="1:8">
      <c r="A6669" s="3" t="str">
        <f>"30903521420"</f>
        <v>30903521420</v>
      </c>
      <c r="B6669" s="3">
        <v>5</v>
      </c>
      <c r="C6669" s="3">
        <v>214</v>
      </c>
      <c r="D6669" s="3">
        <v>20</v>
      </c>
      <c r="E6669" s="3" t="s">
        <v>9</v>
      </c>
      <c r="F6669" s="3">
        <v>0</v>
      </c>
      <c r="G6669" s="4"/>
      <c r="H6669" s="3">
        <v>0</v>
      </c>
    </row>
    <row r="6670" ht="14.25" spans="1:8">
      <c r="A6670" s="3" t="str">
        <f>"30903521421"</f>
        <v>30903521421</v>
      </c>
      <c r="B6670" s="3">
        <v>5</v>
      </c>
      <c r="C6670" s="3">
        <v>214</v>
      </c>
      <c r="D6670" s="3">
        <v>21</v>
      </c>
      <c r="E6670" s="3" t="s">
        <v>9</v>
      </c>
      <c r="F6670" s="4">
        <v>56</v>
      </c>
      <c r="G6670" s="4"/>
      <c r="H6670" s="4">
        <f t="shared" si="680"/>
        <v>56</v>
      </c>
    </row>
    <row r="6671" ht="14.25" spans="1:8">
      <c r="A6671" s="3" t="str">
        <f>"30903521422"</f>
        <v>30903521422</v>
      </c>
      <c r="B6671" s="3">
        <v>5</v>
      </c>
      <c r="C6671" s="3">
        <v>214</v>
      </c>
      <c r="D6671" s="3">
        <v>22</v>
      </c>
      <c r="E6671" s="3" t="s">
        <v>9</v>
      </c>
      <c r="F6671" s="4">
        <v>57.5</v>
      </c>
      <c r="G6671" s="4"/>
      <c r="H6671" s="4">
        <f t="shared" si="680"/>
        <v>57.5</v>
      </c>
    </row>
    <row r="6672" ht="14.25" spans="1:8">
      <c r="A6672" s="3" t="str">
        <f>"30903521423"</f>
        <v>30903521423</v>
      </c>
      <c r="B6672" s="3">
        <v>5</v>
      </c>
      <c r="C6672" s="3">
        <v>214</v>
      </c>
      <c r="D6672" s="3">
        <v>23</v>
      </c>
      <c r="E6672" s="3" t="s">
        <v>9</v>
      </c>
      <c r="F6672" s="3">
        <v>0</v>
      </c>
      <c r="G6672" s="4"/>
      <c r="H6672" s="3">
        <v>0</v>
      </c>
    </row>
    <row r="6673" ht="14.25" spans="1:8">
      <c r="A6673" s="3" t="str">
        <f>"30903521424"</f>
        <v>30903521424</v>
      </c>
      <c r="B6673" s="3">
        <v>5</v>
      </c>
      <c r="C6673" s="3">
        <v>214</v>
      </c>
      <c r="D6673" s="3">
        <v>24</v>
      </c>
      <c r="E6673" s="3" t="s">
        <v>9</v>
      </c>
      <c r="F6673" s="4">
        <v>66</v>
      </c>
      <c r="G6673" s="4"/>
      <c r="H6673" s="4">
        <f t="shared" ref="H6673:H6679" si="681">F6673+G6673</f>
        <v>66</v>
      </c>
    </row>
    <row r="6674" ht="14.25" spans="1:8">
      <c r="A6674" s="3" t="str">
        <f>"30903521425"</f>
        <v>30903521425</v>
      </c>
      <c r="B6674" s="3">
        <v>5</v>
      </c>
      <c r="C6674" s="3">
        <v>214</v>
      </c>
      <c r="D6674" s="3">
        <v>25</v>
      </c>
      <c r="E6674" s="3" t="s">
        <v>9</v>
      </c>
      <c r="F6674" s="4">
        <v>83</v>
      </c>
      <c r="G6674" s="4"/>
      <c r="H6674" s="4">
        <f t="shared" si="681"/>
        <v>83</v>
      </c>
    </row>
    <row r="6675" ht="14.25" spans="1:8">
      <c r="A6675" s="3" t="str">
        <f>"30903521426"</f>
        <v>30903521426</v>
      </c>
      <c r="B6675" s="3">
        <v>5</v>
      </c>
      <c r="C6675" s="3">
        <v>214</v>
      </c>
      <c r="D6675" s="3">
        <v>26</v>
      </c>
      <c r="E6675" s="3" t="s">
        <v>9</v>
      </c>
      <c r="F6675" s="4">
        <v>85</v>
      </c>
      <c r="G6675" s="4"/>
      <c r="H6675" s="4">
        <f t="shared" si="681"/>
        <v>85</v>
      </c>
    </row>
    <row r="6676" ht="14.25" spans="1:8">
      <c r="A6676" s="3" t="str">
        <f>"30903521427"</f>
        <v>30903521427</v>
      </c>
      <c r="B6676" s="3">
        <v>5</v>
      </c>
      <c r="C6676" s="3">
        <v>214</v>
      </c>
      <c r="D6676" s="3">
        <v>27</v>
      </c>
      <c r="E6676" s="3" t="s">
        <v>9</v>
      </c>
      <c r="F6676" s="4">
        <v>68</v>
      </c>
      <c r="G6676" s="4"/>
      <c r="H6676" s="4">
        <f t="shared" si="681"/>
        <v>68</v>
      </c>
    </row>
    <row r="6677" ht="14.25" spans="1:8">
      <c r="A6677" s="3" t="str">
        <f>"30904521428"</f>
        <v>30904521428</v>
      </c>
      <c r="B6677" s="3">
        <v>5</v>
      </c>
      <c r="C6677" s="3">
        <v>214</v>
      </c>
      <c r="D6677" s="3">
        <v>28</v>
      </c>
      <c r="E6677" s="3" t="s">
        <v>9</v>
      </c>
      <c r="F6677" s="4">
        <v>67.5</v>
      </c>
      <c r="G6677" s="4"/>
      <c r="H6677" s="4">
        <f t="shared" si="681"/>
        <v>67.5</v>
      </c>
    </row>
    <row r="6678" ht="14.25" spans="1:8">
      <c r="A6678" s="3" t="str">
        <f>"30904521429"</f>
        <v>30904521429</v>
      </c>
      <c r="B6678" s="3">
        <v>5</v>
      </c>
      <c r="C6678" s="3">
        <v>214</v>
      </c>
      <c r="D6678" s="3">
        <v>29</v>
      </c>
      <c r="E6678" s="3" t="s">
        <v>9</v>
      </c>
      <c r="F6678" s="4">
        <v>73.5</v>
      </c>
      <c r="G6678" s="4"/>
      <c r="H6678" s="4">
        <f t="shared" si="681"/>
        <v>73.5</v>
      </c>
    </row>
    <row r="6679" ht="14.25" spans="1:8">
      <c r="A6679" s="3" t="str">
        <f>"30904521430"</f>
        <v>30904521430</v>
      </c>
      <c r="B6679" s="3">
        <v>5</v>
      </c>
      <c r="C6679" s="3">
        <v>214</v>
      </c>
      <c r="D6679" s="3">
        <v>30</v>
      </c>
      <c r="E6679" s="3" t="s">
        <v>9</v>
      </c>
      <c r="F6679" s="4">
        <v>57</v>
      </c>
      <c r="G6679" s="4"/>
      <c r="H6679" s="4">
        <f t="shared" si="681"/>
        <v>57</v>
      </c>
    </row>
    <row r="6680" ht="14.25" spans="1:8">
      <c r="A6680" s="3" t="str">
        <f>"30904521501"</f>
        <v>30904521501</v>
      </c>
      <c r="B6680" s="3">
        <v>5</v>
      </c>
      <c r="C6680" s="3">
        <v>215</v>
      </c>
      <c r="D6680" s="3">
        <v>1</v>
      </c>
      <c r="E6680" s="3" t="s">
        <v>9</v>
      </c>
      <c r="F6680" s="3">
        <v>0</v>
      </c>
      <c r="G6680" s="4"/>
      <c r="H6680" s="3">
        <v>0</v>
      </c>
    </row>
    <row r="6681" ht="14.25" spans="1:8">
      <c r="A6681" s="3" t="str">
        <f>"30904521502"</f>
        <v>30904521502</v>
      </c>
      <c r="B6681" s="3">
        <v>5</v>
      </c>
      <c r="C6681" s="3">
        <v>215</v>
      </c>
      <c r="D6681" s="3">
        <v>2</v>
      </c>
      <c r="E6681" s="3" t="s">
        <v>9</v>
      </c>
      <c r="F6681" s="4">
        <v>61</v>
      </c>
      <c r="G6681" s="4"/>
      <c r="H6681" s="4">
        <f t="shared" ref="H6681:H6684" si="682">F6681+G6681</f>
        <v>61</v>
      </c>
    </row>
    <row r="6682" ht="14.25" spans="1:8">
      <c r="A6682" s="3" t="str">
        <f>"30904521503"</f>
        <v>30904521503</v>
      </c>
      <c r="B6682" s="3">
        <v>5</v>
      </c>
      <c r="C6682" s="3">
        <v>215</v>
      </c>
      <c r="D6682" s="3">
        <v>3</v>
      </c>
      <c r="E6682" s="3" t="s">
        <v>9</v>
      </c>
      <c r="F6682" s="3">
        <v>0</v>
      </c>
      <c r="G6682" s="4"/>
      <c r="H6682" s="3">
        <v>0</v>
      </c>
    </row>
    <row r="6683" ht="14.25" spans="1:8">
      <c r="A6683" s="3" t="str">
        <f>"30904521504"</f>
        <v>30904521504</v>
      </c>
      <c r="B6683" s="3">
        <v>5</v>
      </c>
      <c r="C6683" s="3">
        <v>215</v>
      </c>
      <c r="D6683" s="3">
        <v>4</v>
      </c>
      <c r="E6683" s="3" t="s">
        <v>9</v>
      </c>
      <c r="F6683" s="4">
        <v>87</v>
      </c>
      <c r="G6683" s="4"/>
      <c r="H6683" s="4">
        <f t="shared" si="682"/>
        <v>87</v>
      </c>
    </row>
    <row r="6684" ht="14.25" spans="1:8">
      <c r="A6684" s="3" t="str">
        <f>"30904521505"</f>
        <v>30904521505</v>
      </c>
      <c r="B6684" s="3">
        <v>5</v>
      </c>
      <c r="C6684" s="3">
        <v>215</v>
      </c>
      <c r="D6684" s="3">
        <v>5</v>
      </c>
      <c r="E6684" s="3" t="s">
        <v>9</v>
      </c>
      <c r="F6684" s="4">
        <v>62.5</v>
      </c>
      <c r="G6684" s="4"/>
      <c r="H6684" s="4">
        <f t="shared" si="682"/>
        <v>62.5</v>
      </c>
    </row>
    <row r="6685" ht="14.25" spans="1:8">
      <c r="A6685" s="3" t="str">
        <f>"30904521506"</f>
        <v>30904521506</v>
      </c>
      <c r="B6685" s="3">
        <v>5</v>
      </c>
      <c r="C6685" s="3">
        <v>215</v>
      </c>
      <c r="D6685" s="3">
        <v>6</v>
      </c>
      <c r="E6685" s="3" t="s">
        <v>9</v>
      </c>
      <c r="F6685" s="3">
        <v>0</v>
      </c>
      <c r="G6685" s="4"/>
      <c r="H6685" s="3">
        <v>0</v>
      </c>
    </row>
    <row r="6686" ht="14.25" spans="1:8">
      <c r="A6686" s="3" t="str">
        <f>"30905521507"</f>
        <v>30905521507</v>
      </c>
      <c r="B6686" s="3">
        <v>5</v>
      </c>
      <c r="C6686" s="3">
        <v>215</v>
      </c>
      <c r="D6686" s="3">
        <v>7</v>
      </c>
      <c r="E6686" s="3" t="s">
        <v>9</v>
      </c>
      <c r="F6686" s="4">
        <v>79</v>
      </c>
      <c r="G6686" s="4"/>
      <c r="H6686" s="4">
        <f t="shared" ref="H6686:H6688" si="683">F6686+G6686</f>
        <v>79</v>
      </c>
    </row>
    <row r="6687" ht="14.25" spans="1:8">
      <c r="A6687" s="3" t="str">
        <f>"30905521508"</f>
        <v>30905521508</v>
      </c>
      <c r="B6687" s="3">
        <v>5</v>
      </c>
      <c r="C6687" s="3">
        <v>215</v>
      </c>
      <c r="D6687" s="3">
        <v>8</v>
      </c>
      <c r="E6687" s="3" t="s">
        <v>9</v>
      </c>
      <c r="F6687" s="4">
        <v>83</v>
      </c>
      <c r="G6687" s="4"/>
      <c r="H6687" s="4">
        <f t="shared" si="683"/>
        <v>83</v>
      </c>
    </row>
    <row r="6688" ht="14.25" spans="1:8">
      <c r="A6688" s="3" t="str">
        <f>"30905521509"</f>
        <v>30905521509</v>
      </c>
      <c r="B6688" s="3">
        <v>5</v>
      </c>
      <c r="C6688" s="3">
        <v>215</v>
      </c>
      <c r="D6688" s="3">
        <v>9</v>
      </c>
      <c r="E6688" s="3" t="s">
        <v>9</v>
      </c>
      <c r="F6688" s="4">
        <v>62</v>
      </c>
      <c r="G6688" s="4"/>
      <c r="H6688" s="4">
        <f t="shared" si="683"/>
        <v>62</v>
      </c>
    </row>
    <row r="6689" ht="14.25" spans="1:8">
      <c r="A6689" s="3" t="str">
        <f>"30905521510"</f>
        <v>30905521510</v>
      </c>
      <c r="B6689" s="3">
        <v>5</v>
      </c>
      <c r="C6689" s="3">
        <v>215</v>
      </c>
      <c r="D6689" s="3">
        <v>10</v>
      </c>
      <c r="E6689" s="3" t="s">
        <v>9</v>
      </c>
      <c r="F6689" s="3">
        <v>0</v>
      </c>
      <c r="G6689" s="4"/>
      <c r="H6689" s="3">
        <v>0</v>
      </c>
    </row>
    <row r="6690" ht="14.25" spans="1:8">
      <c r="A6690" s="3" t="str">
        <f>"30905521511"</f>
        <v>30905521511</v>
      </c>
      <c r="B6690" s="3">
        <v>5</v>
      </c>
      <c r="C6690" s="3">
        <v>215</v>
      </c>
      <c r="D6690" s="3">
        <v>11</v>
      </c>
      <c r="E6690" s="3" t="s">
        <v>9</v>
      </c>
      <c r="F6690" s="4">
        <v>48</v>
      </c>
      <c r="G6690" s="4"/>
      <c r="H6690" s="4">
        <f t="shared" ref="H6690:H6694" si="684">F6690+G6690</f>
        <v>48</v>
      </c>
    </row>
    <row r="6691" ht="14.25" spans="1:8">
      <c r="A6691" s="3" t="str">
        <f>"30905521512"</f>
        <v>30905521512</v>
      </c>
      <c r="B6691" s="3">
        <v>5</v>
      </c>
      <c r="C6691" s="3">
        <v>215</v>
      </c>
      <c r="D6691" s="3">
        <v>12</v>
      </c>
      <c r="E6691" s="3" t="s">
        <v>9</v>
      </c>
      <c r="F6691" s="4">
        <v>74</v>
      </c>
      <c r="G6691" s="4"/>
      <c r="H6691" s="4">
        <f t="shared" si="684"/>
        <v>74</v>
      </c>
    </row>
    <row r="6692" ht="14.25" spans="1:8">
      <c r="A6692" s="3" t="str">
        <f>"30905521513"</f>
        <v>30905521513</v>
      </c>
      <c r="B6692" s="3">
        <v>5</v>
      </c>
      <c r="C6692" s="3">
        <v>215</v>
      </c>
      <c r="D6692" s="3">
        <v>13</v>
      </c>
      <c r="E6692" s="3" t="s">
        <v>9</v>
      </c>
      <c r="F6692" s="4">
        <v>79.5</v>
      </c>
      <c r="G6692" s="4"/>
      <c r="H6692" s="4">
        <f t="shared" si="684"/>
        <v>79.5</v>
      </c>
    </row>
    <row r="6693" ht="14.25" spans="1:8">
      <c r="A6693" s="3" t="str">
        <f>"30905521514"</f>
        <v>30905521514</v>
      </c>
      <c r="B6693" s="3">
        <v>5</v>
      </c>
      <c r="C6693" s="3">
        <v>215</v>
      </c>
      <c r="D6693" s="3">
        <v>14</v>
      </c>
      <c r="E6693" s="3" t="s">
        <v>9</v>
      </c>
      <c r="F6693" s="4">
        <v>48.5</v>
      </c>
      <c r="G6693" s="4"/>
      <c r="H6693" s="4">
        <f t="shared" si="684"/>
        <v>48.5</v>
      </c>
    </row>
    <row r="6694" ht="14.25" spans="1:8">
      <c r="A6694" s="3" t="str">
        <f>"30905521515"</f>
        <v>30905521515</v>
      </c>
      <c r="B6694" s="3">
        <v>5</v>
      </c>
      <c r="C6694" s="3">
        <v>215</v>
      </c>
      <c r="D6694" s="3">
        <v>15</v>
      </c>
      <c r="E6694" s="3" t="s">
        <v>9</v>
      </c>
      <c r="F6694" s="4">
        <v>64.5</v>
      </c>
      <c r="G6694" s="4"/>
      <c r="H6694" s="4">
        <f t="shared" si="684"/>
        <v>64.5</v>
      </c>
    </row>
    <row r="6695" ht="14.25" spans="1:8">
      <c r="A6695" s="3" t="str">
        <f>"30905521516"</f>
        <v>30905521516</v>
      </c>
      <c r="B6695" s="3">
        <v>5</v>
      </c>
      <c r="C6695" s="3">
        <v>215</v>
      </c>
      <c r="D6695" s="3">
        <v>16</v>
      </c>
      <c r="E6695" s="3" t="s">
        <v>9</v>
      </c>
      <c r="F6695" s="3">
        <v>0</v>
      </c>
      <c r="G6695" s="4"/>
      <c r="H6695" s="3">
        <v>0</v>
      </c>
    </row>
    <row r="6696" ht="14.25" spans="1:8">
      <c r="A6696" s="3" t="str">
        <f>"30905521517"</f>
        <v>30905521517</v>
      </c>
      <c r="B6696" s="3">
        <v>5</v>
      </c>
      <c r="C6696" s="3">
        <v>215</v>
      </c>
      <c r="D6696" s="3">
        <v>17</v>
      </c>
      <c r="E6696" s="3" t="s">
        <v>9</v>
      </c>
      <c r="F6696" s="4">
        <v>77.5</v>
      </c>
      <c r="G6696" s="4"/>
      <c r="H6696" s="4">
        <f t="shared" ref="H6696:H6702" si="685">F6696+G6696</f>
        <v>77.5</v>
      </c>
    </row>
    <row r="6697" ht="14.25" spans="1:8">
      <c r="A6697" s="3" t="str">
        <f>"30905521518"</f>
        <v>30905521518</v>
      </c>
      <c r="B6697" s="3">
        <v>5</v>
      </c>
      <c r="C6697" s="3">
        <v>215</v>
      </c>
      <c r="D6697" s="3">
        <v>18</v>
      </c>
      <c r="E6697" s="3" t="s">
        <v>9</v>
      </c>
      <c r="F6697" s="3">
        <v>0</v>
      </c>
      <c r="G6697" s="4"/>
      <c r="H6697" s="3">
        <v>0</v>
      </c>
    </row>
    <row r="6698" ht="14.25" spans="1:8">
      <c r="A6698" s="3" t="str">
        <f>"30905521519"</f>
        <v>30905521519</v>
      </c>
      <c r="B6698" s="3">
        <v>5</v>
      </c>
      <c r="C6698" s="3">
        <v>215</v>
      </c>
      <c r="D6698" s="3">
        <v>19</v>
      </c>
      <c r="E6698" s="3" t="s">
        <v>9</v>
      </c>
      <c r="F6698" s="4">
        <v>75</v>
      </c>
      <c r="G6698" s="4"/>
      <c r="H6698" s="4">
        <f t="shared" si="685"/>
        <v>75</v>
      </c>
    </row>
    <row r="6699" ht="14.25" spans="1:8">
      <c r="A6699" s="3" t="str">
        <f>"30906521520"</f>
        <v>30906521520</v>
      </c>
      <c r="B6699" s="3">
        <v>5</v>
      </c>
      <c r="C6699" s="3">
        <v>215</v>
      </c>
      <c r="D6699" s="3">
        <v>20</v>
      </c>
      <c r="E6699" s="3" t="s">
        <v>9</v>
      </c>
      <c r="F6699" s="4">
        <v>84.5</v>
      </c>
      <c r="G6699" s="4"/>
      <c r="H6699" s="4">
        <f t="shared" si="685"/>
        <v>84.5</v>
      </c>
    </row>
    <row r="6700" ht="14.25" spans="1:8">
      <c r="A6700" s="3" t="str">
        <f>"30906521521"</f>
        <v>30906521521</v>
      </c>
      <c r="B6700" s="3">
        <v>5</v>
      </c>
      <c r="C6700" s="3">
        <v>215</v>
      </c>
      <c r="D6700" s="3">
        <v>21</v>
      </c>
      <c r="E6700" s="3" t="s">
        <v>9</v>
      </c>
      <c r="F6700" s="4">
        <v>82</v>
      </c>
      <c r="G6700" s="4"/>
      <c r="H6700" s="4">
        <f t="shared" si="685"/>
        <v>82</v>
      </c>
    </row>
    <row r="6701" ht="14.25" spans="1:8">
      <c r="A6701" s="3" t="str">
        <f>"30906521522"</f>
        <v>30906521522</v>
      </c>
      <c r="B6701" s="3">
        <v>5</v>
      </c>
      <c r="C6701" s="3">
        <v>215</v>
      </c>
      <c r="D6701" s="3">
        <v>22</v>
      </c>
      <c r="E6701" s="3" t="s">
        <v>9</v>
      </c>
      <c r="F6701" s="4">
        <v>76</v>
      </c>
      <c r="G6701" s="4"/>
      <c r="H6701" s="4">
        <f t="shared" si="685"/>
        <v>76</v>
      </c>
    </row>
    <row r="6702" ht="14.25" spans="1:8">
      <c r="A6702" s="3" t="str">
        <f>"30906521523"</f>
        <v>30906521523</v>
      </c>
      <c r="B6702" s="3">
        <v>5</v>
      </c>
      <c r="C6702" s="3">
        <v>215</v>
      </c>
      <c r="D6702" s="3">
        <v>23</v>
      </c>
      <c r="E6702" s="3" t="s">
        <v>9</v>
      </c>
      <c r="F6702" s="4">
        <v>60.5</v>
      </c>
      <c r="G6702" s="4"/>
      <c r="H6702" s="4">
        <f t="shared" si="685"/>
        <v>60.5</v>
      </c>
    </row>
    <row r="6703" ht="14.25" spans="1:8">
      <c r="A6703" s="3" t="str">
        <f>"30906521524"</f>
        <v>30906521524</v>
      </c>
      <c r="B6703" s="3">
        <v>5</v>
      </c>
      <c r="C6703" s="3">
        <v>215</v>
      </c>
      <c r="D6703" s="3">
        <v>24</v>
      </c>
      <c r="E6703" s="3" t="s">
        <v>9</v>
      </c>
      <c r="F6703" s="3">
        <v>0</v>
      </c>
      <c r="G6703" s="4"/>
      <c r="H6703" s="3">
        <v>0</v>
      </c>
    </row>
    <row r="6704" ht="14.25" spans="1:8">
      <c r="A6704" s="3" t="str">
        <f>"30906521525"</f>
        <v>30906521525</v>
      </c>
      <c r="B6704" s="3">
        <v>5</v>
      </c>
      <c r="C6704" s="3">
        <v>215</v>
      </c>
      <c r="D6704" s="3">
        <v>25</v>
      </c>
      <c r="E6704" s="3" t="s">
        <v>9</v>
      </c>
      <c r="F6704" s="4">
        <v>80</v>
      </c>
      <c r="G6704" s="4"/>
      <c r="H6704" s="4">
        <f t="shared" ref="H6704:H6711" si="686">F6704+G6704</f>
        <v>80</v>
      </c>
    </row>
    <row r="6705" ht="14.25" spans="1:8">
      <c r="A6705" s="3" t="str">
        <f>"30906521526"</f>
        <v>30906521526</v>
      </c>
      <c r="B6705" s="3">
        <v>5</v>
      </c>
      <c r="C6705" s="3">
        <v>215</v>
      </c>
      <c r="D6705" s="3">
        <v>26</v>
      </c>
      <c r="E6705" s="3" t="s">
        <v>9</v>
      </c>
      <c r="F6705" s="4">
        <v>77.5</v>
      </c>
      <c r="G6705" s="4"/>
      <c r="H6705" s="4">
        <f t="shared" si="686"/>
        <v>77.5</v>
      </c>
    </row>
    <row r="6706" ht="14.25" spans="1:8">
      <c r="A6706" s="3" t="str">
        <f>"30906521527"</f>
        <v>30906521527</v>
      </c>
      <c r="B6706" s="3">
        <v>5</v>
      </c>
      <c r="C6706" s="3">
        <v>215</v>
      </c>
      <c r="D6706" s="3">
        <v>27</v>
      </c>
      <c r="E6706" s="3" t="s">
        <v>9</v>
      </c>
      <c r="F6706" s="3">
        <v>0</v>
      </c>
      <c r="G6706" s="4"/>
      <c r="H6706" s="3">
        <v>0</v>
      </c>
    </row>
    <row r="6707" ht="14.25" spans="1:8">
      <c r="A6707" s="3" t="str">
        <f>"30906521528"</f>
        <v>30906521528</v>
      </c>
      <c r="B6707" s="3">
        <v>5</v>
      </c>
      <c r="C6707" s="3">
        <v>215</v>
      </c>
      <c r="D6707" s="3">
        <v>28</v>
      </c>
      <c r="E6707" s="3" t="s">
        <v>9</v>
      </c>
      <c r="F6707" s="4">
        <v>77.5</v>
      </c>
      <c r="G6707" s="4"/>
      <c r="H6707" s="4">
        <f t="shared" si="686"/>
        <v>77.5</v>
      </c>
    </row>
    <row r="6708" ht="14.25" spans="1:8">
      <c r="A6708" s="3" t="str">
        <f>"30906521529"</f>
        <v>30906521529</v>
      </c>
      <c r="B6708" s="3">
        <v>5</v>
      </c>
      <c r="C6708" s="3">
        <v>215</v>
      </c>
      <c r="D6708" s="3">
        <v>29</v>
      </c>
      <c r="E6708" s="3" t="s">
        <v>9</v>
      </c>
      <c r="F6708" s="4">
        <v>55.5</v>
      </c>
      <c r="G6708" s="4"/>
      <c r="H6708" s="4">
        <f t="shared" si="686"/>
        <v>55.5</v>
      </c>
    </row>
    <row r="6709" ht="14.25" spans="1:8">
      <c r="A6709" s="3" t="str">
        <f>"30906521530"</f>
        <v>30906521530</v>
      </c>
      <c r="B6709" s="3">
        <v>5</v>
      </c>
      <c r="C6709" s="3">
        <v>215</v>
      </c>
      <c r="D6709" s="3">
        <v>30</v>
      </c>
      <c r="E6709" s="3" t="s">
        <v>9</v>
      </c>
      <c r="F6709" s="4">
        <v>72</v>
      </c>
      <c r="G6709" s="4"/>
      <c r="H6709" s="4">
        <f t="shared" si="686"/>
        <v>72</v>
      </c>
    </row>
    <row r="6710" ht="14.25" spans="1:8">
      <c r="A6710" s="3" t="str">
        <f>"30906521601"</f>
        <v>30906521601</v>
      </c>
      <c r="B6710" s="3">
        <v>5</v>
      </c>
      <c r="C6710" s="3">
        <v>216</v>
      </c>
      <c r="D6710" s="3">
        <v>1</v>
      </c>
      <c r="E6710" s="3" t="s">
        <v>9</v>
      </c>
      <c r="F6710" s="4">
        <v>67.5</v>
      </c>
      <c r="G6710" s="4"/>
      <c r="H6710" s="4">
        <f t="shared" si="686"/>
        <v>67.5</v>
      </c>
    </row>
    <row r="6711" ht="14.25" spans="1:8">
      <c r="A6711" s="3" t="str">
        <f>"30906521602"</f>
        <v>30906521602</v>
      </c>
      <c r="B6711" s="3">
        <v>5</v>
      </c>
      <c r="C6711" s="3">
        <v>216</v>
      </c>
      <c r="D6711" s="3">
        <v>2</v>
      </c>
      <c r="E6711" s="3" t="s">
        <v>9</v>
      </c>
      <c r="F6711" s="4">
        <v>60.5</v>
      </c>
      <c r="G6711" s="4"/>
      <c r="H6711" s="4">
        <f t="shared" si="686"/>
        <v>60.5</v>
      </c>
    </row>
    <row r="6712" ht="14.25" spans="1:8">
      <c r="A6712" s="3" t="str">
        <f>"30906521603"</f>
        <v>30906521603</v>
      </c>
      <c r="B6712" s="3">
        <v>5</v>
      </c>
      <c r="C6712" s="3">
        <v>216</v>
      </c>
      <c r="D6712" s="3">
        <v>3</v>
      </c>
      <c r="E6712" s="3" t="s">
        <v>9</v>
      </c>
      <c r="F6712" s="3">
        <v>0</v>
      </c>
      <c r="G6712" s="4"/>
      <c r="H6712" s="3">
        <v>0</v>
      </c>
    </row>
    <row r="6713" ht="14.25" spans="1:8">
      <c r="A6713" s="3" t="str">
        <f>"30906521604"</f>
        <v>30906521604</v>
      </c>
      <c r="B6713" s="3">
        <v>5</v>
      </c>
      <c r="C6713" s="3">
        <v>216</v>
      </c>
      <c r="D6713" s="3">
        <v>4</v>
      </c>
      <c r="E6713" s="3" t="s">
        <v>9</v>
      </c>
      <c r="F6713" s="4">
        <v>49.5</v>
      </c>
      <c r="G6713" s="4"/>
      <c r="H6713" s="4">
        <f t="shared" ref="H6713:H6716" si="687">F6713+G6713</f>
        <v>49.5</v>
      </c>
    </row>
    <row r="6714" ht="14.25" spans="1:8">
      <c r="A6714" s="3" t="str">
        <f>"30906521605"</f>
        <v>30906521605</v>
      </c>
      <c r="B6714" s="3">
        <v>5</v>
      </c>
      <c r="C6714" s="3">
        <v>216</v>
      </c>
      <c r="D6714" s="3">
        <v>5</v>
      </c>
      <c r="E6714" s="3" t="s">
        <v>9</v>
      </c>
      <c r="F6714" s="4">
        <v>61.5</v>
      </c>
      <c r="G6714" s="4"/>
      <c r="H6714" s="4">
        <f t="shared" si="687"/>
        <v>61.5</v>
      </c>
    </row>
    <row r="6715" ht="14.25" spans="1:8">
      <c r="A6715" s="3" t="str">
        <f>"30906521606"</f>
        <v>30906521606</v>
      </c>
      <c r="B6715" s="3">
        <v>5</v>
      </c>
      <c r="C6715" s="3">
        <v>216</v>
      </c>
      <c r="D6715" s="3">
        <v>6</v>
      </c>
      <c r="E6715" s="3" t="s">
        <v>9</v>
      </c>
      <c r="F6715" s="4">
        <v>64.5</v>
      </c>
      <c r="G6715" s="4"/>
      <c r="H6715" s="4">
        <f t="shared" si="687"/>
        <v>64.5</v>
      </c>
    </row>
    <row r="6716" ht="14.25" spans="1:8">
      <c r="A6716" s="3" t="str">
        <f>"30906521607"</f>
        <v>30906521607</v>
      </c>
      <c r="B6716" s="3">
        <v>5</v>
      </c>
      <c r="C6716" s="3">
        <v>216</v>
      </c>
      <c r="D6716" s="3">
        <v>7</v>
      </c>
      <c r="E6716" s="3" t="s">
        <v>9</v>
      </c>
      <c r="F6716" s="4">
        <v>65</v>
      </c>
      <c r="G6716" s="4"/>
      <c r="H6716" s="4">
        <f t="shared" si="687"/>
        <v>65</v>
      </c>
    </row>
    <row r="6717" ht="14.25" spans="1:8">
      <c r="A6717" s="3" t="str">
        <f>"30906521608"</f>
        <v>30906521608</v>
      </c>
      <c r="B6717" s="3">
        <v>5</v>
      </c>
      <c r="C6717" s="3">
        <v>216</v>
      </c>
      <c r="D6717" s="3">
        <v>8</v>
      </c>
      <c r="E6717" s="3" t="s">
        <v>9</v>
      </c>
      <c r="F6717" s="3">
        <v>0</v>
      </c>
      <c r="G6717" s="4"/>
      <c r="H6717" s="3">
        <v>0</v>
      </c>
    </row>
    <row r="6718" ht="14.25" spans="1:8">
      <c r="A6718" s="3" t="str">
        <f>"30906521609"</f>
        <v>30906521609</v>
      </c>
      <c r="B6718" s="3">
        <v>5</v>
      </c>
      <c r="C6718" s="3">
        <v>216</v>
      </c>
      <c r="D6718" s="3">
        <v>9</v>
      </c>
      <c r="E6718" s="3" t="s">
        <v>9</v>
      </c>
      <c r="F6718" s="4">
        <v>74.5</v>
      </c>
      <c r="G6718" s="4"/>
      <c r="H6718" s="4">
        <f t="shared" ref="H6718:H6722" si="688">F6718+G6718</f>
        <v>74.5</v>
      </c>
    </row>
    <row r="6719" ht="14.25" spans="1:8">
      <c r="A6719" s="3" t="str">
        <f>"30906521610"</f>
        <v>30906521610</v>
      </c>
      <c r="B6719" s="3">
        <v>5</v>
      </c>
      <c r="C6719" s="3">
        <v>216</v>
      </c>
      <c r="D6719" s="3">
        <v>10</v>
      </c>
      <c r="E6719" s="3" t="s">
        <v>9</v>
      </c>
      <c r="F6719" s="4">
        <v>67</v>
      </c>
      <c r="G6719" s="4"/>
      <c r="H6719" s="4">
        <f t="shared" si="688"/>
        <v>67</v>
      </c>
    </row>
    <row r="6720" ht="14.25" spans="1:8">
      <c r="A6720" s="3" t="str">
        <f>"30906521611"</f>
        <v>30906521611</v>
      </c>
      <c r="B6720" s="3">
        <v>5</v>
      </c>
      <c r="C6720" s="3">
        <v>216</v>
      </c>
      <c r="D6720" s="3">
        <v>11</v>
      </c>
      <c r="E6720" s="3" t="s">
        <v>9</v>
      </c>
      <c r="F6720" s="3">
        <v>0</v>
      </c>
      <c r="G6720" s="4"/>
      <c r="H6720" s="3">
        <v>0</v>
      </c>
    </row>
    <row r="6721" ht="14.25" spans="1:8">
      <c r="A6721" s="3" t="str">
        <f>"30906521612"</f>
        <v>30906521612</v>
      </c>
      <c r="B6721" s="3">
        <v>5</v>
      </c>
      <c r="C6721" s="3">
        <v>216</v>
      </c>
      <c r="D6721" s="3">
        <v>12</v>
      </c>
      <c r="E6721" s="3" t="s">
        <v>9</v>
      </c>
      <c r="F6721" s="3">
        <v>0</v>
      </c>
      <c r="G6721" s="4"/>
      <c r="H6721" s="3">
        <v>0</v>
      </c>
    </row>
    <row r="6722" ht="14.25" spans="1:8">
      <c r="A6722" s="3" t="str">
        <f>"30906521613"</f>
        <v>30906521613</v>
      </c>
      <c r="B6722" s="3">
        <v>5</v>
      </c>
      <c r="C6722" s="3">
        <v>216</v>
      </c>
      <c r="D6722" s="3">
        <v>13</v>
      </c>
      <c r="E6722" s="3" t="s">
        <v>9</v>
      </c>
      <c r="F6722" s="4">
        <v>73.5</v>
      </c>
      <c r="G6722" s="4"/>
      <c r="H6722" s="4">
        <f t="shared" si="688"/>
        <v>73.5</v>
      </c>
    </row>
    <row r="6723" ht="14.25" spans="1:8">
      <c r="A6723" s="3" t="str">
        <f>"30906521614"</f>
        <v>30906521614</v>
      </c>
      <c r="B6723" s="3">
        <v>5</v>
      </c>
      <c r="C6723" s="3">
        <v>216</v>
      </c>
      <c r="D6723" s="3">
        <v>14</v>
      </c>
      <c r="E6723" s="3" t="s">
        <v>9</v>
      </c>
      <c r="F6723" s="3">
        <v>0</v>
      </c>
      <c r="G6723" s="4"/>
      <c r="H6723" s="3">
        <v>0</v>
      </c>
    </row>
    <row r="6724" ht="14.25" spans="1:8">
      <c r="A6724" s="3" t="str">
        <f>"30906521615"</f>
        <v>30906521615</v>
      </c>
      <c r="B6724" s="3">
        <v>5</v>
      </c>
      <c r="C6724" s="3">
        <v>216</v>
      </c>
      <c r="D6724" s="3">
        <v>15</v>
      </c>
      <c r="E6724" s="3" t="s">
        <v>9</v>
      </c>
      <c r="F6724" s="4">
        <v>75.5</v>
      </c>
      <c r="G6724" s="4"/>
      <c r="H6724" s="4">
        <f t="shared" ref="H6724:H6727" si="689">F6724+G6724</f>
        <v>75.5</v>
      </c>
    </row>
    <row r="6725" ht="14.25" spans="1:8">
      <c r="A6725" s="3" t="str">
        <f>"30907521616"</f>
        <v>30907521616</v>
      </c>
      <c r="B6725" s="3">
        <v>5</v>
      </c>
      <c r="C6725" s="3">
        <v>216</v>
      </c>
      <c r="D6725" s="3">
        <v>16</v>
      </c>
      <c r="E6725" s="3" t="s">
        <v>9</v>
      </c>
      <c r="F6725" s="3">
        <v>0</v>
      </c>
      <c r="G6725" s="4"/>
      <c r="H6725" s="3">
        <v>0</v>
      </c>
    </row>
    <row r="6726" ht="14.25" spans="1:8">
      <c r="A6726" s="3" t="str">
        <f>"30907521617"</f>
        <v>30907521617</v>
      </c>
      <c r="B6726" s="3">
        <v>5</v>
      </c>
      <c r="C6726" s="3">
        <v>216</v>
      </c>
      <c r="D6726" s="3">
        <v>17</v>
      </c>
      <c r="E6726" s="3" t="s">
        <v>9</v>
      </c>
      <c r="F6726" s="4">
        <v>78.5</v>
      </c>
      <c r="G6726" s="4"/>
      <c r="H6726" s="4">
        <f t="shared" si="689"/>
        <v>78.5</v>
      </c>
    </row>
    <row r="6727" ht="14.25" spans="1:8">
      <c r="A6727" s="3" t="str">
        <f>"30907521618"</f>
        <v>30907521618</v>
      </c>
      <c r="B6727" s="3">
        <v>5</v>
      </c>
      <c r="C6727" s="3">
        <v>216</v>
      </c>
      <c r="D6727" s="3">
        <v>18</v>
      </c>
      <c r="E6727" s="3" t="s">
        <v>9</v>
      </c>
      <c r="F6727" s="4">
        <v>78.5</v>
      </c>
      <c r="G6727" s="4"/>
      <c r="H6727" s="4">
        <f t="shared" si="689"/>
        <v>78.5</v>
      </c>
    </row>
    <row r="6728" ht="14.25" spans="1:8">
      <c r="A6728" s="3" t="str">
        <f>"30907521619"</f>
        <v>30907521619</v>
      </c>
      <c r="B6728" s="3">
        <v>5</v>
      </c>
      <c r="C6728" s="3">
        <v>216</v>
      </c>
      <c r="D6728" s="3">
        <v>19</v>
      </c>
      <c r="E6728" s="3" t="s">
        <v>9</v>
      </c>
      <c r="F6728" s="3">
        <v>0</v>
      </c>
      <c r="G6728" s="4"/>
      <c r="H6728" s="3">
        <v>0</v>
      </c>
    </row>
    <row r="6729" ht="14.25" spans="1:8">
      <c r="A6729" s="3" t="str">
        <f>"30907521620"</f>
        <v>30907521620</v>
      </c>
      <c r="B6729" s="3">
        <v>5</v>
      </c>
      <c r="C6729" s="3">
        <v>216</v>
      </c>
      <c r="D6729" s="3">
        <v>20</v>
      </c>
      <c r="E6729" s="3" t="s">
        <v>9</v>
      </c>
      <c r="F6729" s="3">
        <v>0</v>
      </c>
      <c r="G6729" s="4"/>
      <c r="H6729" s="3">
        <v>0</v>
      </c>
    </row>
    <row r="6730" ht="14.25" spans="1:8">
      <c r="A6730" s="3" t="str">
        <f>"30907521621"</f>
        <v>30907521621</v>
      </c>
      <c r="B6730" s="3">
        <v>5</v>
      </c>
      <c r="C6730" s="3">
        <v>216</v>
      </c>
      <c r="D6730" s="3">
        <v>21</v>
      </c>
      <c r="E6730" s="3" t="s">
        <v>9</v>
      </c>
      <c r="F6730" s="4">
        <v>85</v>
      </c>
      <c r="G6730" s="4"/>
      <c r="H6730" s="4">
        <f t="shared" ref="H6730:H6735" si="690">F6730+G6730</f>
        <v>85</v>
      </c>
    </row>
    <row r="6731" ht="14.25" spans="1:8">
      <c r="A6731" s="3" t="str">
        <f>"30907521622"</f>
        <v>30907521622</v>
      </c>
      <c r="B6731" s="3">
        <v>5</v>
      </c>
      <c r="C6731" s="3">
        <v>216</v>
      </c>
      <c r="D6731" s="3">
        <v>22</v>
      </c>
      <c r="E6731" s="3" t="s">
        <v>9</v>
      </c>
      <c r="F6731" s="3">
        <v>0</v>
      </c>
      <c r="G6731" s="4"/>
      <c r="H6731" s="3">
        <v>0</v>
      </c>
    </row>
    <row r="6732" ht="14.25" spans="1:8">
      <c r="A6732" s="3" t="str">
        <f>"30907521623"</f>
        <v>30907521623</v>
      </c>
      <c r="B6732" s="3">
        <v>5</v>
      </c>
      <c r="C6732" s="3">
        <v>216</v>
      </c>
      <c r="D6732" s="3">
        <v>23</v>
      </c>
      <c r="E6732" s="3" t="s">
        <v>9</v>
      </c>
      <c r="F6732" s="4">
        <v>84</v>
      </c>
      <c r="G6732" s="4"/>
      <c r="H6732" s="4">
        <f t="shared" si="690"/>
        <v>84</v>
      </c>
    </row>
    <row r="6733" ht="14.25" spans="1:8">
      <c r="A6733" s="3" t="str">
        <f>"30907521624"</f>
        <v>30907521624</v>
      </c>
      <c r="B6733" s="3">
        <v>5</v>
      </c>
      <c r="C6733" s="3">
        <v>216</v>
      </c>
      <c r="D6733" s="3">
        <v>24</v>
      </c>
      <c r="E6733" s="3" t="s">
        <v>9</v>
      </c>
      <c r="F6733" s="4">
        <v>61</v>
      </c>
      <c r="G6733" s="4"/>
      <c r="H6733" s="4">
        <f t="shared" si="690"/>
        <v>61</v>
      </c>
    </row>
    <row r="6734" ht="14.25" spans="1:8">
      <c r="A6734" s="3" t="str">
        <f>"30907521625"</f>
        <v>30907521625</v>
      </c>
      <c r="B6734" s="3">
        <v>5</v>
      </c>
      <c r="C6734" s="3">
        <v>216</v>
      </c>
      <c r="D6734" s="3">
        <v>25</v>
      </c>
      <c r="E6734" s="3" t="s">
        <v>9</v>
      </c>
      <c r="F6734" s="4">
        <v>74.5</v>
      </c>
      <c r="G6734" s="4"/>
      <c r="H6734" s="4">
        <f t="shared" si="690"/>
        <v>74.5</v>
      </c>
    </row>
    <row r="6735" ht="14.25" spans="1:8">
      <c r="A6735" s="3" t="str">
        <f>"30907521626"</f>
        <v>30907521626</v>
      </c>
      <c r="B6735" s="3">
        <v>5</v>
      </c>
      <c r="C6735" s="3">
        <v>216</v>
      </c>
      <c r="D6735" s="3">
        <v>26</v>
      </c>
      <c r="E6735" s="3" t="s">
        <v>9</v>
      </c>
      <c r="F6735" s="4">
        <v>60</v>
      </c>
      <c r="G6735" s="4"/>
      <c r="H6735" s="4">
        <f t="shared" si="690"/>
        <v>60</v>
      </c>
    </row>
    <row r="6736" ht="14.25" spans="1:8">
      <c r="A6736" s="3" t="str">
        <f>"30907521627"</f>
        <v>30907521627</v>
      </c>
      <c r="B6736" s="3">
        <v>5</v>
      </c>
      <c r="C6736" s="3">
        <v>216</v>
      </c>
      <c r="D6736" s="3">
        <v>27</v>
      </c>
      <c r="E6736" s="3" t="s">
        <v>9</v>
      </c>
      <c r="F6736" s="3">
        <v>0</v>
      </c>
      <c r="G6736" s="4"/>
      <c r="H6736" s="3">
        <v>0</v>
      </c>
    </row>
    <row r="6737" ht="14.25" spans="1:8">
      <c r="A6737" s="3" t="str">
        <f>"30907521628"</f>
        <v>30907521628</v>
      </c>
      <c r="B6737" s="3">
        <v>5</v>
      </c>
      <c r="C6737" s="3">
        <v>216</v>
      </c>
      <c r="D6737" s="3">
        <v>28</v>
      </c>
      <c r="E6737" s="3" t="s">
        <v>9</v>
      </c>
      <c r="F6737" s="4">
        <v>71</v>
      </c>
      <c r="G6737" s="4"/>
      <c r="H6737" s="4">
        <f t="shared" ref="H6737:H6748" si="691">F6737+G6737</f>
        <v>71</v>
      </c>
    </row>
    <row r="6738" ht="14.25" spans="1:8">
      <c r="A6738" s="3" t="str">
        <f>"30907521629"</f>
        <v>30907521629</v>
      </c>
      <c r="B6738" s="3">
        <v>5</v>
      </c>
      <c r="C6738" s="3">
        <v>216</v>
      </c>
      <c r="D6738" s="3">
        <v>29</v>
      </c>
      <c r="E6738" s="3" t="s">
        <v>9</v>
      </c>
      <c r="F6738" s="3">
        <v>0</v>
      </c>
      <c r="G6738" s="4"/>
      <c r="H6738" s="3">
        <v>0</v>
      </c>
    </row>
    <row r="6739" ht="14.25" spans="1:8">
      <c r="A6739" s="3" t="str">
        <f>"30907521630"</f>
        <v>30907521630</v>
      </c>
      <c r="B6739" s="3">
        <v>5</v>
      </c>
      <c r="C6739" s="3">
        <v>216</v>
      </c>
      <c r="D6739" s="3">
        <v>30</v>
      </c>
      <c r="E6739" s="3" t="s">
        <v>9</v>
      </c>
      <c r="F6739" s="4">
        <v>81</v>
      </c>
      <c r="G6739" s="4"/>
      <c r="H6739" s="4">
        <f t="shared" si="691"/>
        <v>81</v>
      </c>
    </row>
    <row r="6740" ht="14.25" spans="1:8">
      <c r="A6740" s="3" t="str">
        <f>"30908521701"</f>
        <v>30908521701</v>
      </c>
      <c r="B6740" s="3">
        <v>5</v>
      </c>
      <c r="C6740" s="3">
        <v>217</v>
      </c>
      <c r="D6740" s="3">
        <v>1</v>
      </c>
      <c r="E6740" s="3" t="s">
        <v>9</v>
      </c>
      <c r="F6740" s="4">
        <v>60.5</v>
      </c>
      <c r="G6740" s="4"/>
      <c r="H6740" s="4">
        <f t="shared" si="691"/>
        <v>60.5</v>
      </c>
    </row>
    <row r="6741" ht="14.25" spans="1:8">
      <c r="A6741" s="3" t="str">
        <f>"30908521702"</f>
        <v>30908521702</v>
      </c>
      <c r="B6741" s="3">
        <v>5</v>
      </c>
      <c r="C6741" s="3">
        <v>217</v>
      </c>
      <c r="D6741" s="3">
        <v>2</v>
      </c>
      <c r="E6741" s="3" t="s">
        <v>9</v>
      </c>
      <c r="F6741" s="4">
        <v>60.5</v>
      </c>
      <c r="G6741" s="4"/>
      <c r="H6741" s="4">
        <f t="shared" si="691"/>
        <v>60.5</v>
      </c>
    </row>
    <row r="6742" ht="14.25" spans="1:8">
      <c r="A6742" s="3" t="str">
        <f>"30908521703"</f>
        <v>30908521703</v>
      </c>
      <c r="B6742" s="3">
        <v>5</v>
      </c>
      <c r="C6742" s="3">
        <v>217</v>
      </c>
      <c r="D6742" s="3">
        <v>3</v>
      </c>
      <c r="E6742" s="3" t="s">
        <v>9</v>
      </c>
      <c r="F6742" s="4">
        <v>70</v>
      </c>
      <c r="G6742" s="4"/>
      <c r="H6742" s="4">
        <f t="shared" si="691"/>
        <v>70</v>
      </c>
    </row>
    <row r="6743" ht="14.25" spans="1:8">
      <c r="A6743" s="3" t="str">
        <f>"30908521704"</f>
        <v>30908521704</v>
      </c>
      <c r="B6743" s="3">
        <v>5</v>
      </c>
      <c r="C6743" s="3">
        <v>217</v>
      </c>
      <c r="D6743" s="3">
        <v>4</v>
      </c>
      <c r="E6743" s="3" t="s">
        <v>9</v>
      </c>
      <c r="F6743" s="4">
        <v>60</v>
      </c>
      <c r="G6743" s="4"/>
      <c r="H6743" s="4">
        <f t="shared" si="691"/>
        <v>60</v>
      </c>
    </row>
    <row r="6744" ht="14.25" spans="1:8">
      <c r="A6744" s="3" t="str">
        <f>"30908521705"</f>
        <v>30908521705</v>
      </c>
      <c r="B6744" s="3">
        <v>5</v>
      </c>
      <c r="C6744" s="3">
        <v>217</v>
      </c>
      <c r="D6744" s="3">
        <v>5</v>
      </c>
      <c r="E6744" s="3" t="s">
        <v>9</v>
      </c>
      <c r="F6744" s="4">
        <v>74</v>
      </c>
      <c r="G6744" s="4"/>
      <c r="H6744" s="4">
        <f t="shared" si="691"/>
        <v>74</v>
      </c>
    </row>
    <row r="6745" ht="14.25" spans="1:8">
      <c r="A6745" s="3" t="str">
        <f>"30908521706"</f>
        <v>30908521706</v>
      </c>
      <c r="B6745" s="3">
        <v>5</v>
      </c>
      <c r="C6745" s="3">
        <v>217</v>
      </c>
      <c r="D6745" s="3">
        <v>6</v>
      </c>
      <c r="E6745" s="3" t="s">
        <v>9</v>
      </c>
      <c r="F6745" s="4">
        <v>75.5</v>
      </c>
      <c r="G6745" s="4"/>
      <c r="H6745" s="4">
        <f t="shared" si="691"/>
        <v>75.5</v>
      </c>
    </row>
    <row r="6746" ht="14.25" spans="1:8">
      <c r="A6746" s="3" t="str">
        <f>"30908521707"</f>
        <v>30908521707</v>
      </c>
      <c r="B6746" s="3">
        <v>5</v>
      </c>
      <c r="C6746" s="3">
        <v>217</v>
      </c>
      <c r="D6746" s="3">
        <v>7</v>
      </c>
      <c r="E6746" s="3" t="s">
        <v>9</v>
      </c>
      <c r="F6746" s="4">
        <v>58.5</v>
      </c>
      <c r="G6746" s="4"/>
      <c r="H6746" s="4">
        <f t="shared" si="691"/>
        <v>58.5</v>
      </c>
    </row>
    <row r="6747" ht="14.25" spans="1:8">
      <c r="A6747" s="3" t="str">
        <f>"30908521708"</f>
        <v>30908521708</v>
      </c>
      <c r="B6747" s="3">
        <v>5</v>
      </c>
      <c r="C6747" s="3">
        <v>217</v>
      </c>
      <c r="D6747" s="3">
        <v>8</v>
      </c>
      <c r="E6747" s="3" t="s">
        <v>9</v>
      </c>
      <c r="F6747" s="4">
        <v>69</v>
      </c>
      <c r="G6747" s="4"/>
      <c r="H6747" s="4">
        <f t="shared" si="691"/>
        <v>69</v>
      </c>
    </row>
    <row r="6748" ht="14.25" spans="1:8">
      <c r="A6748" s="3" t="str">
        <f>"30908521709"</f>
        <v>30908521709</v>
      </c>
      <c r="B6748" s="3">
        <v>5</v>
      </c>
      <c r="C6748" s="3">
        <v>217</v>
      </c>
      <c r="D6748" s="3">
        <v>9</v>
      </c>
      <c r="E6748" s="3" t="s">
        <v>9</v>
      </c>
      <c r="F6748" s="4">
        <v>71.5</v>
      </c>
      <c r="G6748" s="4"/>
      <c r="H6748" s="4">
        <f t="shared" si="691"/>
        <v>71.5</v>
      </c>
    </row>
    <row r="6749" ht="14.25" spans="1:8">
      <c r="A6749" s="3" t="str">
        <f>"30908521710"</f>
        <v>30908521710</v>
      </c>
      <c r="B6749" s="3">
        <v>5</v>
      </c>
      <c r="C6749" s="3">
        <v>217</v>
      </c>
      <c r="D6749" s="3">
        <v>10</v>
      </c>
      <c r="E6749" s="3" t="s">
        <v>9</v>
      </c>
      <c r="F6749" s="3">
        <v>0</v>
      </c>
      <c r="G6749" s="4"/>
      <c r="H6749" s="3">
        <v>0</v>
      </c>
    </row>
    <row r="6750" ht="14.25" spans="1:8">
      <c r="A6750" s="3" t="str">
        <f>"30908521711"</f>
        <v>30908521711</v>
      </c>
      <c r="B6750" s="3">
        <v>5</v>
      </c>
      <c r="C6750" s="3">
        <v>217</v>
      </c>
      <c r="D6750" s="3">
        <v>11</v>
      </c>
      <c r="E6750" s="3" t="s">
        <v>9</v>
      </c>
      <c r="F6750" s="3">
        <v>0</v>
      </c>
      <c r="G6750" s="4"/>
      <c r="H6750" s="3">
        <v>0</v>
      </c>
    </row>
    <row r="6751" ht="14.25" spans="1:8">
      <c r="A6751" s="3" t="str">
        <f>"30909521712"</f>
        <v>30909521712</v>
      </c>
      <c r="B6751" s="3">
        <v>5</v>
      </c>
      <c r="C6751" s="3">
        <v>217</v>
      </c>
      <c r="D6751" s="3">
        <v>12</v>
      </c>
      <c r="E6751" s="3" t="s">
        <v>9</v>
      </c>
      <c r="F6751" s="4">
        <v>65</v>
      </c>
      <c r="G6751" s="4"/>
      <c r="H6751" s="4">
        <f t="shared" ref="H6751:H6761" si="692">F6751+G6751</f>
        <v>65</v>
      </c>
    </row>
    <row r="6752" ht="14.25" spans="1:8">
      <c r="A6752" s="3" t="str">
        <f>"30909521713"</f>
        <v>30909521713</v>
      </c>
      <c r="B6752" s="3">
        <v>5</v>
      </c>
      <c r="C6752" s="3">
        <v>217</v>
      </c>
      <c r="D6752" s="3">
        <v>13</v>
      </c>
      <c r="E6752" s="3" t="s">
        <v>9</v>
      </c>
      <c r="F6752" s="4">
        <v>70</v>
      </c>
      <c r="G6752" s="4"/>
      <c r="H6752" s="4">
        <f t="shared" si="692"/>
        <v>70</v>
      </c>
    </row>
    <row r="6753" ht="14.25" spans="1:8">
      <c r="A6753" s="3" t="str">
        <f>"30909521714"</f>
        <v>30909521714</v>
      </c>
      <c r="B6753" s="3">
        <v>5</v>
      </c>
      <c r="C6753" s="3">
        <v>217</v>
      </c>
      <c r="D6753" s="3">
        <v>14</v>
      </c>
      <c r="E6753" s="3" t="s">
        <v>9</v>
      </c>
      <c r="F6753" s="3">
        <v>0</v>
      </c>
      <c r="G6753" s="4"/>
      <c r="H6753" s="3">
        <v>0</v>
      </c>
    </row>
    <row r="6754" ht="14.25" spans="1:8">
      <c r="A6754" s="3" t="str">
        <f>"30909521715"</f>
        <v>30909521715</v>
      </c>
      <c r="B6754" s="3">
        <v>5</v>
      </c>
      <c r="C6754" s="3">
        <v>217</v>
      </c>
      <c r="D6754" s="3">
        <v>15</v>
      </c>
      <c r="E6754" s="3" t="s">
        <v>9</v>
      </c>
      <c r="F6754" s="3">
        <v>0</v>
      </c>
      <c r="G6754" s="4"/>
      <c r="H6754" s="3">
        <v>0</v>
      </c>
    </row>
    <row r="6755" ht="14.25" spans="1:8">
      <c r="A6755" s="3" t="str">
        <f>"30909521716"</f>
        <v>30909521716</v>
      </c>
      <c r="B6755" s="3">
        <v>5</v>
      </c>
      <c r="C6755" s="3">
        <v>217</v>
      </c>
      <c r="D6755" s="3">
        <v>16</v>
      </c>
      <c r="E6755" s="3" t="s">
        <v>9</v>
      </c>
      <c r="F6755" s="4">
        <v>68</v>
      </c>
      <c r="G6755" s="4"/>
      <c r="H6755" s="4">
        <f t="shared" si="692"/>
        <v>68</v>
      </c>
    </row>
    <row r="6756" ht="14.25" spans="1:8">
      <c r="A6756" s="3" t="str">
        <f>"30909521717"</f>
        <v>30909521717</v>
      </c>
      <c r="B6756" s="3">
        <v>5</v>
      </c>
      <c r="C6756" s="3">
        <v>217</v>
      </c>
      <c r="D6756" s="3">
        <v>17</v>
      </c>
      <c r="E6756" s="3" t="s">
        <v>9</v>
      </c>
      <c r="F6756" s="4">
        <v>83</v>
      </c>
      <c r="G6756" s="4"/>
      <c r="H6756" s="4">
        <f t="shared" si="692"/>
        <v>83</v>
      </c>
    </row>
    <row r="6757" ht="14.25" spans="1:8">
      <c r="A6757" s="3" t="str">
        <f>"30909521718"</f>
        <v>30909521718</v>
      </c>
      <c r="B6757" s="3">
        <v>5</v>
      </c>
      <c r="C6757" s="3">
        <v>217</v>
      </c>
      <c r="D6757" s="3">
        <v>18</v>
      </c>
      <c r="E6757" s="3" t="s">
        <v>9</v>
      </c>
      <c r="F6757" s="4">
        <v>75</v>
      </c>
      <c r="G6757" s="4"/>
      <c r="H6757" s="4">
        <f t="shared" si="692"/>
        <v>75</v>
      </c>
    </row>
    <row r="6758" ht="14.25" spans="1:8">
      <c r="A6758" s="3" t="str">
        <f>"30909521719"</f>
        <v>30909521719</v>
      </c>
      <c r="B6758" s="3">
        <v>5</v>
      </c>
      <c r="C6758" s="3">
        <v>217</v>
      </c>
      <c r="D6758" s="3">
        <v>19</v>
      </c>
      <c r="E6758" s="3" t="s">
        <v>9</v>
      </c>
      <c r="F6758" s="4">
        <v>90</v>
      </c>
      <c r="G6758" s="4"/>
      <c r="H6758" s="4">
        <f t="shared" si="692"/>
        <v>90</v>
      </c>
    </row>
    <row r="6759" ht="14.25" spans="1:8">
      <c r="A6759" s="3" t="str">
        <f>"30909521720"</f>
        <v>30909521720</v>
      </c>
      <c r="B6759" s="3">
        <v>5</v>
      </c>
      <c r="C6759" s="3">
        <v>217</v>
      </c>
      <c r="D6759" s="3">
        <v>20</v>
      </c>
      <c r="E6759" s="3" t="s">
        <v>9</v>
      </c>
      <c r="F6759" s="4">
        <v>65</v>
      </c>
      <c r="G6759" s="4"/>
      <c r="H6759" s="4">
        <f t="shared" si="692"/>
        <v>65</v>
      </c>
    </row>
    <row r="6760" ht="14.25" spans="1:8">
      <c r="A6760" s="3" t="str">
        <f>"30909521721"</f>
        <v>30909521721</v>
      </c>
      <c r="B6760" s="3">
        <v>5</v>
      </c>
      <c r="C6760" s="3">
        <v>217</v>
      </c>
      <c r="D6760" s="3">
        <v>21</v>
      </c>
      <c r="E6760" s="3" t="s">
        <v>9</v>
      </c>
      <c r="F6760" s="4">
        <v>79</v>
      </c>
      <c r="G6760" s="4"/>
      <c r="H6760" s="4">
        <f t="shared" si="692"/>
        <v>79</v>
      </c>
    </row>
    <row r="6761" ht="14.25" spans="1:8">
      <c r="A6761" s="3" t="str">
        <f>"30909521722"</f>
        <v>30909521722</v>
      </c>
      <c r="B6761" s="3">
        <v>5</v>
      </c>
      <c r="C6761" s="3">
        <v>217</v>
      </c>
      <c r="D6761" s="3">
        <v>22</v>
      </c>
      <c r="E6761" s="3" t="s">
        <v>9</v>
      </c>
      <c r="F6761" s="4">
        <v>76.5</v>
      </c>
      <c r="G6761" s="4"/>
      <c r="H6761" s="4">
        <f t="shared" si="692"/>
        <v>76.5</v>
      </c>
    </row>
    <row r="6762" ht="14.25" spans="1:8">
      <c r="A6762" s="3" t="str">
        <f>"30909521723"</f>
        <v>30909521723</v>
      </c>
      <c r="B6762" s="3">
        <v>5</v>
      </c>
      <c r="C6762" s="3">
        <v>217</v>
      </c>
      <c r="D6762" s="3">
        <v>23</v>
      </c>
      <c r="E6762" s="3" t="s">
        <v>9</v>
      </c>
      <c r="F6762" s="3">
        <v>0</v>
      </c>
      <c r="G6762" s="4"/>
      <c r="H6762" s="3">
        <v>0</v>
      </c>
    </row>
    <row r="6763" ht="14.25" spans="1:8">
      <c r="A6763" s="3" t="str">
        <f>"30910521724"</f>
        <v>30910521724</v>
      </c>
      <c r="B6763" s="3">
        <v>5</v>
      </c>
      <c r="C6763" s="3">
        <v>217</v>
      </c>
      <c r="D6763" s="3">
        <v>24</v>
      </c>
      <c r="E6763" s="3" t="s">
        <v>9</v>
      </c>
      <c r="F6763" s="4">
        <v>65</v>
      </c>
      <c r="G6763" s="4"/>
      <c r="H6763" s="4">
        <f t="shared" ref="H6763:H6767" si="693">F6763+G6763</f>
        <v>65</v>
      </c>
    </row>
    <row r="6764" ht="14.25" spans="1:8">
      <c r="A6764" s="3" t="str">
        <f>"30910521725"</f>
        <v>30910521725</v>
      </c>
      <c r="B6764" s="3">
        <v>5</v>
      </c>
      <c r="C6764" s="3">
        <v>217</v>
      </c>
      <c r="D6764" s="3">
        <v>25</v>
      </c>
      <c r="E6764" s="3" t="s">
        <v>9</v>
      </c>
      <c r="F6764" s="3">
        <v>0</v>
      </c>
      <c r="G6764" s="4"/>
      <c r="H6764" s="3">
        <v>0</v>
      </c>
    </row>
    <row r="6765" ht="14.25" spans="1:8">
      <c r="A6765" s="3" t="str">
        <f>"30910521726"</f>
        <v>30910521726</v>
      </c>
      <c r="B6765" s="3">
        <v>5</v>
      </c>
      <c r="C6765" s="3">
        <v>217</v>
      </c>
      <c r="D6765" s="3">
        <v>26</v>
      </c>
      <c r="E6765" s="3" t="s">
        <v>9</v>
      </c>
      <c r="F6765" s="4">
        <v>68</v>
      </c>
      <c r="G6765" s="4"/>
      <c r="H6765" s="4">
        <f t="shared" si="693"/>
        <v>68</v>
      </c>
    </row>
    <row r="6766" ht="14.25" spans="1:8">
      <c r="A6766" s="3" t="str">
        <f>"30910521727"</f>
        <v>30910521727</v>
      </c>
      <c r="B6766" s="3">
        <v>5</v>
      </c>
      <c r="C6766" s="3">
        <v>217</v>
      </c>
      <c r="D6766" s="3">
        <v>27</v>
      </c>
      <c r="E6766" s="3" t="s">
        <v>9</v>
      </c>
      <c r="F6766" s="4">
        <v>77.5</v>
      </c>
      <c r="G6766" s="4"/>
      <c r="H6766" s="4">
        <f t="shared" si="693"/>
        <v>77.5</v>
      </c>
    </row>
    <row r="6767" ht="14.25" spans="1:8">
      <c r="A6767" s="3" t="str">
        <f>"30910521728"</f>
        <v>30910521728</v>
      </c>
      <c r="B6767" s="3">
        <v>5</v>
      </c>
      <c r="C6767" s="3">
        <v>217</v>
      </c>
      <c r="D6767" s="3">
        <v>28</v>
      </c>
      <c r="E6767" s="3" t="s">
        <v>9</v>
      </c>
      <c r="F6767" s="4">
        <v>61</v>
      </c>
      <c r="G6767" s="4"/>
      <c r="H6767" s="4">
        <f t="shared" si="693"/>
        <v>61</v>
      </c>
    </row>
    <row r="6768" ht="14.25" spans="1:8">
      <c r="A6768" s="3" t="str">
        <f>"30910521729"</f>
        <v>30910521729</v>
      </c>
      <c r="B6768" s="3">
        <v>5</v>
      </c>
      <c r="C6768" s="3">
        <v>217</v>
      </c>
      <c r="D6768" s="3">
        <v>29</v>
      </c>
      <c r="E6768" s="3" t="s">
        <v>9</v>
      </c>
      <c r="F6768" s="3">
        <v>0</v>
      </c>
      <c r="G6768" s="4"/>
      <c r="H6768" s="3">
        <v>0</v>
      </c>
    </row>
    <row r="6769" ht="14.25" spans="1:8">
      <c r="A6769" s="3" t="str">
        <f>"30910521730"</f>
        <v>30910521730</v>
      </c>
      <c r="B6769" s="3">
        <v>5</v>
      </c>
      <c r="C6769" s="3">
        <v>217</v>
      </c>
      <c r="D6769" s="3">
        <v>30</v>
      </c>
      <c r="E6769" s="3" t="s">
        <v>9</v>
      </c>
      <c r="F6769" s="4">
        <v>56</v>
      </c>
      <c r="G6769" s="4"/>
      <c r="H6769" s="4">
        <f t="shared" ref="H6769:H6775" si="694">F6769+G6769</f>
        <v>56</v>
      </c>
    </row>
    <row r="6770" ht="14.25" spans="1:8">
      <c r="A6770" s="3" t="str">
        <f>"30910521801"</f>
        <v>30910521801</v>
      </c>
      <c r="B6770" s="3">
        <v>5</v>
      </c>
      <c r="C6770" s="3">
        <v>218</v>
      </c>
      <c r="D6770" s="3">
        <v>1</v>
      </c>
      <c r="E6770" s="3" t="s">
        <v>9</v>
      </c>
      <c r="F6770" s="3">
        <v>0</v>
      </c>
      <c r="G6770" s="4"/>
      <c r="H6770" s="3">
        <v>0</v>
      </c>
    </row>
    <row r="6771" ht="14.25" spans="1:8">
      <c r="A6771" s="3" t="str">
        <f>"30910521802"</f>
        <v>30910521802</v>
      </c>
      <c r="B6771" s="3">
        <v>5</v>
      </c>
      <c r="C6771" s="3">
        <v>218</v>
      </c>
      <c r="D6771" s="3">
        <v>2</v>
      </c>
      <c r="E6771" s="3" t="s">
        <v>9</v>
      </c>
      <c r="F6771" s="3">
        <v>0</v>
      </c>
      <c r="G6771" s="4"/>
      <c r="H6771" s="3">
        <v>0</v>
      </c>
    </row>
    <row r="6772" ht="14.25" spans="1:8">
      <c r="A6772" s="3" t="str">
        <f>"30910521803"</f>
        <v>30910521803</v>
      </c>
      <c r="B6772" s="3">
        <v>5</v>
      </c>
      <c r="C6772" s="3">
        <v>218</v>
      </c>
      <c r="D6772" s="3">
        <v>3</v>
      </c>
      <c r="E6772" s="3" t="s">
        <v>9</v>
      </c>
      <c r="F6772" s="4">
        <v>79</v>
      </c>
      <c r="G6772" s="4"/>
      <c r="H6772" s="4">
        <f t="shared" si="694"/>
        <v>79</v>
      </c>
    </row>
    <row r="6773" ht="14.25" spans="1:8">
      <c r="A6773" s="3" t="str">
        <f>"30910521804"</f>
        <v>30910521804</v>
      </c>
      <c r="B6773" s="3">
        <v>5</v>
      </c>
      <c r="C6773" s="3">
        <v>218</v>
      </c>
      <c r="D6773" s="3">
        <v>4</v>
      </c>
      <c r="E6773" s="3" t="s">
        <v>9</v>
      </c>
      <c r="F6773" s="4">
        <v>52.5</v>
      </c>
      <c r="G6773" s="4"/>
      <c r="H6773" s="4">
        <f t="shared" si="694"/>
        <v>52.5</v>
      </c>
    </row>
    <row r="6774" ht="14.25" spans="1:8">
      <c r="A6774" s="3" t="str">
        <f>"30910521805"</f>
        <v>30910521805</v>
      </c>
      <c r="B6774" s="3">
        <v>5</v>
      </c>
      <c r="C6774" s="3">
        <v>218</v>
      </c>
      <c r="D6774" s="3">
        <v>5</v>
      </c>
      <c r="E6774" s="3" t="s">
        <v>9</v>
      </c>
      <c r="F6774" s="4">
        <v>68.5</v>
      </c>
      <c r="G6774" s="4"/>
      <c r="H6774" s="4">
        <f t="shared" si="694"/>
        <v>68.5</v>
      </c>
    </row>
    <row r="6775" ht="14.25" spans="1:8">
      <c r="A6775" s="3" t="str">
        <f>"30910521806"</f>
        <v>30910521806</v>
      </c>
      <c r="B6775" s="3">
        <v>5</v>
      </c>
      <c r="C6775" s="3">
        <v>218</v>
      </c>
      <c r="D6775" s="3">
        <v>6</v>
      </c>
      <c r="E6775" s="3" t="s">
        <v>9</v>
      </c>
      <c r="F6775" s="4">
        <v>42.5</v>
      </c>
      <c r="G6775" s="4"/>
      <c r="H6775" s="4">
        <f t="shared" si="694"/>
        <v>42.5</v>
      </c>
    </row>
    <row r="6776" ht="14.25" spans="1:8">
      <c r="A6776" s="3" t="str">
        <f>"30910521807"</f>
        <v>30910521807</v>
      </c>
      <c r="B6776" s="3">
        <v>5</v>
      </c>
      <c r="C6776" s="3">
        <v>218</v>
      </c>
      <c r="D6776" s="3">
        <v>7</v>
      </c>
      <c r="E6776" s="3" t="s">
        <v>9</v>
      </c>
      <c r="F6776" s="3">
        <v>0</v>
      </c>
      <c r="G6776" s="4"/>
      <c r="H6776" s="3">
        <v>0</v>
      </c>
    </row>
    <row r="6777" ht="14.25" spans="1:8">
      <c r="A6777" s="3" t="str">
        <f>"30910521808"</f>
        <v>30910521808</v>
      </c>
      <c r="B6777" s="3">
        <v>5</v>
      </c>
      <c r="C6777" s="3">
        <v>218</v>
      </c>
      <c r="D6777" s="3">
        <v>8</v>
      </c>
      <c r="E6777" s="3" t="s">
        <v>9</v>
      </c>
      <c r="F6777" s="4">
        <v>63</v>
      </c>
      <c r="G6777" s="4"/>
      <c r="H6777" s="4">
        <f t="shared" ref="H6777:H6780" si="695">F6777+G6777</f>
        <v>63</v>
      </c>
    </row>
    <row r="6778" ht="14.25" spans="1:8">
      <c r="A6778" s="3" t="str">
        <f>"30910521809"</f>
        <v>30910521809</v>
      </c>
      <c r="B6778" s="3">
        <v>5</v>
      </c>
      <c r="C6778" s="3">
        <v>218</v>
      </c>
      <c r="D6778" s="3">
        <v>9</v>
      </c>
      <c r="E6778" s="3" t="s">
        <v>9</v>
      </c>
      <c r="F6778" s="4">
        <v>55.5</v>
      </c>
      <c r="G6778" s="4"/>
      <c r="H6778" s="4">
        <f t="shared" si="695"/>
        <v>55.5</v>
      </c>
    </row>
    <row r="6779" ht="14.25" spans="1:8">
      <c r="A6779" s="3" t="str">
        <f>"30910521810"</f>
        <v>30910521810</v>
      </c>
      <c r="B6779" s="3">
        <v>5</v>
      </c>
      <c r="C6779" s="3">
        <v>218</v>
      </c>
      <c r="D6779" s="3">
        <v>10</v>
      </c>
      <c r="E6779" s="3" t="s">
        <v>9</v>
      </c>
      <c r="F6779" s="3">
        <v>0</v>
      </c>
      <c r="G6779" s="4"/>
      <c r="H6779" s="3">
        <v>0</v>
      </c>
    </row>
    <row r="6780" ht="14.25" spans="1:8">
      <c r="A6780" s="3" t="str">
        <f>"30910521811"</f>
        <v>30910521811</v>
      </c>
      <c r="B6780" s="3">
        <v>5</v>
      </c>
      <c r="C6780" s="3">
        <v>218</v>
      </c>
      <c r="D6780" s="3">
        <v>11</v>
      </c>
      <c r="E6780" s="3" t="s">
        <v>9</v>
      </c>
      <c r="F6780" s="4">
        <v>53</v>
      </c>
      <c r="G6780" s="4"/>
      <c r="H6780" s="4">
        <f t="shared" si="695"/>
        <v>53</v>
      </c>
    </row>
    <row r="6781" ht="14.25" spans="1:8">
      <c r="A6781" s="3" t="str">
        <f>"30910521812"</f>
        <v>30910521812</v>
      </c>
      <c r="B6781" s="3">
        <v>5</v>
      </c>
      <c r="C6781" s="3">
        <v>218</v>
      </c>
      <c r="D6781" s="3">
        <v>12</v>
      </c>
      <c r="E6781" s="3" t="s">
        <v>9</v>
      </c>
      <c r="F6781" s="3">
        <v>0</v>
      </c>
      <c r="G6781" s="4"/>
      <c r="H6781" s="3">
        <v>0</v>
      </c>
    </row>
    <row r="6782" ht="14.25" spans="1:8">
      <c r="A6782" s="3" t="str">
        <f>"30911521813"</f>
        <v>30911521813</v>
      </c>
      <c r="B6782" s="3">
        <v>5</v>
      </c>
      <c r="C6782" s="3">
        <v>218</v>
      </c>
      <c r="D6782" s="3">
        <v>13</v>
      </c>
      <c r="E6782" s="3" t="s">
        <v>9</v>
      </c>
      <c r="F6782" s="3">
        <v>0</v>
      </c>
      <c r="G6782" s="4"/>
      <c r="H6782" s="3">
        <v>0</v>
      </c>
    </row>
    <row r="6783" ht="14.25" spans="1:8">
      <c r="A6783" s="3" t="str">
        <f>"30911521814"</f>
        <v>30911521814</v>
      </c>
      <c r="B6783" s="3">
        <v>5</v>
      </c>
      <c r="C6783" s="3">
        <v>218</v>
      </c>
      <c r="D6783" s="3">
        <v>14</v>
      </c>
      <c r="E6783" s="3" t="s">
        <v>9</v>
      </c>
      <c r="F6783" s="4">
        <v>64.5</v>
      </c>
      <c r="G6783" s="4"/>
      <c r="H6783" s="4">
        <f t="shared" ref="H6783:H6785" si="696">F6783+G6783</f>
        <v>64.5</v>
      </c>
    </row>
    <row r="6784" ht="14.25" spans="1:8">
      <c r="A6784" s="3" t="str">
        <f>"30911521815"</f>
        <v>30911521815</v>
      </c>
      <c r="B6784" s="3">
        <v>5</v>
      </c>
      <c r="C6784" s="3">
        <v>218</v>
      </c>
      <c r="D6784" s="3">
        <v>15</v>
      </c>
      <c r="E6784" s="3" t="s">
        <v>9</v>
      </c>
      <c r="F6784" s="4">
        <v>61</v>
      </c>
      <c r="G6784" s="4"/>
      <c r="H6784" s="4">
        <f t="shared" si="696"/>
        <v>61</v>
      </c>
    </row>
    <row r="6785" ht="14.25" spans="1:8">
      <c r="A6785" s="3" t="str">
        <f>"30911521816"</f>
        <v>30911521816</v>
      </c>
      <c r="B6785" s="3">
        <v>5</v>
      </c>
      <c r="C6785" s="3">
        <v>218</v>
      </c>
      <c r="D6785" s="3">
        <v>16</v>
      </c>
      <c r="E6785" s="3" t="s">
        <v>9</v>
      </c>
      <c r="F6785" s="4">
        <v>79.5</v>
      </c>
      <c r="G6785" s="4"/>
      <c r="H6785" s="4">
        <f t="shared" si="696"/>
        <v>79.5</v>
      </c>
    </row>
    <row r="6786" ht="14.25" spans="1:8">
      <c r="A6786" s="3" t="str">
        <f>"30911521817"</f>
        <v>30911521817</v>
      </c>
      <c r="B6786" s="3">
        <v>5</v>
      </c>
      <c r="C6786" s="3">
        <v>218</v>
      </c>
      <c r="D6786" s="3">
        <v>17</v>
      </c>
      <c r="E6786" s="3" t="s">
        <v>9</v>
      </c>
      <c r="F6786" s="3">
        <v>0</v>
      </c>
      <c r="G6786" s="4"/>
      <c r="H6786" s="3">
        <v>0</v>
      </c>
    </row>
    <row r="6787" ht="14.25" spans="1:8">
      <c r="A6787" s="3" t="str">
        <f>"30911521818"</f>
        <v>30911521818</v>
      </c>
      <c r="B6787" s="3">
        <v>5</v>
      </c>
      <c r="C6787" s="3">
        <v>218</v>
      </c>
      <c r="D6787" s="3">
        <v>18</v>
      </c>
      <c r="E6787" s="3" t="s">
        <v>9</v>
      </c>
      <c r="F6787" s="3">
        <v>0</v>
      </c>
      <c r="G6787" s="4"/>
      <c r="H6787" s="3">
        <v>0</v>
      </c>
    </row>
    <row r="6788" ht="14.25" spans="1:8">
      <c r="A6788" s="3" t="str">
        <f>"30911521819"</f>
        <v>30911521819</v>
      </c>
      <c r="B6788" s="3">
        <v>5</v>
      </c>
      <c r="C6788" s="3">
        <v>218</v>
      </c>
      <c r="D6788" s="3">
        <v>19</v>
      </c>
      <c r="E6788" s="3" t="s">
        <v>9</v>
      </c>
      <c r="F6788" s="3">
        <v>0</v>
      </c>
      <c r="G6788" s="4"/>
      <c r="H6788" s="3">
        <v>0</v>
      </c>
    </row>
    <row r="6789" ht="14.25" spans="1:8">
      <c r="A6789" s="3" t="str">
        <f>"30911521820"</f>
        <v>30911521820</v>
      </c>
      <c r="B6789" s="3">
        <v>5</v>
      </c>
      <c r="C6789" s="3">
        <v>218</v>
      </c>
      <c r="D6789" s="3">
        <v>20</v>
      </c>
      <c r="E6789" s="3" t="s">
        <v>9</v>
      </c>
      <c r="F6789" s="3">
        <v>0</v>
      </c>
      <c r="G6789" s="4"/>
      <c r="H6789" s="3">
        <v>0</v>
      </c>
    </row>
    <row r="6790" ht="14.25" spans="1:8">
      <c r="A6790" s="3" t="str">
        <f>"30911521821"</f>
        <v>30911521821</v>
      </c>
      <c r="B6790" s="3">
        <v>5</v>
      </c>
      <c r="C6790" s="3">
        <v>218</v>
      </c>
      <c r="D6790" s="3">
        <v>21</v>
      </c>
      <c r="E6790" s="3" t="s">
        <v>9</v>
      </c>
      <c r="F6790" s="3">
        <v>0</v>
      </c>
      <c r="G6790" s="4"/>
      <c r="H6790" s="3">
        <v>0</v>
      </c>
    </row>
    <row r="6791" ht="14.25" spans="1:8">
      <c r="A6791" s="3" t="str">
        <f>"30912521822"</f>
        <v>30912521822</v>
      </c>
      <c r="B6791" s="3">
        <v>5</v>
      </c>
      <c r="C6791" s="3">
        <v>218</v>
      </c>
      <c r="D6791" s="3">
        <v>22</v>
      </c>
      <c r="E6791" s="3" t="s">
        <v>9</v>
      </c>
      <c r="F6791" s="4">
        <v>70.5</v>
      </c>
      <c r="G6791" s="4"/>
      <c r="H6791" s="4">
        <f t="shared" ref="H6791:H6801" si="697">F6791+G6791</f>
        <v>70.5</v>
      </c>
    </row>
    <row r="6792" ht="14.25" spans="1:8">
      <c r="A6792" s="3" t="str">
        <f>"30912521823"</f>
        <v>30912521823</v>
      </c>
      <c r="B6792" s="3">
        <v>5</v>
      </c>
      <c r="C6792" s="3">
        <v>218</v>
      </c>
      <c r="D6792" s="3">
        <v>23</v>
      </c>
      <c r="E6792" s="3" t="s">
        <v>9</v>
      </c>
      <c r="F6792" s="4">
        <v>78</v>
      </c>
      <c r="G6792" s="4"/>
      <c r="H6792" s="4">
        <f t="shared" si="697"/>
        <v>78</v>
      </c>
    </row>
    <row r="6793" ht="14.25" spans="1:8">
      <c r="A6793" s="3" t="str">
        <f>"30912521824"</f>
        <v>30912521824</v>
      </c>
      <c r="B6793" s="3">
        <v>5</v>
      </c>
      <c r="C6793" s="3">
        <v>218</v>
      </c>
      <c r="D6793" s="3">
        <v>24</v>
      </c>
      <c r="E6793" s="3" t="s">
        <v>9</v>
      </c>
      <c r="F6793" s="4">
        <v>85.5</v>
      </c>
      <c r="G6793" s="4"/>
      <c r="H6793" s="4">
        <f t="shared" si="697"/>
        <v>85.5</v>
      </c>
    </row>
    <row r="6794" ht="14.25" spans="1:8">
      <c r="A6794" s="3" t="str">
        <f>"30912521825"</f>
        <v>30912521825</v>
      </c>
      <c r="B6794" s="3">
        <v>5</v>
      </c>
      <c r="C6794" s="3">
        <v>218</v>
      </c>
      <c r="D6794" s="3">
        <v>25</v>
      </c>
      <c r="E6794" s="3" t="s">
        <v>9</v>
      </c>
      <c r="F6794" s="4">
        <v>86</v>
      </c>
      <c r="G6794" s="4"/>
      <c r="H6794" s="4">
        <f t="shared" si="697"/>
        <v>86</v>
      </c>
    </row>
    <row r="6795" ht="14.25" spans="1:8">
      <c r="A6795" s="3" t="str">
        <f>"30912521826"</f>
        <v>30912521826</v>
      </c>
      <c r="B6795" s="3">
        <v>5</v>
      </c>
      <c r="C6795" s="3">
        <v>218</v>
      </c>
      <c r="D6795" s="3">
        <v>26</v>
      </c>
      <c r="E6795" s="3" t="s">
        <v>9</v>
      </c>
      <c r="F6795" s="4">
        <v>71</v>
      </c>
      <c r="G6795" s="4"/>
      <c r="H6795" s="4">
        <f t="shared" si="697"/>
        <v>71</v>
      </c>
    </row>
    <row r="6796" ht="14.25" spans="1:8">
      <c r="A6796" s="3" t="str">
        <f>"30912521827"</f>
        <v>30912521827</v>
      </c>
      <c r="B6796" s="3">
        <v>5</v>
      </c>
      <c r="C6796" s="3">
        <v>218</v>
      </c>
      <c r="D6796" s="3">
        <v>27</v>
      </c>
      <c r="E6796" s="3" t="s">
        <v>9</v>
      </c>
      <c r="F6796" s="4">
        <v>62</v>
      </c>
      <c r="G6796" s="4"/>
      <c r="H6796" s="4">
        <f t="shared" si="697"/>
        <v>62</v>
      </c>
    </row>
    <row r="6797" ht="14.25" spans="1:8">
      <c r="A6797" s="3" t="str">
        <f>"30912521828"</f>
        <v>30912521828</v>
      </c>
      <c r="B6797" s="3">
        <v>5</v>
      </c>
      <c r="C6797" s="3">
        <v>218</v>
      </c>
      <c r="D6797" s="3">
        <v>28</v>
      </c>
      <c r="E6797" s="3" t="s">
        <v>9</v>
      </c>
      <c r="F6797" s="4">
        <v>71.5</v>
      </c>
      <c r="G6797" s="4"/>
      <c r="H6797" s="4">
        <f t="shared" si="697"/>
        <v>71.5</v>
      </c>
    </row>
    <row r="6798" ht="14.25" spans="1:8">
      <c r="A6798" s="3" t="str">
        <f>"30912521829"</f>
        <v>30912521829</v>
      </c>
      <c r="B6798" s="3">
        <v>5</v>
      </c>
      <c r="C6798" s="3">
        <v>218</v>
      </c>
      <c r="D6798" s="3">
        <v>29</v>
      </c>
      <c r="E6798" s="3" t="s">
        <v>9</v>
      </c>
      <c r="F6798" s="4">
        <v>71.5</v>
      </c>
      <c r="G6798" s="4"/>
      <c r="H6798" s="4">
        <f t="shared" si="697"/>
        <v>71.5</v>
      </c>
    </row>
    <row r="6799" ht="14.25" spans="1:8">
      <c r="A6799" s="3" t="str">
        <f>"30912521830"</f>
        <v>30912521830</v>
      </c>
      <c r="B6799" s="3">
        <v>5</v>
      </c>
      <c r="C6799" s="3">
        <v>218</v>
      </c>
      <c r="D6799" s="3">
        <v>30</v>
      </c>
      <c r="E6799" s="3" t="s">
        <v>9</v>
      </c>
      <c r="F6799" s="4">
        <v>78</v>
      </c>
      <c r="G6799" s="4"/>
      <c r="H6799" s="4">
        <f t="shared" si="697"/>
        <v>78</v>
      </c>
    </row>
    <row r="6800" ht="14.25" spans="1:8">
      <c r="A6800" s="3" t="str">
        <f>"30912521901"</f>
        <v>30912521901</v>
      </c>
      <c r="B6800" s="3">
        <v>5</v>
      </c>
      <c r="C6800" s="3">
        <v>219</v>
      </c>
      <c r="D6800" s="3">
        <v>1</v>
      </c>
      <c r="E6800" s="3" t="s">
        <v>9</v>
      </c>
      <c r="F6800" s="4">
        <v>76</v>
      </c>
      <c r="G6800" s="4"/>
      <c r="H6800" s="4">
        <f t="shared" si="697"/>
        <v>76</v>
      </c>
    </row>
    <row r="6801" ht="14.25" spans="1:8">
      <c r="A6801" s="3" t="str">
        <f>"30912521902"</f>
        <v>30912521902</v>
      </c>
      <c r="B6801" s="3">
        <v>5</v>
      </c>
      <c r="C6801" s="3">
        <v>219</v>
      </c>
      <c r="D6801" s="3">
        <v>2</v>
      </c>
      <c r="E6801" s="3" t="s">
        <v>9</v>
      </c>
      <c r="F6801" s="4">
        <v>76.5</v>
      </c>
      <c r="G6801" s="4"/>
      <c r="H6801" s="4">
        <f t="shared" si="697"/>
        <v>76.5</v>
      </c>
    </row>
    <row r="6802" ht="14.25" spans="1:8">
      <c r="A6802" s="3" t="str">
        <f>"30912521903"</f>
        <v>30912521903</v>
      </c>
      <c r="B6802" s="3">
        <v>5</v>
      </c>
      <c r="C6802" s="3">
        <v>219</v>
      </c>
      <c r="D6802" s="3">
        <v>3</v>
      </c>
      <c r="E6802" s="3" t="s">
        <v>9</v>
      </c>
      <c r="F6802" s="3">
        <v>0</v>
      </c>
      <c r="G6802" s="4"/>
      <c r="H6802" s="3">
        <v>0</v>
      </c>
    </row>
    <row r="6803" ht="14.25" spans="1:8">
      <c r="A6803" s="3" t="str">
        <f>"30912521904"</f>
        <v>30912521904</v>
      </c>
      <c r="B6803" s="3">
        <v>5</v>
      </c>
      <c r="C6803" s="3">
        <v>219</v>
      </c>
      <c r="D6803" s="3">
        <v>4</v>
      </c>
      <c r="E6803" s="3" t="s">
        <v>9</v>
      </c>
      <c r="F6803" s="4">
        <v>77.5</v>
      </c>
      <c r="G6803" s="4"/>
      <c r="H6803" s="4">
        <f t="shared" ref="H6803:H6811" si="698">F6803+G6803</f>
        <v>77.5</v>
      </c>
    </row>
    <row r="6804" ht="14.25" spans="1:8">
      <c r="A6804" s="3" t="str">
        <f>"30912521905"</f>
        <v>30912521905</v>
      </c>
      <c r="B6804" s="3">
        <v>5</v>
      </c>
      <c r="C6804" s="3">
        <v>219</v>
      </c>
      <c r="D6804" s="3">
        <v>5</v>
      </c>
      <c r="E6804" s="3" t="s">
        <v>9</v>
      </c>
      <c r="F6804" s="4">
        <v>71</v>
      </c>
      <c r="G6804" s="4"/>
      <c r="H6804" s="4">
        <f t="shared" si="698"/>
        <v>71</v>
      </c>
    </row>
    <row r="6805" ht="14.25" spans="1:8">
      <c r="A6805" s="3" t="str">
        <f>"30912521906"</f>
        <v>30912521906</v>
      </c>
      <c r="B6805" s="3">
        <v>5</v>
      </c>
      <c r="C6805" s="3">
        <v>219</v>
      </c>
      <c r="D6805" s="3">
        <v>6</v>
      </c>
      <c r="E6805" s="3" t="s">
        <v>9</v>
      </c>
      <c r="F6805" s="4">
        <v>63</v>
      </c>
      <c r="G6805" s="4"/>
      <c r="H6805" s="4">
        <f t="shared" si="698"/>
        <v>63</v>
      </c>
    </row>
    <row r="6806" ht="14.25" spans="1:8">
      <c r="A6806" s="3" t="str">
        <f>"30912521907"</f>
        <v>30912521907</v>
      </c>
      <c r="B6806" s="3">
        <v>5</v>
      </c>
      <c r="C6806" s="3">
        <v>219</v>
      </c>
      <c r="D6806" s="3">
        <v>7</v>
      </c>
      <c r="E6806" s="3" t="s">
        <v>9</v>
      </c>
      <c r="F6806" s="4">
        <v>59</v>
      </c>
      <c r="G6806" s="4"/>
      <c r="H6806" s="4">
        <f t="shared" si="698"/>
        <v>59</v>
      </c>
    </row>
    <row r="6807" ht="14.25" spans="1:8">
      <c r="A6807" s="3" t="str">
        <f>"30912521908"</f>
        <v>30912521908</v>
      </c>
      <c r="B6807" s="3">
        <v>5</v>
      </c>
      <c r="C6807" s="3">
        <v>219</v>
      </c>
      <c r="D6807" s="3">
        <v>8</v>
      </c>
      <c r="E6807" s="3" t="s">
        <v>9</v>
      </c>
      <c r="F6807" s="4">
        <v>62</v>
      </c>
      <c r="G6807" s="4"/>
      <c r="H6807" s="4">
        <f t="shared" si="698"/>
        <v>62</v>
      </c>
    </row>
    <row r="6808" ht="14.25" spans="1:8">
      <c r="A6808" s="3" t="str">
        <f>"30912521909"</f>
        <v>30912521909</v>
      </c>
      <c r="B6808" s="3">
        <v>5</v>
      </c>
      <c r="C6808" s="3">
        <v>219</v>
      </c>
      <c r="D6808" s="3">
        <v>9</v>
      </c>
      <c r="E6808" s="3" t="s">
        <v>9</v>
      </c>
      <c r="F6808" s="4">
        <v>64.5</v>
      </c>
      <c r="G6808" s="4"/>
      <c r="H6808" s="4">
        <f t="shared" si="698"/>
        <v>64.5</v>
      </c>
    </row>
    <row r="6809" ht="14.25" spans="1:8">
      <c r="A6809" s="3" t="str">
        <f>"30912521910"</f>
        <v>30912521910</v>
      </c>
      <c r="B6809" s="3">
        <v>5</v>
      </c>
      <c r="C6809" s="3">
        <v>219</v>
      </c>
      <c r="D6809" s="3">
        <v>10</v>
      </c>
      <c r="E6809" s="3" t="s">
        <v>9</v>
      </c>
      <c r="F6809" s="4">
        <v>71</v>
      </c>
      <c r="G6809" s="4"/>
      <c r="H6809" s="4">
        <f t="shared" si="698"/>
        <v>71</v>
      </c>
    </row>
    <row r="6810" ht="14.25" spans="1:8">
      <c r="A6810" s="3" t="str">
        <f>"30912521911"</f>
        <v>30912521911</v>
      </c>
      <c r="B6810" s="3">
        <v>5</v>
      </c>
      <c r="C6810" s="3">
        <v>219</v>
      </c>
      <c r="D6810" s="3">
        <v>11</v>
      </c>
      <c r="E6810" s="3" t="s">
        <v>9</v>
      </c>
      <c r="F6810" s="4">
        <v>84.5</v>
      </c>
      <c r="G6810" s="4"/>
      <c r="H6810" s="4">
        <f t="shared" si="698"/>
        <v>84.5</v>
      </c>
    </row>
    <row r="6811" ht="14.25" spans="1:8">
      <c r="A6811" s="3" t="str">
        <f>"30912521912"</f>
        <v>30912521912</v>
      </c>
      <c r="B6811" s="3">
        <v>5</v>
      </c>
      <c r="C6811" s="3">
        <v>219</v>
      </c>
      <c r="D6811" s="3">
        <v>12</v>
      </c>
      <c r="E6811" s="3" t="s">
        <v>9</v>
      </c>
      <c r="F6811" s="4">
        <v>64.5</v>
      </c>
      <c r="G6811" s="4"/>
      <c r="H6811" s="4">
        <f t="shared" si="698"/>
        <v>64.5</v>
      </c>
    </row>
    <row r="6812" ht="14.25" spans="1:8">
      <c r="A6812" s="3" t="str">
        <f>"30912521913"</f>
        <v>30912521913</v>
      </c>
      <c r="B6812" s="3">
        <v>5</v>
      </c>
      <c r="C6812" s="3">
        <v>219</v>
      </c>
      <c r="D6812" s="3">
        <v>13</v>
      </c>
      <c r="E6812" s="3" t="s">
        <v>9</v>
      </c>
      <c r="F6812" s="3">
        <v>0</v>
      </c>
      <c r="G6812" s="4"/>
      <c r="H6812" s="3">
        <v>0</v>
      </c>
    </row>
    <row r="6813" ht="14.25" spans="1:8">
      <c r="A6813" s="3" t="str">
        <f>"30912521914"</f>
        <v>30912521914</v>
      </c>
      <c r="B6813" s="3">
        <v>5</v>
      </c>
      <c r="C6813" s="3">
        <v>219</v>
      </c>
      <c r="D6813" s="3">
        <v>14</v>
      </c>
      <c r="E6813" s="3" t="s">
        <v>9</v>
      </c>
      <c r="F6813" s="4">
        <v>64.5</v>
      </c>
      <c r="G6813" s="4"/>
      <c r="H6813" s="4">
        <f t="shared" ref="H6813:H6816" si="699">F6813+G6813</f>
        <v>64.5</v>
      </c>
    </row>
    <row r="6814" ht="14.25" spans="1:8">
      <c r="A6814" s="3" t="str">
        <f>"30912521915"</f>
        <v>30912521915</v>
      </c>
      <c r="B6814" s="3">
        <v>5</v>
      </c>
      <c r="C6814" s="3">
        <v>219</v>
      </c>
      <c r="D6814" s="3">
        <v>15</v>
      </c>
      <c r="E6814" s="3" t="s">
        <v>9</v>
      </c>
      <c r="F6814" s="4">
        <v>60.5</v>
      </c>
      <c r="G6814" s="4"/>
      <c r="H6814" s="4">
        <f t="shared" si="699"/>
        <v>60.5</v>
      </c>
    </row>
    <row r="6815" ht="14.25" spans="1:8">
      <c r="A6815" s="3" t="str">
        <f>"30912521916"</f>
        <v>30912521916</v>
      </c>
      <c r="B6815" s="3">
        <v>5</v>
      </c>
      <c r="C6815" s="3">
        <v>219</v>
      </c>
      <c r="D6815" s="3">
        <v>16</v>
      </c>
      <c r="E6815" s="3" t="s">
        <v>9</v>
      </c>
      <c r="F6815" s="4">
        <v>68.5</v>
      </c>
      <c r="G6815" s="4"/>
      <c r="H6815" s="4">
        <f t="shared" si="699"/>
        <v>68.5</v>
      </c>
    </row>
    <row r="6816" ht="14.25" spans="1:8">
      <c r="A6816" s="3" t="str">
        <f>"30912521917"</f>
        <v>30912521917</v>
      </c>
      <c r="B6816" s="3">
        <v>5</v>
      </c>
      <c r="C6816" s="3">
        <v>219</v>
      </c>
      <c r="D6816" s="3">
        <v>17</v>
      </c>
      <c r="E6816" s="3" t="s">
        <v>9</v>
      </c>
      <c r="F6816" s="4">
        <v>69</v>
      </c>
      <c r="G6816" s="4"/>
      <c r="H6816" s="4">
        <f t="shared" si="699"/>
        <v>69</v>
      </c>
    </row>
    <row r="6817" ht="14.25" spans="1:8">
      <c r="A6817" s="3" t="str">
        <f>"30912521918"</f>
        <v>30912521918</v>
      </c>
      <c r="B6817" s="3">
        <v>5</v>
      </c>
      <c r="C6817" s="3">
        <v>219</v>
      </c>
      <c r="D6817" s="3">
        <v>18</v>
      </c>
      <c r="E6817" s="3" t="s">
        <v>9</v>
      </c>
      <c r="F6817" s="3">
        <v>0</v>
      </c>
      <c r="G6817" s="4"/>
      <c r="H6817" s="3">
        <v>0</v>
      </c>
    </row>
    <row r="6818" ht="14.25" spans="1:8">
      <c r="A6818" s="3" t="str">
        <f>"30912521919"</f>
        <v>30912521919</v>
      </c>
      <c r="B6818" s="3">
        <v>5</v>
      </c>
      <c r="C6818" s="3">
        <v>219</v>
      </c>
      <c r="D6818" s="3">
        <v>19</v>
      </c>
      <c r="E6818" s="3" t="s">
        <v>9</v>
      </c>
      <c r="F6818" s="4">
        <v>68</v>
      </c>
      <c r="G6818" s="4"/>
      <c r="H6818" s="4">
        <f t="shared" ref="H6818:H6821" si="700">F6818+G6818</f>
        <v>68</v>
      </c>
    </row>
    <row r="6819" ht="14.25" spans="1:8">
      <c r="A6819" s="3" t="str">
        <f>"30912521920"</f>
        <v>30912521920</v>
      </c>
      <c r="B6819" s="3">
        <v>5</v>
      </c>
      <c r="C6819" s="3">
        <v>219</v>
      </c>
      <c r="D6819" s="3">
        <v>20</v>
      </c>
      <c r="E6819" s="3" t="s">
        <v>9</v>
      </c>
      <c r="F6819" s="4">
        <v>60</v>
      </c>
      <c r="G6819" s="4"/>
      <c r="H6819" s="4">
        <f t="shared" si="700"/>
        <v>60</v>
      </c>
    </row>
    <row r="6820" ht="14.25" spans="1:8">
      <c r="A6820" s="3" t="str">
        <f>"30912521921"</f>
        <v>30912521921</v>
      </c>
      <c r="B6820" s="3">
        <v>5</v>
      </c>
      <c r="C6820" s="3">
        <v>219</v>
      </c>
      <c r="D6820" s="3">
        <v>21</v>
      </c>
      <c r="E6820" s="3" t="s">
        <v>9</v>
      </c>
      <c r="F6820" s="3">
        <v>0</v>
      </c>
      <c r="G6820" s="4"/>
      <c r="H6820" s="3">
        <v>0</v>
      </c>
    </row>
    <row r="6821" ht="14.25" spans="1:8">
      <c r="A6821" s="3" t="str">
        <f>"30912521922"</f>
        <v>30912521922</v>
      </c>
      <c r="B6821" s="3">
        <v>5</v>
      </c>
      <c r="C6821" s="3">
        <v>219</v>
      </c>
      <c r="D6821" s="3">
        <v>22</v>
      </c>
      <c r="E6821" s="3" t="s">
        <v>9</v>
      </c>
      <c r="F6821" s="4">
        <v>56</v>
      </c>
      <c r="G6821" s="4"/>
      <c r="H6821" s="4">
        <f t="shared" si="700"/>
        <v>56</v>
      </c>
    </row>
    <row r="6822" ht="14.25" spans="1:8">
      <c r="A6822" s="3" t="str">
        <f>"30912521923"</f>
        <v>30912521923</v>
      </c>
      <c r="B6822" s="3">
        <v>5</v>
      </c>
      <c r="C6822" s="3">
        <v>219</v>
      </c>
      <c r="D6822" s="3">
        <v>23</v>
      </c>
      <c r="E6822" s="3" t="s">
        <v>9</v>
      </c>
      <c r="F6822" s="3">
        <v>0</v>
      </c>
      <c r="G6822" s="4"/>
      <c r="H6822" s="3">
        <v>0</v>
      </c>
    </row>
    <row r="6823" ht="14.25" spans="1:8">
      <c r="A6823" s="3" t="str">
        <f>"30913521924"</f>
        <v>30913521924</v>
      </c>
      <c r="B6823" s="3">
        <v>5</v>
      </c>
      <c r="C6823" s="3">
        <v>219</v>
      </c>
      <c r="D6823" s="3">
        <v>24</v>
      </c>
      <c r="E6823" s="3" t="s">
        <v>9</v>
      </c>
      <c r="F6823" s="4">
        <v>61</v>
      </c>
      <c r="G6823" s="4"/>
      <c r="H6823" s="4">
        <f t="shared" ref="H6823:H6829" si="701">F6823+G6823</f>
        <v>61</v>
      </c>
    </row>
    <row r="6824" ht="14.25" spans="1:8">
      <c r="A6824" s="3" t="str">
        <f>"30913521925"</f>
        <v>30913521925</v>
      </c>
      <c r="B6824" s="3">
        <v>5</v>
      </c>
      <c r="C6824" s="3">
        <v>219</v>
      </c>
      <c r="D6824" s="3">
        <v>25</v>
      </c>
      <c r="E6824" s="3" t="s">
        <v>9</v>
      </c>
      <c r="F6824" s="3">
        <v>0</v>
      </c>
      <c r="G6824" s="4"/>
      <c r="H6824" s="3">
        <v>0</v>
      </c>
    </row>
    <row r="6825" ht="14.25" spans="1:8">
      <c r="A6825" s="3" t="str">
        <f>"30913521926"</f>
        <v>30913521926</v>
      </c>
      <c r="B6825" s="3">
        <v>5</v>
      </c>
      <c r="C6825" s="3">
        <v>219</v>
      </c>
      <c r="D6825" s="3">
        <v>26</v>
      </c>
      <c r="E6825" s="3" t="s">
        <v>9</v>
      </c>
      <c r="F6825" s="4">
        <v>70</v>
      </c>
      <c r="G6825" s="4"/>
      <c r="H6825" s="4">
        <f t="shared" si="701"/>
        <v>70</v>
      </c>
    </row>
    <row r="6826" ht="14.25" spans="1:8">
      <c r="A6826" s="3" t="str">
        <f>"30913521927"</f>
        <v>30913521927</v>
      </c>
      <c r="B6826" s="3">
        <v>5</v>
      </c>
      <c r="C6826" s="3">
        <v>219</v>
      </c>
      <c r="D6826" s="3">
        <v>27</v>
      </c>
      <c r="E6826" s="3" t="s">
        <v>9</v>
      </c>
      <c r="F6826" s="4">
        <v>74.5</v>
      </c>
      <c r="G6826" s="4"/>
      <c r="H6826" s="4">
        <f t="shared" si="701"/>
        <v>74.5</v>
      </c>
    </row>
    <row r="6827" ht="14.25" spans="1:8">
      <c r="A6827" s="3" t="str">
        <f>"30913521928"</f>
        <v>30913521928</v>
      </c>
      <c r="B6827" s="3">
        <v>5</v>
      </c>
      <c r="C6827" s="3">
        <v>219</v>
      </c>
      <c r="D6827" s="3">
        <v>28</v>
      </c>
      <c r="E6827" s="3" t="s">
        <v>9</v>
      </c>
      <c r="F6827" s="4">
        <v>57.5</v>
      </c>
      <c r="G6827" s="4"/>
      <c r="H6827" s="4">
        <f t="shared" si="701"/>
        <v>57.5</v>
      </c>
    </row>
    <row r="6828" ht="14.25" spans="1:8">
      <c r="A6828" s="3" t="str">
        <f>"30913521929"</f>
        <v>30913521929</v>
      </c>
      <c r="B6828" s="3">
        <v>5</v>
      </c>
      <c r="C6828" s="3">
        <v>219</v>
      </c>
      <c r="D6828" s="3">
        <v>29</v>
      </c>
      <c r="E6828" s="3" t="s">
        <v>9</v>
      </c>
      <c r="F6828" s="4">
        <v>81.5</v>
      </c>
      <c r="G6828" s="4"/>
      <c r="H6828" s="4">
        <f t="shared" si="701"/>
        <v>81.5</v>
      </c>
    </row>
    <row r="6829" ht="14.25" spans="1:8">
      <c r="A6829" s="3" t="str">
        <f>"30913521930"</f>
        <v>30913521930</v>
      </c>
      <c r="B6829" s="3">
        <v>5</v>
      </c>
      <c r="C6829" s="3">
        <v>219</v>
      </c>
      <c r="D6829" s="3">
        <v>30</v>
      </c>
      <c r="E6829" s="3" t="s">
        <v>9</v>
      </c>
      <c r="F6829" s="4">
        <v>53</v>
      </c>
      <c r="G6829" s="4"/>
      <c r="H6829" s="4">
        <f t="shared" si="701"/>
        <v>53</v>
      </c>
    </row>
    <row r="6830" ht="14.25" spans="1:8">
      <c r="A6830" s="3" t="str">
        <f>"30913522001"</f>
        <v>30913522001</v>
      </c>
      <c r="B6830" s="3">
        <v>5</v>
      </c>
      <c r="C6830" s="3">
        <v>220</v>
      </c>
      <c r="D6830" s="3">
        <v>1</v>
      </c>
      <c r="E6830" s="3" t="s">
        <v>9</v>
      </c>
      <c r="F6830" s="3">
        <v>0</v>
      </c>
      <c r="G6830" s="4"/>
      <c r="H6830" s="3">
        <v>0</v>
      </c>
    </row>
    <row r="6831" ht="14.25" spans="1:8">
      <c r="A6831" s="3" t="str">
        <f>"30913522002"</f>
        <v>30913522002</v>
      </c>
      <c r="B6831" s="3">
        <v>5</v>
      </c>
      <c r="C6831" s="3">
        <v>220</v>
      </c>
      <c r="D6831" s="3">
        <v>2</v>
      </c>
      <c r="E6831" s="3" t="s">
        <v>9</v>
      </c>
      <c r="F6831" s="4">
        <v>71.5</v>
      </c>
      <c r="G6831" s="4"/>
      <c r="H6831" s="4">
        <f t="shared" ref="H6831:H6839" si="702">F6831+G6831</f>
        <v>71.5</v>
      </c>
    </row>
    <row r="6832" ht="14.25" spans="1:8">
      <c r="A6832" s="3" t="str">
        <f>"30913522003"</f>
        <v>30913522003</v>
      </c>
      <c r="B6832" s="3">
        <v>5</v>
      </c>
      <c r="C6832" s="3">
        <v>220</v>
      </c>
      <c r="D6832" s="3">
        <v>3</v>
      </c>
      <c r="E6832" s="3" t="s">
        <v>9</v>
      </c>
      <c r="F6832" s="3">
        <v>0</v>
      </c>
      <c r="G6832" s="4"/>
      <c r="H6832" s="3">
        <v>0</v>
      </c>
    </row>
    <row r="6833" ht="14.25" spans="1:8">
      <c r="A6833" s="3" t="str">
        <f>"30913522004"</f>
        <v>30913522004</v>
      </c>
      <c r="B6833" s="3">
        <v>5</v>
      </c>
      <c r="C6833" s="3">
        <v>220</v>
      </c>
      <c r="D6833" s="3">
        <v>4</v>
      </c>
      <c r="E6833" s="3" t="s">
        <v>9</v>
      </c>
      <c r="F6833" s="4">
        <v>57.5</v>
      </c>
      <c r="G6833" s="4">
        <v>10</v>
      </c>
      <c r="H6833" s="4">
        <f t="shared" si="702"/>
        <v>67.5</v>
      </c>
    </row>
    <row r="6834" ht="14.25" spans="1:8">
      <c r="A6834" s="3" t="str">
        <f>"30913522005"</f>
        <v>30913522005</v>
      </c>
      <c r="B6834" s="3">
        <v>5</v>
      </c>
      <c r="C6834" s="3">
        <v>220</v>
      </c>
      <c r="D6834" s="3">
        <v>5</v>
      </c>
      <c r="E6834" s="3" t="s">
        <v>9</v>
      </c>
      <c r="F6834" s="4">
        <v>64</v>
      </c>
      <c r="G6834" s="4"/>
      <c r="H6834" s="4">
        <f t="shared" si="702"/>
        <v>64</v>
      </c>
    </row>
    <row r="6835" ht="14.25" spans="1:8">
      <c r="A6835" s="3" t="str">
        <f>"30913522006"</f>
        <v>30913522006</v>
      </c>
      <c r="B6835" s="3">
        <v>5</v>
      </c>
      <c r="C6835" s="3">
        <v>220</v>
      </c>
      <c r="D6835" s="3">
        <v>6</v>
      </c>
      <c r="E6835" s="3" t="s">
        <v>9</v>
      </c>
      <c r="F6835" s="4">
        <v>72.5</v>
      </c>
      <c r="G6835" s="4"/>
      <c r="H6835" s="4">
        <f t="shared" si="702"/>
        <v>72.5</v>
      </c>
    </row>
    <row r="6836" ht="14.25" spans="1:8">
      <c r="A6836" s="3" t="str">
        <f>"31001522007"</f>
        <v>31001522007</v>
      </c>
      <c r="B6836" s="3">
        <v>5</v>
      </c>
      <c r="C6836" s="3">
        <v>220</v>
      </c>
      <c r="D6836" s="3">
        <v>7</v>
      </c>
      <c r="E6836" s="3" t="s">
        <v>9</v>
      </c>
      <c r="F6836" s="4">
        <v>69.5</v>
      </c>
      <c r="G6836" s="4"/>
      <c r="H6836" s="4">
        <f t="shared" si="702"/>
        <v>69.5</v>
      </c>
    </row>
    <row r="6837" ht="14.25" spans="1:8">
      <c r="A6837" s="3" t="str">
        <f>"31001522008"</f>
        <v>31001522008</v>
      </c>
      <c r="B6837" s="3">
        <v>5</v>
      </c>
      <c r="C6837" s="3">
        <v>220</v>
      </c>
      <c r="D6837" s="3">
        <v>8</v>
      </c>
      <c r="E6837" s="3" t="s">
        <v>9</v>
      </c>
      <c r="F6837" s="4">
        <v>72</v>
      </c>
      <c r="G6837" s="4"/>
      <c r="H6837" s="4">
        <f t="shared" si="702"/>
        <v>72</v>
      </c>
    </row>
    <row r="6838" ht="14.25" spans="1:8">
      <c r="A6838" s="3" t="str">
        <f>"31001522009"</f>
        <v>31001522009</v>
      </c>
      <c r="B6838" s="3">
        <v>5</v>
      </c>
      <c r="C6838" s="3">
        <v>220</v>
      </c>
      <c r="D6838" s="3">
        <v>9</v>
      </c>
      <c r="E6838" s="3" t="s">
        <v>9</v>
      </c>
      <c r="F6838" s="4">
        <v>60.5</v>
      </c>
      <c r="G6838" s="4"/>
      <c r="H6838" s="4">
        <f t="shared" si="702"/>
        <v>60.5</v>
      </c>
    </row>
    <row r="6839" ht="14.25" spans="1:8">
      <c r="A6839" s="3" t="str">
        <f>"31001522010"</f>
        <v>31001522010</v>
      </c>
      <c r="B6839" s="3">
        <v>5</v>
      </c>
      <c r="C6839" s="3">
        <v>220</v>
      </c>
      <c r="D6839" s="3">
        <v>10</v>
      </c>
      <c r="E6839" s="3" t="s">
        <v>9</v>
      </c>
      <c r="F6839" s="4">
        <v>63.5</v>
      </c>
      <c r="G6839" s="4"/>
      <c r="H6839" s="4">
        <f t="shared" si="702"/>
        <v>63.5</v>
      </c>
    </row>
    <row r="6840" ht="14.25" spans="1:8">
      <c r="A6840" s="3" t="str">
        <f>"31001522011"</f>
        <v>31001522011</v>
      </c>
      <c r="B6840" s="3">
        <v>5</v>
      </c>
      <c r="C6840" s="3">
        <v>220</v>
      </c>
      <c r="D6840" s="3">
        <v>11</v>
      </c>
      <c r="E6840" s="3" t="s">
        <v>9</v>
      </c>
      <c r="F6840" s="3">
        <v>0</v>
      </c>
      <c r="G6840" s="4"/>
      <c r="H6840" s="3">
        <v>0</v>
      </c>
    </row>
    <row r="6841" ht="14.25" spans="1:8">
      <c r="A6841" s="3" t="str">
        <f>"31001522012"</f>
        <v>31001522012</v>
      </c>
      <c r="B6841" s="3">
        <v>5</v>
      </c>
      <c r="C6841" s="3">
        <v>220</v>
      </c>
      <c r="D6841" s="3">
        <v>12</v>
      </c>
      <c r="E6841" s="3" t="s">
        <v>9</v>
      </c>
      <c r="F6841" s="4">
        <v>59.5</v>
      </c>
      <c r="G6841" s="4"/>
      <c r="H6841" s="4">
        <f t="shared" ref="H6841:H6854" si="703">F6841+G6841</f>
        <v>59.5</v>
      </c>
    </row>
    <row r="6842" ht="14.25" spans="1:8">
      <c r="A6842" s="3" t="str">
        <f>"31001522013"</f>
        <v>31001522013</v>
      </c>
      <c r="B6842" s="3">
        <v>5</v>
      </c>
      <c r="C6842" s="3">
        <v>220</v>
      </c>
      <c r="D6842" s="3">
        <v>13</v>
      </c>
      <c r="E6842" s="3" t="s">
        <v>9</v>
      </c>
      <c r="F6842" s="3">
        <v>0</v>
      </c>
      <c r="G6842" s="4"/>
      <c r="H6842" s="3">
        <v>0</v>
      </c>
    </row>
    <row r="6843" ht="14.25" spans="1:8">
      <c r="A6843" s="3" t="str">
        <f>"31001522014"</f>
        <v>31001522014</v>
      </c>
      <c r="B6843" s="3">
        <v>5</v>
      </c>
      <c r="C6843" s="3">
        <v>220</v>
      </c>
      <c r="D6843" s="3">
        <v>14</v>
      </c>
      <c r="E6843" s="3" t="s">
        <v>9</v>
      </c>
      <c r="F6843" s="4">
        <v>59</v>
      </c>
      <c r="G6843" s="4"/>
      <c r="H6843" s="4">
        <f t="shared" si="703"/>
        <v>59</v>
      </c>
    </row>
    <row r="6844" ht="14.25" spans="1:8">
      <c r="A6844" s="3" t="str">
        <f>"31001522015"</f>
        <v>31001522015</v>
      </c>
      <c r="B6844" s="3">
        <v>5</v>
      </c>
      <c r="C6844" s="3">
        <v>220</v>
      </c>
      <c r="D6844" s="3">
        <v>15</v>
      </c>
      <c r="E6844" s="3" t="s">
        <v>9</v>
      </c>
      <c r="F6844" s="4">
        <v>71.5</v>
      </c>
      <c r="G6844" s="4"/>
      <c r="H6844" s="4">
        <f t="shared" si="703"/>
        <v>71.5</v>
      </c>
    </row>
    <row r="6845" ht="14.25" spans="1:8">
      <c r="A6845" s="3" t="str">
        <f>"31001522016"</f>
        <v>31001522016</v>
      </c>
      <c r="B6845" s="3">
        <v>5</v>
      </c>
      <c r="C6845" s="3">
        <v>220</v>
      </c>
      <c r="D6845" s="3">
        <v>16</v>
      </c>
      <c r="E6845" s="3" t="s">
        <v>9</v>
      </c>
      <c r="F6845" s="4">
        <v>80.5</v>
      </c>
      <c r="G6845" s="4"/>
      <c r="H6845" s="4">
        <f t="shared" si="703"/>
        <v>80.5</v>
      </c>
    </row>
    <row r="6846" ht="14.25" spans="1:8">
      <c r="A6846" s="3" t="str">
        <f>"31001522017"</f>
        <v>31001522017</v>
      </c>
      <c r="B6846" s="3">
        <v>5</v>
      </c>
      <c r="C6846" s="3">
        <v>220</v>
      </c>
      <c r="D6846" s="3">
        <v>17</v>
      </c>
      <c r="E6846" s="3" t="s">
        <v>9</v>
      </c>
      <c r="F6846" s="4">
        <v>59</v>
      </c>
      <c r="G6846" s="4"/>
      <c r="H6846" s="4">
        <f t="shared" si="703"/>
        <v>59</v>
      </c>
    </row>
    <row r="6847" ht="14.25" spans="1:8">
      <c r="A6847" s="3" t="str">
        <f>"31001522018"</f>
        <v>31001522018</v>
      </c>
      <c r="B6847" s="3">
        <v>5</v>
      </c>
      <c r="C6847" s="3">
        <v>220</v>
      </c>
      <c r="D6847" s="3">
        <v>18</v>
      </c>
      <c r="E6847" s="3" t="s">
        <v>9</v>
      </c>
      <c r="F6847" s="4">
        <v>66</v>
      </c>
      <c r="G6847" s="4"/>
      <c r="H6847" s="4">
        <f t="shared" si="703"/>
        <v>66</v>
      </c>
    </row>
    <row r="6848" ht="14.25" spans="1:8">
      <c r="A6848" s="3" t="str">
        <f>"31001522019"</f>
        <v>31001522019</v>
      </c>
      <c r="B6848" s="3">
        <v>5</v>
      </c>
      <c r="C6848" s="3">
        <v>220</v>
      </c>
      <c r="D6848" s="3">
        <v>19</v>
      </c>
      <c r="E6848" s="3" t="s">
        <v>9</v>
      </c>
      <c r="F6848" s="4">
        <v>79.5</v>
      </c>
      <c r="G6848" s="4"/>
      <c r="H6848" s="4">
        <f t="shared" si="703"/>
        <v>79.5</v>
      </c>
    </row>
    <row r="6849" ht="14.25" spans="1:8">
      <c r="A6849" s="3" t="str">
        <f>"31001522020"</f>
        <v>31001522020</v>
      </c>
      <c r="B6849" s="3">
        <v>5</v>
      </c>
      <c r="C6849" s="3">
        <v>220</v>
      </c>
      <c r="D6849" s="3">
        <v>20</v>
      </c>
      <c r="E6849" s="3" t="s">
        <v>9</v>
      </c>
      <c r="F6849" s="4">
        <v>69</v>
      </c>
      <c r="G6849" s="4"/>
      <c r="H6849" s="4">
        <f t="shared" si="703"/>
        <v>69</v>
      </c>
    </row>
    <row r="6850" ht="14.25" spans="1:8">
      <c r="A6850" s="3" t="str">
        <f>"31001522021"</f>
        <v>31001522021</v>
      </c>
      <c r="B6850" s="3">
        <v>5</v>
      </c>
      <c r="C6850" s="3">
        <v>220</v>
      </c>
      <c r="D6850" s="3">
        <v>21</v>
      </c>
      <c r="E6850" s="3" t="s">
        <v>9</v>
      </c>
      <c r="F6850" s="4">
        <v>66.5</v>
      </c>
      <c r="G6850" s="4"/>
      <c r="H6850" s="4">
        <f t="shared" si="703"/>
        <v>66.5</v>
      </c>
    </row>
    <row r="6851" ht="14.25" spans="1:8">
      <c r="A6851" s="3" t="str">
        <f>"31001522022"</f>
        <v>31001522022</v>
      </c>
      <c r="B6851" s="3">
        <v>5</v>
      </c>
      <c r="C6851" s="3">
        <v>220</v>
      </c>
      <c r="D6851" s="3">
        <v>22</v>
      </c>
      <c r="E6851" s="3" t="s">
        <v>9</v>
      </c>
      <c r="F6851" s="4">
        <v>65.5</v>
      </c>
      <c r="G6851" s="4"/>
      <c r="H6851" s="4">
        <f t="shared" si="703"/>
        <v>65.5</v>
      </c>
    </row>
    <row r="6852" ht="14.25" spans="1:8">
      <c r="A6852" s="3" t="str">
        <f>"31001522023"</f>
        <v>31001522023</v>
      </c>
      <c r="B6852" s="3">
        <v>5</v>
      </c>
      <c r="C6852" s="3">
        <v>220</v>
      </c>
      <c r="D6852" s="3">
        <v>23</v>
      </c>
      <c r="E6852" s="3" t="s">
        <v>9</v>
      </c>
      <c r="F6852" s="4">
        <v>79.5</v>
      </c>
      <c r="G6852" s="4"/>
      <c r="H6852" s="4">
        <f t="shared" si="703"/>
        <v>79.5</v>
      </c>
    </row>
    <row r="6853" ht="14.25" spans="1:8">
      <c r="A6853" s="3" t="str">
        <f>"31002522024"</f>
        <v>31002522024</v>
      </c>
      <c r="B6853" s="3">
        <v>5</v>
      </c>
      <c r="C6853" s="3">
        <v>220</v>
      </c>
      <c r="D6853" s="3">
        <v>24</v>
      </c>
      <c r="E6853" s="3" t="s">
        <v>9</v>
      </c>
      <c r="F6853" s="4">
        <v>80</v>
      </c>
      <c r="G6853" s="4"/>
      <c r="H6853" s="4">
        <f t="shared" si="703"/>
        <v>80</v>
      </c>
    </row>
    <row r="6854" ht="14.25" spans="1:8">
      <c r="A6854" s="3" t="str">
        <f>"31002522025"</f>
        <v>31002522025</v>
      </c>
      <c r="B6854" s="3">
        <v>5</v>
      </c>
      <c r="C6854" s="3">
        <v>220</v>
      </c>
      <c r="D6854" s="3">
        <v>25</v>
      </c>
      <c r="E6854" s="3" t="s">
        <v>9</v>
      </c>
      <c r="F6854" s="4">
        <v>62.5</v>
      </c>
      <c r="G6854" s="4"/>
      <c r="H6854" s="4">
        <f t="shared" si="703"/>
        <v>62.5</v>
      </c>
    </row>
    <row r="6855" ht="14.25" spans="1:8">
      <c r="A6855" s="3" t="str">
        <f>"31002522026"</f>
        <v>31002522026</v>
      </c>
      <c r="B6855" s="3">
        <v>5</v>
      </c>
      <c r="C6855" s="3">
        <v>220</v>
      </c>
      <c r="D6855" s="3">
        <v>26</v>
      </c>
      <c r="E6855" s="3" t="s">
        <v>9</v>
      </c>
      <c r="F6855" s="3">
        <v>0</v>
      </c>
      <c r="G6855" s="4"/>
      <c r="H6855" s="3">
        <v>0</v>
      </c>
    </row>
    <row r="6856" ht="14.25" spans="1:8">
      <c r="A6856" s="3" t="str">
        <f>"31002522027"</f>
        <v>31002522027</v>
      </c>
      <c r="B6856" s="3">
        <v>5</v>
      </c>
      <c r="C6856" s="3">
        <v>220</v>
      </c>
      <c r="D6856" s="3">
        <v>27</v>
      </c>
      <c r="E6856" s="3" t="s">
        <v>9</v>
      </c>
      <c r="F6856" s="4">
        <v>61.5</v>
      </c>
      <c r="G6856" s="4"/>
      <c r="H6856" s="4">
        <f t="shared" ref="H6856:H6879" si="704">F6856+G6856</f>
        <v>61.5</v>
      </c>
    </row>
    <row r="6857" ht="14.25" spans="1:8">
      <c r="A6857" s="3" t="str">
        <f>"31002522028"</f>
        <v>31002522028</v>
      </c>
      <c r="B6857" s="3">
        <v>5</v>
      </c>
      <c r="C6857" s="3">
        <v>220</v>
      </c>
      <c r="D6857" s="3">
        <v>28</v>
      </c>
      <c r="E6857" s="3" t="s">
        <v>9</v>
      </c>
      <c r="F6857" s="4">
        <v>66.5</v>
      </c>
      <c r="G6857" s="4"/>
      <c r="H6857" s="4">
        <f t="shared" si="704"/>
        <v>66.5</v>
      </c>
    </row>
    <row r="6858" ht="14.25" spans="1:8">
      <c r="A6858" s="3" t="str">
        <f>"31002522029"</f>
        <v>31002522029</v>
      </c>
      <c r="B6858" s="3">
        <v>5</v>
      </c>
      <c r="C6858" s="3">
        <v>220</v>
      </c>
      <c r="D6858" s="3">
        <v>29</v>
      </c>
      <c r="E6858" s="3" t="s">
        <v>9</v>
      </c>
      <c r="F6858" s="4">
        <v>57</v>
      </c>
      <c r="G6858" s="4"/>
      <c r="H6858" s="4">
        <f t="shared" si="704"/>
        <v>57</v>
      </c>
    </row>
    <row r="6859" ht="14.25" spans="1:8">
      <c r="A6859" s="3" t="str">
        <f>"31002522030"</f>
        <v>31002522030</v>
      </c>
      <c r="B6859" s="3">
        <v>5</v>
      </c>
      <c r="C6859" s="3">
        <v>220</v>
      </c>
      <c r="D6859" s="3">
        <v>30</v>
      </c>
      <c r="E6859" s="3" t="s">
        <v>9</v>
      </c>
      <c r="F6859" s="4">
        <v>68.5</v>
      </c>
      <c r="G6859" s="4"/>
      <c r="H6859" s="4">
        <f t="shared" si="704"/>
        <v>68.5</v>
      </c>
    </row>
    <row r="6860" ht="14.25" spans="1:8">
      <c r="A6860" s="3" t="str">
        <f>"31002522101"</f>
        <v>31002522101</v>
      </c>
      <c r="B6860" s="3">
        <v>5</v>
      </c>
      <c r="C6860" s="3">
        <v>221</v>
      </c>
      <c r="D6860" s="3">
        <v>1</v>
      </c>
      <c r="E6860" s="3" t="s">
        <v>9</v>
      </c>
      <c r="F6860" s="4">
        <v>63.5</v>
      </c>
      <c r="G6860" s="4"/>
      <c r="H6860" s="4">
        <f t="shared" si="704"/>
        <v>63.5</v>
      </c>
    </row>
    <row r="6861" ht="14.25" spans="1:8">
      <c r="A6861" s="3" t="str">
        <f>"31002522102"</f>
        <v>31002522102</v>
      </c>
      <c r="B6861" s="3">
        <v>5</v>
      </c>
      <c r="C6861" s="3">
        <v>221</v>
      </c>
      <c r="D6861" s="3">
        <v>2</v>
      </c>
      <c r="E6861" s="3" t="s">
        <v>9</v>
      </c>
      <c r="F6861" s="4">
        <v>58.5</v>
      </c>
      <c r="G6861" s="4"/>
      <c r="H6861" s="4">
        <f t="shared" si="704"/>
        <v>58.5</v>
      </c>
    </row>
    <row r="6862" ht="14.25" spans="1:8">
      <c r="A6862" s="3" t="str">
        <f>"31002522103"</f>
        <v>31002522103</v>
      </c>
      <c r="B6862" s="3">
        <v>5</v>
      </c>
      <c r="C6862" s="3">
        <v>221</v>
      </c>
      <c r="D6862" s="3">
        <v>3</v>
      </c>
      <c r="E6862" s="3" t="s">
        <v>9</v>
      </c>
      <c r="F6862" s="4">
        <v>69.5</v>
      </c>
      <c r="G6862" s="4"/>
      <c r="H6862" s="4">
        <f t="shared" si="704"/>
        <v>69.5</v>
      </c>
    </row>
    <row r="6863" ht="14.25" spans="1:8">
      <c r="A6863" s="3" t="str">
        <f>"31002522104"</f>
        <v>31002522104</v>
      </c>
      <c r="B6863" s="3">
        <v>5</v>
      </c>
      <c r="C6863" s="3">
        <v>221</v>
      </c>
      <c r="D6863" s="3">
        <v>4</v>
      </c>
      <c r="E6863" s="3" t="s">
        <v>9</v>
      </c>
      <c r="F6863" s="4">
        <v>64.5</v>
      </c>
      <c r="G6863" s="4"/>
      <c r="H6863" s="4">
        <f t="shared" si="704"/>
        <v>64.5</v>
      </c>
    </row>
    <row r="6864" ht="14.25" spans="1:8">
      <c r="A6864" s="3" t="str">
        <f>"31002522105"</f>
        <v>31002522105</v>
      </c>
      <c r="B6864" s="3">
        <v>5</v>
      </c>
      <c r="C6864" s="3">
        <v>221</v>
      </c>
      <c r="D6864" s="3">
        <v>5</v>
      </c>
      <c r="E6864" s="3" t="s">
        <v>9</v>
      </c>
      <c r="F6864" s="4">
        <v>66.5</v>
      </c>
      <c r="G6864" s="4"/>
      <c r="H6864" s="4">
        <f t="shared" si="704"/>
        <v>66.5</v>
      </c>
    </row>
    <row r="6865" ht="14.25" spans="1:8">
      <c r="A6865" s="3" t="str">
        <f>"31002522106"</f>
        <v>31002522106</v>
      </c>
      <c r="B6865" s="3">
        <v>5</v>
      </c>
      <c r="C6865" s="3">
        <v>221</v>
      </c>
      <c r="D6865" s="3">
        <v>6</v>
      </c>
      <c r="E6865" s="3" t="s">
        <v>9</v>
      </c>
      <c r="F6865" s="4">
        <v>66</v>
      </c>
      <c r="G6865" s="4"/>
      <c r="H6865" s="4">
        <f t="shared" si="704"/>
        <v>66</v>
      </c>
    </row>
    <row r="6866" ht="14.25" spans="1:8">
      <c r="A6866" s="3" t="str">
        <f>"31002522107"</f>
        <v>31002522107</v>
      </c>
      <c r="B6866" s="3">
        <v>5</v>
      </c>
      <c r="C6866" s="3">
        <v>221</v>
      </c>
      <c r="D6866" s="3">
        <v>7</v>
      </c>
      <c r="E6866" s="3" t="s">
        <v>9</v>
      </c>
      <c r="F6866" s="4">
        <v>61</v>
      </c>
      <c r="G6866" s="4"/>
      <c r="H6866" s="4">
        <f t="shared" si="704"/>
        <v>61</v>
      </c>
    </row>
    <row r="6867" ht="14.25" spans="1:8">
      <c r="A6867" s="3" t="str">
        <f>"31002522108"</f>
        <v>31002522108</v>
      </c>
      <c r="B6867" s="3">
        <v>5</v>
      </c>
      <c r="C6867" s="3">
        <v>221</v>
      </c>
      <c r="D6867" s="3">
        <v>8</v>
      </c>
      <c r="E6867" s="3" t="s">
        <v>9</v>
      </c>
      <c r="F6867" s="4">
        <v>83.5</v>
      </c>
      <c r="G6867" s="4"/>
      <c r="H6867" s="4">
        <f t="shared" si="704"/>
        <v>83.5</v>
      </c>
    </row>
    <row r="6868" ht="14.25" spans="1:8">
      <c r="A6868" s="3" t="str">
        <f>"31002522109"</f>
        <v>31002522109</v>
      </c>
      <c r="B6868" s="3">
        <v>5</v>
      </c>
      <c r="C6868" s="3">
        <v>221</v>
      </c>
      <c r="D6868" s="3">
        <v>9</v>
      </c>
      <c r="E6868" s="3" t="s">
        <v>9</v>
      </c>
      <c r="F6868" s="4">
        <v>64.5</v>
      </c>
      <c r="G6868" s="4"/>
      <c r="H6868" s="4">
        <f t="shared" si="704"/>
        <v>64.5</v>
      </c>
    </row>
    <row r="6869" ht="14.25" spans="1:8">
      <c r="A6869" s="3" t="str">
        <f>"31003522110"</f>
        <v>31003522110</v>
      </c>
      <c r="B6869" s="3">
        <v>5</v>
      </c>
      <c r="C6869" s="3">
        <v>221</v>
      </c>
      <c r="D6869" s="3">
        <v>10</v>
      </c>
      <c r="E6869" s="3" t="s">
        <v>9</v>
      </c>
      <c r="F6869" s="4">
        <v>64</v>
      </c>
      <c r="G6869" s="4"/>
      <c r="H6869" s="4">
        <f t="shared" si="704"/>
        <v>64</v>
      </c>
    </row>
    <row r="6870" ht="14.25" spans="1:8">
      <c r="A6870" s="3" t="str">
        <f>"31003522111"</f>
        <v>31003522111</v>
      </c>
      <c r="B6870" s="3">
        <v>5</v>
      </c>
      <c r="C6870" s="3">
        <v>221</v>
      </c>
      <c r="D6870" s="3">
        <v>11</v>
      </c>
      <c r="E6870" s="3" t="s">
        <v>9</v>
      </c>
      <c r="F6870" s="4">
        <v>80</v>
      </c>
      <c r="G6870" s="4"/>
      <c r="H6870" s="4">
        <f t="shared" si="704"/>
        <v>80</v>
      </c>
    </row>
    <row r="6871" ht="14.25" spans="1:8">
      <c r="A6871" s="3" t="str">
        <f>"31003522112"</f>
        <v>31003522112</v>
      </c>
      <c r="B6871" s="3">
        <v>5</v>
      </c>
      <c r="C6871" s="3">
        <v>221</v>
      </c>
      <c r="D6871" s="3">
        <v>12</v>
      </c>
      <c r="E6871" s="3" t="s">
        <v>9</v>
      </c>
      <c r="F6871" s="4">
        <v>75.5</v>
      </c>
      <c r="G6871" s="4"/>
      <c r="H6871" s="4">
        <f t="shared" si="704"/>
        <v>75.5</v>
      </c>
    </row>
    <row r="6872" ht="14.25" spans="1:8">
      <c r="A6872" s="3" t="str">
        <f>"31003522113"</f>
        <v>31003522113</v>
      </c>
      <c r="B6872" s="3">
        <v>5</v>
      </c>
      <c r="C6872" s="3">
        <v>221</v>
      </c>
      <c r="D6872" s="3">
        <v>13</v>
      </c>
      <c r="E6872" s="3" t="s">
        <v>9</v>
      </c>
      <c r="F6872" s="4">
        <v>86.5</v>
      </c>
      <c r="G6872" s="4"/>
      <c r="H6872" s="4">
        <f t="shared" si="704"/>
        <v>86.5</v>
      </c>
    </row>
    <row r="6873" ht="14.25" spans="1:8">
      <c r="A6873" s="3" t="str">
        <f>"31003522114"</f>
        <v>31003522114</v>
      </c>
      <c r="B6873" s="3">
        <v>5</v>
      </c>
      <c r="C6873" s="3">
        <v>221</v>
      </c>
      <c r="D6873" s="3">
        <v>14</v>
      </c>
      <c r="E6873" s="3" t="s">
        <v>9</v>
      </c>
      <c r="F6873" s="4">
        <v>68</v>
      </c>
      <c r="G6873" s="4"/>
      <c r="H6873" s="4">
        <f t="shared" si="704"/>
        <v>68</v>
      </c>
    </row>
    <row r="6874" ht="14.25" spans="1:8">
      <c r="A6874" s="3" t="str">
        <f>"31003522115"</f>
        <v>31003522115</v>
      </c>
      <c r="B6874" s="3">
        <v>5</v>
      </c>
      <c r="C6874" s="3">
        <v>221</v>
      </c>
      <c r="D6874" s="3">
        <v>15</v>
      </c>
      <c r="E6874" s="3" t="s">
        <v>9</v>
      </c>
      <c r="F6874" s="4">
        <v>63.5</v>
      </c>
      <c r="G6874" s="4"/>
      <c r="H6874" s="4">
        <f t="shared" si="704"/>
        <v>63.5</v>
      </c>
    </row>
    <row r="6875" ht="14.25" spans="1:8">
      <c r="A6875" s="3" t="str">
        <f>"31003522116"</f>
        <v>31003522116</v>
      </c>
      <c r="B6875" s="3">
        <v>5</v>
      </c>
      <c r="C6875" s="3">
        <v>221</v>
      </c>
      <c r="D6875" s="3">
        <v>16</v>
      </c>
      <c r="E6875" s="3" t="s">
        <v>9</v>
      </c>
      <c r="F6875" s="4">
        <v>65.5</v>
      </c>
      <c r="G6875" s="4"/>
      <c r="H6875" s="4">
        <f t="shared" si="704"/>
        <v>65.5</v>
      </c>
    </row>
    <row r="6876" ht="14.25" spans="1:8">
      <c r="A6876" s="3" t="str">
        <f>"31003522117"</f>
        <v>31003522117</v>
      </c>
      <c r="B6876" s="3">
        <v>5</v>
      </c>
      <c r="C6876" s="3">
        <v>221</v>
      </c>
      <c r="D6876" s="3">
        <v>17</v>
      </c>
      <c r="E6876" s="3" t="s">
        <v>9</v>
      </c>
      <c r="F6876" s="4">
        <v>57.5</v>
      </c>
      <c r="G6876" s="4"/>
      <c r="H6876" s="4">
        <f t="shared" si="704"/>
        <v>57.5</v>
      </c>
    </row>
    <row r="6877" ht="14.25" spans="1:8">
      <c r="A6877" s="3" t="str">
        <f>"31003522118"</f>
        <v>31003522118</v>
      </c>
      <c r="B6877" s="3">
        <v>5</v>
      </c>
      <c r="C6877" s="3">
        <v>221</v>
      </c>
      <c r="D6877" s="3">
        <v>18</v>
      </c>
      <c r="E6877" s="3" t="s">
        <v>9</v>
      </c>
      <c r="F6877" s="4">
        <v>83</v>
      </c>
      <c r="G6877" s="4"/>
      <c r="H6877" s="4">
        <f t="shared" si="704"/>
        <v>83</v>
      </c>
    </row>
    <row r="6878" ht="14.25" spans="1:8">
      <c r="A6878" s="3" t="str">
        <f>"31003522119"</f>
        <v>31003522119</v>
      </c>
      <c r="B6878" s="3">
        <v>5</v>
      </c>
      <c r="C6878" s="3">
        <v>221</v>
      </c>
      <c r="D6878" s="3">
        <v>19</v>
      </c>
      <c r="E6878" s="3" t="s">
        <v>9</v>
      </c>
      <c r="F6878" s="4">
        <v>58.5</v>
      </c>
      <c r="G6878" s="4"/>
      <c r="H6878" s="4">
        <f t="shared" si="704"/>
        <v>58.5</v>
      </c>
    </row>
    <row r="6879" ht="14.25" spans="1:8">
      <c r="A6879" s="3" t="str">
        <f>"31003522120"</f>
        <v>31003522120</v>
      </c>
      <c r="B6879" s="3">
        <v>5</v>
      </c>
      <c r="C6879" s="3">
        <v>221</v>
      </c>
      <c r="D6879" s="3">
        <v>20</v>
      </c>
      <c r="E6879" s="3" t="s">
        <v>9</v>
      </c>
      <c r="F6879" s="4">
        <v>69.5</v>
      </c>
      <c r="G6879" s="4"/>
      <c r="H6879" s="4">
        <f t="shared" si="704"/>
        <v>69.5</v>
      </c>
    </row>
    <row r="6880" ht="14.25" spans="1:8">
      <c r="A6880" s="3" t="str">
        <f>"31003522121"</f>
        <v>31003522121</v>
      </c>
      <c r="B6880" s="3">
        <v>5</v>
      </c>
      <c r="C6880" s="3">
        <v>221</v>
      </c>
      <c r="D6880" s="3">
        <v>21</v>
      </c>
      <c r="E6880" s="3" t="s">
        <v>9</v>
      </c>
      <c r="F6880" s="3">
        <v>0</v>
      </c>
      <c r="G6880" s="4"/>
      <c r="H6880" s="3">
        <v>0</v>
      </c>
    </row>
    <row r="6881" ht="14.25" spans="1:8">
      <c r="A6881" s="3" t="str">
        <f>"31003522122"</f>
        <v>31003522122</v>
      </c>
      <c r="B6881" s="3">
        <v>5</v>
      </c>
      <c r="C6881" s="3">
        <v>221</v>
      </c>
      <c r="D6881" s="3">
        <v>22</v>
      </c>
      <c r="E6881" s="3" t="s">
        <v>9</v>
      </c>
      <c r="F6881" s="4">
        <v>57.5</v>
      </c>
      <c r="G6881" s="4"/>
      <c r="H6881" s="4">
        <f t="shared" ref="H6881:H6884" si="705">F6881+G6881</f>
        <v>57.5</v>
      </c>
    </row>
    <row r="6882" ht="14.25" spans="1:8">
      <c r="A6882" s="3" t="str">
        <f>"31003522123"</f>
        <v>31003522123</v>
      </c>
      <c r="B6882" s="3">
        <v>5</v>
      </c>
      <c r="C6882" s="3">
        <v>221</v>
      </c>
      <c r="D6882" s="3">
        <v>23</v>
      </c>
      <c r="E6882" s="3" t="s">
        <v>9</v>
      </c>
      <c r="F6882" s="4">
        <v>74</v>
      </c>
      <c r="G6882" s="4"/>
      <c r="H6882" s="4">
        <f t="shared" si="705"/>
        <v>74</v>
      </c>
    </row>
    <row r="6883" ht="14.25" spans="1:8">
      <c r="A6883" s="3" t="str">
        <f>"31003522124"</f>
        <v>31003522124</v>
      </c>
      <c r="B6883" s="3">
        <v>5</v>
      </c>
      <c r="C6883" s="3">
        <v>221</v>
      </c>
      <c r="D6883" s="3">
        <v>24</v>
      </c>
      <c r="E6883" s="3" t="s">
        <v>9</v>
      </c>
      <c r="F6883" s="3">
        <v>0</v>
      </c>
      <c r="G6883" s="4"/>
      <c r="H6883" s="3">
        <v>0</v>
      </c>
    </row>
    <row r="6884" ht="14.25" spans="1:8">
      <c r="A6884" s="3" t="str">
        <f>"31003522125"</f>
        <v>31003522125</v>
      </c>
      <c r="B6884" s="3">
        <v>5</v>
      </c>
      <c r="C6884" s="3">
        <v>221</v>
      </c>
      <c r="D6884" s="3">
        <v>25</v>
      </c>
      <c r="E6884" s="3" t="s">
        <v>9</v>
      </c>
      <c r="F6884" s="4">
        <v>56</v>
      </c>
      <c r="G6884" s="4"/>
      <c r="H6884" s="4">
        <f t="shared" si="705"/>
        <v>56</v>
      </c>
    </row>
    <row r="6885" ht="14.25" spans="1:8">
      <c r="A6885" s="3" t="str">
        <f>"31003522126"</f>
        <v>31003522126</v>
      </c>
      <c r="B6885" s="3">
        <v>5</v>
      </c>
      <c r="C6885" s="3">
        <v>221</v>
      </c>
      <c r="D6885" s="3">
        <v>26</v>
      </c>
      <c r="E6885" s="3" t="s">
        <v>9</v>
      </c>
      <c r="F6885" s="3">
        <v>0</v>
      </c>
      <c r="G6885" s="4"/>
      <c r="H6885" s="3">
        <v>0</v>
      </c>
    </row>
    <row r="6886" ht="14.25" spans="1:8">
      <c r="A6886" s="3" t="str">
        <f>"31003522127"</f>
        <v>31003522127</v>
      </c>
      <c r="B6886" s="3">
        <v>5</v>
      </c>
      <c r="C6886" s="3">
        <v>221</v>
      </c>
      <c r="D6886" s="3">
        <v>27</v>
      </c>
      <c r="E6886" s="3" t="s">
        <v>9</v>
      </c>
      <c r="F6886" s="4">
        <v>66.5</v>
      </c>
      <c r="G6886" s="4"/>
      <c r="H6886" s="4">
        <f t="shared" ref="H6886:H6888" si="706">F6886+G6886</f>
        <v>66.5</v>
      </c>
    </row>
    <row r="6887" ht="14.25" spans="1:8">
      <c r="A6887" s="3" t="str">
        <f>"31003522128"</f>
        <v>31003522128</v>
      </c>
      <c r="B6887" s="3">
        <v>5</v>
      </c>
      <c r="C6887" s="3">
        <v>221</v>
      </c>
      <c r="D6887" s="3">
        <v>28</v>
      </c>
      <c r="E6887" s="3" t="s">
        <v>9</v>
      </c>
      <c r="F6887" s="4">
        <v>63.5</v>
      </c>
      <c r="G6887" s="4"/>
      <c r="H6887" s="4">
        <f t="shared" si="706"/>
        <v>63.5</v>
      </c>
    </row>
    <row r="6888" ht="14.25" spans="1:8">
      <c r="A6888" s="3" t="str">
        <f>"31003522129"</f>
        <v>31003522129</v>
      </c>
      <c r="B6888" s="3">
        <v>5</v>
      </c>
      <c r="C6888" s="3">
        <v>221</v>
      </c>
      <c r="D6888" s="3">
        <v>29</v>
      </c>
      <c r="E6888" s="3" t="s">
        <v>9</v>
      </c>
      <c r="F6888" s="4">
        <v>69</v>
      </c>
      <c r="G6888" s="4"/>
      <c r="H6888" s="4">
        <f t="shared" si="706"/>
        <v>69</v>
      </c>
    </row>
    <row r="6889" ht="14.25" spans="1:8">
      <c r="A6889" s="3" t="str">
        <f>"31003522130"</f>
        <v>31003522130</v>
      </c>
      <c r="B6889" s="3">
        <v>5</v>
      </c>
      <c r="C6889" s="3">
        <v>221</v>
      </c>
      <c r="D6889" s="3">
        <v>30</v>
      </c>
      <c r="E6889" s="3" t="s">
        <v>9</v>
      </c>
      <c r="F6889" s="3">
        <v>0</v>
      </c>
      <c r="G6889" s="4"/>
      <c r="H6889" s="3">
        <v>0</v>
      </c>
    </row>
    <row r="6890" ht="14.25" spans="1:8">
      <c r="A6890" s="3" t="str">
        <f>"31003522201"</f>
        <v>31003522201</v>
      </c>
      <c r="B6890" s="3">
        <v>5</v>
      </c>
      <c r="C6890" s="3">
        <v>222</v>
      </c>
      <c r="D6890" s="3">
        <v>1</v>
      </c>
      <c r="E6890" s="3" t="s">
        <v>9</v>
      </c>
      <c r="F6890" s="4">
        <v>54.5</v>
      </c>
      <c r="G6890" s="4"/>
      <c r="H6890" s="4">
        <f t="shared" ref="H6890:H6893" si="707">F6890+G6890</f>
        <v>54.5</v>
      </c>
    </row>
    <row r="6891" ht="14.25" spans="1:8">
      <c r="A6891" s="3" t="str">
        <f>"31003522202"</f>
        <v>31003522202</v>
      </c>
      <c r="B6891" s="3">
        <v>5</v>
      </c>
      <c r="C6891" s="3">
        <v>222</v>
      </c>
      <c r="D6891" s="3">
        <v>2</v>
      </c>
      <c r="E6891" s="3" t="s">
        <v>9</v>
      </c>
      <c r="F6891" s="3">
        <v>0</v>
      </c>
      <c r="G6891" s="4"/>
      <c r="H6891" s="3">
        <v>0</v>
      </c>
    </row>
    <row r="6892" ht="14.25" spans="1:8">
      <c r="A6892" s="3" t="str">
        <f>"31004522203"</f>
        <v>31004522203</v>
      </c>
      <c r="B6892" s="3">
        <v>5</v>
      </c>
      <c r="C6892" s="3">
        <v>222</v>
      </c>
      <c r="D6892" s="3">
        <v>3</v>
      </c>
      <c r="E6892" s="3" t="s">
        <v>9</v>
      </c>
      <c r="F6892" s="4">
        <v>75</v>
      </c>
      <c r="G6892" s="4"/>
      <c r="H6892" s="4">
        <f t="shared" si="707"/>
        <v>75</v>
      </c>
    </row>
    <row r="6893" ht="14.25" spans="1:8">
      <c r="A6893" s="3" t="str">
        <f>"31004522204"</f>
        <v>31004522204</v>
      </c>
      <c r="B6893" s="3">
        <v>5</v>
      </c>
      <c r="C6893" s="3">
        <v>222</v>
      </c>
      <c r="D6893" s="3">
        <v>4</v>
      </c>
      <c r="E6893" s="3" t="s">
        <v>9</v>
      </c>
      <c r="F6893" s="4">
        <v>58</v>
      </c>
      <c r="G6893" s="4"/>
      <c r="H6893" s="4">
        <f t="shared" si="707"/>
        <v>58</v>
      </c>
    </row>
    <row r="6894" ht="14.25" spans="1:8">
      <c r="A6894" s="3" t="str">
        <f>"31004522205"</f>
        <v>31004522205</v>
      </c>
      <c r="B6894" s="3">
        <v>5</v>
      </c>
      <c r="C6894" s="3">
        <v>222</v>
      </c>
      <c r="D6894" s="3">
        <v>5</v>
      </c>
      <c r="E6894" s="3" t="s">
        <v>9</v>
      </c>
      <c r="F6894" s="3">
        <v>0</v>
      </c>
      <c r="G6894" s="4"/>
      <c r="H6894" s="3">
        <v>0</v>
      </c>
    </row>
    <row r="6895" ht="14.25" spans="1:8">
      <c r="A6895" s="3" t="str">
        <f>"31004522206"</f>
        <v>31004522206</v>
      </c>
      <c r="B6895" s="3">
        <v>5</v>
      </c>
      <c r="C6895" s="3">
        <v>222</v>
      </c>
      <c r="D6895" s="3">
        <v>6</v>
      </c>
      <c r="E6895" s="3" t="s">
        <v>9</v>
      </c>
      <c r="F6895" s="4">
        <v>86.5</v>
      </c>
      <c r="G6895" s="4"/>
      <c r="H6895" s="4">
        <f t="shared" ref="H6895:H6897" si="708">F6895+G6895</f>
        <v>86.5</v>
      </c>
    </row>
    <row r="6896" ht="14.25" spans="1:8">
      <c r="A6896" s="3" t="str">
        <f>"31004522207"</f>
        <v>31004522207</v>
      </c>
      <c r="B6896" s="3">
        <v>5</v>
      </c>
      <c r="C6896" s="3">
        <v>222</v>
      </c>
      <c r="D6896" s="3">
        <v>7</v>
      </c>
      <c r="E6896" s="3" t="s">
        <v>9</v>
      </c>
      <c r="F6896" s="4">
        <v>55.5</v>
      </c>
      <c r="G6896" s="4"/>
      <c r="H6896" s="4">
        <f t="shared" si="708"/>
        <v>55.5</v>
      </c>
    </row>
    <row r="6897" ht="14.25" spans="1:8">
      <c r="A6897" s="3" t="str">
        <f>"31004522208"</f>
        <v>31004522208</v>
      </c>
      <c r="B6897" s="3">
        <v>5</v>
      </c>
      <c r="C6897" s="3">
        <v>222</v>
      </c>
      <c r="D6897" s="3">
        <v>8</v>
      </c>
      <c r="E6897" s="3" t="s">
        <v>9</v>
      </c>
      <c r="F6897" s="4">
        <v>77.5</v>
      </c>
      <c r="G6897" s="4"/>
      <c r="H6897" s="4">
        <f t="shared" si="708"/>
        <v>77.5</v>
      </c>
    </row>
    <row r="6898" ht="14.25" spans="1:8">
      <c r="A6898" s="3" t="str">
        <f>"31005522209"</f>
        <v>31005522209</v>
      </c>
      <c r="B6898" s="3">
        <v>5</v>
      </c>
      <c r="C6898" s="3">
        <v>222</v>
      </c>
      <c r="D6898" s="3">
        <v>9</v>
      </c>
      <c r="E6898" s="3" t="s">
        <v>9</v>
      </c>
      <c r="F6898" s="3">
        <v>0</v>
      </c>
      <c r="G6898" s="4"/>
      <c r="H6898" s="3">
        <v>0</v>
      </c>
    </row>
    <row r="6899" ht="14.25" spans="1:8">
      <c r="A6899" s="3" t="str">
        <f>"31005522210"</f>
        <v>31005522210</v>
      </c>
      <c r="B6899" s="3">
        <v>5</v>
      </c>
      <c r="C6899" s="3">
        <v>222</v>
      </c>
      <c r="D6899" s="3">
        <v>10</v>
      </c>
      <c r="E6899" s="3" t="s">
        <v>9</v>
      </c>
      <c r="F6899" s="4">
        <v>74.5</v>
      </c>
      <c r="G6899" s="4"/>
      <c r="H6899" s="4">
        <f t="shared" ref="H6899:H6909" si="709">F6899+G6899</f>
        <v>74.5</v>
      </c>
    </row>
    <row r="6900" ht="14.25" spans="1:8">
      <c r="A6900" s="3" t="str">
        <f>"31005522211"</f>
        <v>31005522211</v>
      </c>
      <c r="B6900" s="3">
        <v>5</v>
      </c>
      <c r="C6900" s="3">
        <v>222</v>
      </c>
      <c r="D6900" s="3">
        <v>11</v>
      </c>
      <c r="E6900" s="3" t="s">
        <v>9</v>
      </c>
      <c r="F6900" s="4">
        <v>81.5</v>
      </c>
      <c r="G6900" s="4"/>
      <c r="H6900" s="4">
        <f t="shared" si="709"/>
        <v>81.5</v>
      </c>
    </row>
    <row r="6901" ht="14.25" spans="1:8">
      <c r="A6901" s="3" t="str">
        <f>"31005522212"</f>
        <v>31005522212</v>
      </c>
      <c r="B6901" s="3">
        <v>5</v>
      </c>
      <c r="C6901" s="3">
        <v>222</v>
      </c>
      <c r="D6901" s="3">
        <v>12</v>
      </c>
      <c r="E6901" s="3" t="s">
        <v>9</v>
      </c>
      <c r="F6901" s="4">
        <v>75.5</v>
      </c>
      <c r="G6901" s="4"/>
      <c r="H6901" s="4">
        <f t="shared" si="709"/>
        <v>75.5</v>
      </c>
    </row>
    <row r="6902" ht="14.25" spans="1:8">
      <c r="A6902" s="3" t="str">
        <f>"31005522213"</f>
        <v>31005522213</v>
      </c>
      <c r="B6902" s="3">
        <v>5</v>
      </c>
      <c r="C6902" s="3">
        <v>222</v>
      </c>
      <c r="D6902" s="3">
        <v>13</v>
      </c>
      <c r="E6902" s="3" t="s">
        <v>9</v>
      </c>
      <c r="F6902" s="4">
        <v>65.5</v>
      </c>
      <c r="G6902" s="4"/>
      <c r="H6902" s="4">
        <f t="shared" si="709"/>
        <v>65.5</v>
      </c>
    </row>
    <row r="6903" ht="14.25" spans="1:8">
      <c r="A6903" s="3" t="str">
        <f>"31005522214"</f>
        <v>31005522214</v>
      </c>
      <c r="B6903" s="3">
        <v>5</v>
      </c>
      <c r="C6903" s="3">
        <v>222</v>
      </c>
      <c r="D6903" s="3">
        <v>14</v>
      </c>
      <c r="E6903" s="3" t="s">
        <v>9</v>
      </c>
      <c r="F6903" s="4">
        <v>72.5</v>
      </c>
      <c r="G6903" s="4"/>
      <c r="H6903" s="4">
        <f t="shared" si="709"/>
        <v>72.5</v>
      </c>
    </row>
    <row r="6904" ht="14.25" spans="1:8">
      <c r="A6904" s="3" t="str">
        <f>"31005522215"</f>
        <v>31005522215</v>
      </c>
      <c r="B6904" s="3">
        <v>5</v>
      </c>
      <c r="C6904" s="3">
        <v>222</v>
      </c>
      <c r="D6904" s="3">
        <v>15</v>
      </c>
      <c r="E6904" s="3" t="s">
        <v>9</v>
      </c>
      <c r="F6904" s="4">
        <v>60</v>
      </c>
      <c r="G6904" s="4"/>
      <c r="H6904" s="4">
        <f t="shared" si="709"/>
        <v>60</v>
      </c>
    </row>
    <row r="6905" ht="14.25" spans="1:8">
      <c r="A6905" s="3" t="str">
        <f>"31005522216"</f>
        <v>31005522216</v>
      </c>
      <c r="B6905" s="3">
        <v>5</v>
      </c>
      <c r="C6905" s="3">
        <v>222</v>
      </c>
      <c r="D6905" s="3">
        <v>16</v>
      </c>
      <c r="E6905" s="3" t="s">
        <v>9</v>
      </c>
      <c r="F6905" s="4">
        <v>68.5</v>
      </c>
      <c r="G6905" s="4"/>
      <c r="H6905" s="4">
        <f t="shared" si="709"/>
        <v>68.5</v>
      </c>
    </row>
    <row r="6906" ht="14.25" spans="1:8">
      <c r="A6906" s="3" t="str">
        <f>"31006522217"</f>
        <v>31006522217</v>
      </c>
      <c r="B6906" s="3">
        <v>5</v>
      </c>
      <c r="C6906" s="3">
        <v>222</v>
      </c>
      <c r="D6906" s="3">
        <v>17</v>
      </c>
      <c r="E6906" s="3" t="s">
        <v>9</v>
      </c>
      <c r="F6906" s="4">
        <v>60</v>
      </c>
      <c r="G6906" s="4"/>
      <c r="H6906" s="4">
        <f t="shared" si="709"/>
        <v>60</v>
      </c>
    </row>
    <row r="6907" ht="14.25" spans="1:8">
      <c r="A6907" s="3" t="str">
        <f>"31006522218"</f>
        <v>31006522218</v>
      </c>
      <c r="B6907" s="3">
        <v>5</v>
      </c>
      <c r="C6907" s="3">
        <v>222</v>
      </c>
      <c r="D6907" s="3">
        <v>18</v>
      </c>
      <c r="E6907" s="3" t="s">
        <v>9</v>
      </c>
      <c r="F6907" s="4">
        <v>81.5</v>
      </c>
      <c r="G6907" s="4"/>
      <c r="H6907" s="4">
        <f t="shared" si="709"/>
        <v>81.5</v>
      </c>
    </row>
    <row r="6908" ht="14.25" spans="1:8">
      <c r="A6908" s="3" t="str">
        <f>"31006522219"</f>
        <v>31006522219</v>
      </c>
      <c r="B6908" s="3">
        <v>5</v>
      </c>
      <c r="C6908" s="3">
        <v>222</v>
      </c>
      <c r="D6908" s="3">
        <v>19</v>
      </c>
      <c r="E6908" s="3" t="s">
        <v>9</v>
      </c>
      <c r="F6908" s="4">
        <v>72.5</v>
      </c>
      <c r="G6908" s="4"/>
      <c r="H6908" s="4">
        <f t="shared" si="709"/>
        <v>72.5</v>
      </c>
    </row>
    <row r="6909" ht="14.25" spans="1:8">
      <c r="A6909" s="3" t="str">
        <f>"31006522220"</f>
        <v>31006522220</v>
      </c>
      <c r="B6909" s="3">
        <v>5</v>
      </c>
      <c r="C6909" s="3">
        <v>222</v>
      </c>
      <c r="D6909" s="3">
        <v>20</v>
      </c>
      <c r="E6909" s="3" t="s">
        <v>9</v>
      </c>
      <c r="F6909" s="4">
        <v>76.5</v>
      </c>
      <c r="G6909" s="4"/>
      <c r="H6909" s="4">
        <f t="shared" si="709"/>
        <v>76.5</v>
      </c>
    </row>
    <row r="6910" ht="14.25" spans="1:8">
      <c r="A6910" s="3" t="str">
        <f>"31006522221"</f>
        <v>31006522221</v>
      </c>
      <c r="B6910" s="3">
        <v>5</v>
      </c>
      <c r="C6910" s="3">
        <v>222</v>
      </c>
      <c r="D6910" s="3">
        <v>21</v>
      </c>
      <c r="E6910" s="3" t="s">
        <v>9</v>
      </c>
      <c r="F6910" s="3">
        <v>0</v>
      </c>
      <c r="G6910" s="4"/>
      <c r="H6910" s="3">
        <v>0</v>
      </c>
    </row>
    <row r="6911" ht="14.25" spans="1:8">
      <c r="A6911" s="3" t="str">
        <f>"31006522222"</f>
        <v>31006522222</v>
      </c>
      <c r="B6911" s="3">
        <v>5</v>
      </c>
      <c r="C6911" s="3">
        <v>222</v>
      </c>
      <c r="D6911" s="3">
        <v>22</v>
      </c>
      <c r="E6911" s="3" t="s">
        <v>9</v>
      </c>
      <c r="F6911" s="4">
        <v>75.5</v>
      </c>
      <c r="G6911" s="4"/>
      <c r="H6911" s="4">
        <f t="shared" ref="H6911:H6926" si="710">F6911+G6911</f>
        <v>75.5</v>
      </c>
    </row>
    <row r="6912" ht="14.25" spans="1:8">
      <c r="A6912" s="3" t="str">
        <f>"31006522223"</f>
        <v>31006522223</v>
      </c>
      <c r="B6912" s="3">
        <v>5</v>
      </c>
      <c r="C6912" s="3">
        <v>222</v>
      </c>
      <c r="D6912" s="3">
        <v>23</v>
      </c>
      <c r="E6912" s="3" t="s">
        <v>9</v>
      </c>
      <c r="F6912" s="4">
        <v>66.5</v>
      </c>
      <c r="G6912" s="4"/>
      <c r="H6912" s="4">
        <f t="shared" si="710"/>
        <v>66.5</v>
      </c>
    </row>
    <row r="6913" ht="14.25" spans="1:8">
      <c r="A6913" s="3" t="str">
        <f>"31006522224"</f>
        <v>31006522224</v>
      </c>
      <c r="B6913" s="3">
        <v>5</v>
      </c>
      <c r="C6913" s="3">
        <v>222</v>
      </c>
      <c r="D6913" s="3">
        <v>24</v>
      </c>
      <c r="E6913" s="3" t="s">
        <v>9</v>
      </c>
      <c r="F6913" s="4">
        <v>63</v>
      </c>
      <c r="G6913" s="4"/>
      <c r="H6913" s="4">
        <f t="shared" si="710"/>
        <v>63</v>
      </c>
    </row>
    <row r="6914" ht="14.25" spans="1:8">
      <c r="A6914" s="3" t="str">
        <f>"31006522225"</f>
        <v>31006522225</v>
      </c>
      <c r="B6914" s="3">
        <v>5</v>
      </c>
      <c r="C6914" s="3">
        <v>222</v>
      </c>
      <c r="D6914" s="3">
        <v>25</v>
      </c>
      <c r="E6914" s="3" t="s">
        <v>9</v>
      </c>
      <c r="F6914" s="4">
        <v>71</v>
      </c>
      <c r="G6914" s="4"/>
      <c r="H6914" s="4">
        <f t="shared" si="710"/>
        <v>71</v>
      </c>
    </row>
    <row r="6915" ht="14.25" spans="1:8">
      <c r="A6915" s="3" t="str">
        <f>"31006522226"</f>
        <v>31006522226</v>
      </c>
      <c r="B6915" s="3">
        <v>5</v>
      </c>
      <c r="C6915" s="3">
        <v>222</v>
      </c>
      <c r="D6915" s="3">
        <v>26</v>
      </c>
      <c r="E6915" s="3" t="s">
        <v>9</v>
      </c>
      <c r="F6915" s="4">
        <v>68</v>
      </c>
      <c r="G6915" s="4"/>
      <c r="H6915" s="4">
        <f t="shared" si="710"/>
        <v>68</v>
      </c>
    </row>
    <row r="6916" ht="14.25" spans="1:8">
      <c r="A6916" s="3" t="str">
        <f>"31007522227"</f>
        <v>31007522227</v>
      </c>
      <c r="B6916" s="3">
        <v>5</v>
      </c>
      <c r="C6916" s="3">
        <v>222</v>
      </c>
      <c r="D6916" s="3">
        <v>27</v>
      </c>
      <c r="E6916" s="3" t="s">
        <v>9</v>
      </c>
      <c r="F6916" s="4">
        <v>63.5</v>
      </c>
      <c r="G6916" s="4"/>
      <c r="H6916" s="4">
        <f t="shared" si="710"/>
        <v>63.5</v>
      </c>
    </row>
    <row r="6917" ht="14.25" spans="1:8">
      <c r="A6917" s="3" t="str">
        <f>"31007522228"</f>
        <v>31007522228</v>
      </c>
      <c r="B6917" s="3">
        <v>5</v>
      </c>
      <c r="C6917" s="3">
        <v>222</v>
      </c>
      <c r="D6917" s="3">
        <v>28</v>
      </c>
      <c r="E6917" s="3" t="s">
        <v>9</v>
      </c>
      <c r="F6917" s="4">
        <v>69.5</v>
      </c>
      <c r="G6917" s="4"/>
      <c r="H6917" s="4">
        <f t="shared" si="710"/>
        <v>69.5</v>
      </c>
    </row>
    <row r="6918" ht="14.25" spans="1:8">
      <c r="A6918" s="3" t="str">
        <f>"31007522229"</f>
        <v>31007522229</v>
      </c>
      <c r="B6918" s="3">
        <v>5</v>
      </c>
      <c r="C6918" s="3">
        <v>222</v>
      </c>
      <c r="D6918" s="3">
        <v>29</v>
      </c>
      <c r="E6918" s="3" t="s">
        <v>9</v>
      </c>
      <c r="F6918" s="4">
        <v>84.5</v>
      </c>
      <c r="G6918" s="4"/>
      <c r="H6918" s="4">
        <f t="shared" si="710"/>
        <v>84.5</v>
      </c>
    </row>
    <row r="6919" ht="14.25" spans="1:8">
      <c r="A6919" s="3" t="str">
        <f>"31008522230"</f>
        <v>31008522230</v>
      </c>
      <c r="B6919" s="3">
        <v>5</v>
      </c>
      <c r="C6919" s="3">
        <v>222</v>
      </c>
      <c r="D6919" s="3">
        <v>30</v>
      </c>
      <c r="E6919" s="3" t="s">
        <v>9</v>
      </c>
      <c r="F6919" s="4">
        <v>81.5</v>
      </c>
      <c r="G6919" s="4"/>
      <c r="H6919" s="4">
        <f t="shared" si="710"/>
        <v>81.5</v>
      </c>
    </row>
    <row r="6920" ht="14.25" spans="1:8">
      <c r="A6920" s="3" t="str">
        <f>"31008522301"</f>
        <v>31008522301</v>
      </c>
      <c r="B6920" s="3">
        <v>5</v>
      </c>
      <c r="C6920" s="3">
        <v>223</v>
      </c>
      <c r="D6920" s="3">
        <v>1</v>
      </c>
      <c r="E6920" s="3" t="s">
        <v>9</v>
      </c>
      <c r="F6920" s="4">
        <v>69</v>
      </c>
      <c r="G6920" s="4"/>
      <c r="H6920" s="4">
        <f t="shared" si="710"/>
        <v>69</v>
      </c>
    </row>
    <row r="6921" ht="14.25" spans="1:8">
      <c r="A6921" s="3" t="str">
        <f>"31008522302"</f>
        <v>31008522302</v>
      </c>
      <c r="B6921" s="3">
        <v>5</v>
      </c>
      <c r="C6921" s="3">
        <v>223</v>
      </c>
      <c r="D6921" s="3">
        <v>2</v>
      </c>
      <c r="E6921" s="3" t="s">
        <v>9</v>
      </c>
      <c r="F6921" s="4">
        <v>77.5</v>
      </c>
      <c r="G6921" s="4"/>
      <c r="H6921" s="4">
        <f t="shared" si="710"/>
        <v>77.5</v>
      </c>
    </row>
    <row r="6922" ht="14.25" spans="1:8">
      <c r="A6922" s="3" t="str">
        <f>"31008522303"</f>
        <v>31008522303</v>
      </c>
      <c r="B6922" s="3">
        <v>5</v>
      </c>
      <c r="C6922" s="3">
        <v>223</v>
      </c>
      <c r="D6922" s="3">
        <v>3</v>
      </c>
      <c r="E6922" s="3" t="s">
        <v>9</v>
      </c>
      <c r="F6922" s="4">
        <v>69.5</v>
      </c>
      <c r="G6922" s="4"/>
      <c r="H6922" s="4">
        <f t="shared" si="710"/>
        <v>69.5</v>
      </c>
    </row>
    <row r="6923" ht="14.25" spans="1:8">
      <c r="A6923" s="3" t="str">
        <f>"31009522304"</f>
        <v>31009522304</v>
      </c>
      <c r="B6923" s="3">
        <v>5</v>
      </c>
      <c r="C6923" s="3">
        <v>223</v>
      </c>
      <c r="D6923" s="3">
        <v>4</v>
      </c>
      <c r="E6923" s="3" t="s">
        <v>9</v>
      </c>
      <c r="F6923" s="4">
        <v>75.5</v>
      </c>
      <c r="G6923" s="4"/>
      <c r="H6923" s="4">
        <f t="shared" si="710"/>
        <v>75.5</v>
      </c>
    </row>
    <row r="6924" ht="14.25" spans="1:8">
      <c r="A6924" s="3" t="str">
        <f>"31009522305"</f>
        <v>31009522305</v>
      </c>
      <c r="B6924" s="3">
        <v>5</v>
      </c>
      <c r="C6924" s="3">
        <v>223</v>
      </c>
      <c r="D6924" s="3">
        <v>5</v>
      </c>
      <c r="E6924" s="3" t="s">
        <v>9</v>
      </c>
      <c r="F6924" s="4">
        <v>61</v>
      </c>
      <c r="G6924" s="4"/>
      <c r="H6924" s="4">
        <f t="shared" si="710"/>
        <v>61</v>
      </c>
    </row>
    <row r="6925" ht="14.25" spans="1:8">
      <c r="A6925" s="3" t="str">
        <f>"31009522306"</f>
        <v>31009522306</v>
      </c>
      <c r="B6925" s="3">
        <v>5</v>
      </c>
      <c r="C6925" s="3">
        <v>223</v>
      </c>
      <c r="D6925" s="3">
        <v>6</v>
      </c>
      <c r="E6925" s="3" t="s">
        <v>9</v>
      </c>
      <c r="F6925" s="4">
        <v>86</v>
      </c>
      <c r="G6925" s="4"/>
      <c r="H6925" s="4">
        <f t="shared" si="710"/>
        <v>86</v>
      </c>
    </row>
    <row r="6926" ht="14.25" spans="1:8">
      <c r="A6926" s="3" t="str">
        <f>"31009522307"</f>
        <v>31009522307</v>
      </c>
      <c r="B6926" s="3">
        <v>5</v>
      </c>
      <c r="C6926" s="3">
        <v>223</v>
      </c>
      <c r="D6926" s="3">
        <v>7</v>
      </c>
      <c r="E6926" s="3" t="s">
        <v>9</v>
      </c>
      <c r="F6926" s="4">
        <v>79</v>
      </c>
      <c r="G6926" s="4"/>
      <c r="H6926" s="4">
        <f t="shared" si="710"/>
        <v>79</v>
      </c>
    </row>
  </sheetData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dcterms:created xsi:type="dcterms:W3CDTF">2020-08-13T14:19:00Z</dcterms:created>
  <dcterms:modified xsi:type="dcterms:W3CDTF">2020-08-13T15:12:39Z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