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儋州市房屋" sheetId="1" r:id="rId1"/>
  </sheets>
  <definedNames/>
  <calcPr fullCalcOnLoad="1"/>
</workbook>
</file>

<file path=xl/sharedStrings.xml><?xml version="1.0" encoding="utf-8"?>
<sst xmlns="http://schemas.openxmlformats.org/spreadsheetml/2006/main" count="3468" uniqueCount="246">
  <si>
    <t>附件1：2020年儋州市各镇土地和房屋征收服务中心事业单位公开招聘
工作人员进入笔试人员名单</t>
  </si>
  <si>
    <t>序号</t>
  </si>
  <si>
    <t>报考号</t>
  </si>
  <si>
    <t>报考岗位</t>
  </si>
  <si>
    <t>姓名</t>
  </si>
  <si>
    <t>性别</t>
  </si>
  <si>
    <t>0101_征收岗</t>
  </si>
  <si>
    <t>0201_征收岗</t>
  </si>
  <si>
    <t>0301_征收岗</t>
  </si>
  <si>
    <t>0401_征收岗</t>
  </si>
  <si>
    <t>0501_征收岗</t>
  </si>
  <si>
    <t>0601_征收岗</t>
  </si>
  <si>
    <t>0701_征收岗</t>
  </si>
  <si>
    <t>0801_征收岗</t>
  </si>
  <si>
    <t>0901_征收岗</t>
  </si>
  <si>
    <t>1001_征收岗</t>
  </si>
  <si>
    <t>1101_征收岗</t>
  </si>
  <si>
    <t>1201_征收岗</t>
  </si>
  <si>
    <t>1301_征收岗</t>
  </si>
  <si>
    <t>1302_征收岗</t>
  </si>
  <si>
    <t>1401_征收岗</t>
  </si>
  <si>
    <t>1402_征收岗</t>
  </si>
  <si>
    <t>1501_征收岗</t>
  </si>
  <si>
    <t>1502_征收岗</t>
  </si>
  <si>
    <t>21902020071409014925940</t>
  </si>
  <si>
    <t>1601_征收岗</t>
  </si>
  <si>
    <t>罗雄妹</t>
  </si>
  <si>
    <t>女</t>
  </si>
  <si>
    <t>21902020071409063925979</t>
  </si>
  <si>
    <t>苏开川</t>
  </si>
  <si>
    <t>21902020071409093626000</t>
  </si>
  <si>
    <t>黎茂全</t>
  </si>
  <si>
    <t>男</t>
  </si>
  <si>
    <t>21902020071409094626001</t>
  </si>
  <si>
    <t>刘梦玉</t>
  </si>
  <si>
    <t>21902020071409190226062</t>
  </si>
  <si>
    <t>羊名欢</t>
  </si>
  <si>
    <t>21902020071409203526071</t>
  </si>
  <si>
    <t>黄国斌</t>
  </si>
  <si>
    <t>21902020071409233426088</t>
  </si>
  <si>
    <t>黎进冠</t>
  </si>
  <si>
    <t>21902020071409300826114</t>
  </si>
  <si>
    <t>李智绵</t>
  </si>
  <si>
    <t>21902020071409471326186</t>
  </si>
  <si>
    <t>许周立</t>
  </si>
  <si>
    <t>21902020071410064826274</t>
  </si>
  <si>
    <t>杨永芳</t>
  </si>
  <si>
    <t>21902020071410123926307</t>
  </si>
  <si>
    <t>王朝坤</t>
  </si>
  <si>
    <t>21902020071410165526323</t>
  </si>
  <si>
    <t>许保光</t>
  </si>
  <si>
    <t>21902020071410264126361</t>
  </si>
  <si>
    <t>李小叶</t>
  </si>
  <si>
    <t>21902020071410275326363</t>
  </si>
  <si>
    <t>符大林</t>
  </si>
  <si>
    <t>21902020071411070426497</t>
  </si>
  <si>
    <t>高逢君</t>
  </si>
  <si>
    <t>21902020071411081526500</t>
  </si>
  <si>
    <t>唐玉翠</t>
  </si>
  <si>
    <t>21902020071411172926536</t>
  </si>
  <si>
    <t>许慧</t>
  </si>
  <si>
    <t>21902020071411345626570</t>
  </si>
  <si>
    <t>周如意</t>
  </si>
  <si>
    <t>21902020071411414626583</t>
  </si>
  <si>
    <t>万吉文</t>
  </si>
  <si>
    <t>21902020071412250326674</t>
  </si>
  <si>
    <t>陆新帅</t>
  </si>
  <si>
    <t>21902020071412591626732</t>
  </si>
  <si>
    <t>朱学斌</t>
  </si>
  <si>
    <t>21902020071413094326746</t>
  </si>
  <si>
    <t>谢良泽</t>
  </si>
  <si>
    <t>21902020071413580926811</t>
  </si>
  <si>
    <t>胡良诗</t>
  </si>
  <si>
    <t>21902020071414340826862</t>
  </si>
  <si>
    <t>林名海</t>
  </si>
  <si>
    <t>21902020071416045427019</t>
  </si>
  <si>
    <t>林衍赓</t>
  </si>
  <si>
    <t>21902020071416155527032</t>
  </si>
  <si>
    <t>李艾秋</t>
  </si>
  <si>
    <t>21902020071416232827051</t>
  </si>
  <si>
    <t>罗斌燕</t>
  </si>
  <si>
    <t>21902020071416272127061</t>
  </si>
  <si>
    <t>朱和园</t>
  </si>
  <si>
    <t>21902020071416420827090</t>
  </si>
  <si>
    <t>陈娜</t>
  </si>
  <si>
    <t>21902020071416430027092</t>
  </si>
  <si>
    <t>陈有德</t>
  </si>
  <si>
    <t>21902020071416484627103</t>
  </si>
  <si>
    <t>孙国德</t>
  </si>
  <si>
    <t>21902020071416571527118</t>
  </si>
  <si>
    <t>李剑成</t>
  </si>
  <si>
    <t>21902020071417142227147</t>
  </si>
  <si>
    <t>孙三女</t>
  </si>
  <si>
    <t>21902020071417493527203</t>
  </si>
  <si>
    <t>钟明仕</t>
  </si>
  <si>
    <t>21902020071418442627272</t>
  </si>
  <si>
    <t>邱建荣</t>
  </si>
  <si>
    <t>21902020071418530927287</t>
  </si>
  <si>
    <t>李後锦</t>
  </si>
  <si>
    <t>21902020071419272127336</t>
  </si>
  <si>
    <t>罗崇武</t>
  </si>
  <si>
    <t>21902020071420272327394</t>
  </si>
  <si>
    <t>符帅梨</t>
  </si>
  <si>
    <t>21902020071421145927458</t>
  </si>
  <si>
    <t>王群超</t>
  </si>
  <si>
    <t>21902020071509580627827</t>
  </si>
  <si>
    <t>唐发敏</t>
  </si>
  <si>
    <t>21902020071509592727830</t>
  </si>
  <si>
    <t>何秀君</t>
  </si>
  <si>
    <t>21902020071512591928056</t>
  </si>
  <si>
    <t>冯品和</t>
  </si>
  <si>
    <t>21902020071513381828083</t>
  </si>
  <si>
    <t>刘书海</t>
  </si>
  <si>
    <t>21902020071514252528117</t>
  </si>
  <si>
    <t>唐喜秀</t>
  </si>
  <si>
    <t>21902020071516083928231</t>
  </si>
  <si>
    <t>陈秋凤</t>
  </si>
  <si>
    <t>21902020071517363528332</t>
  </si>
  <si>
    <t>符赞威</t>
  </si>
  <si>
    <t>21902020071517495228348</t>
  </si>
  <si>
    <t>郑东妮</t>
  </si>
  <si>
    <t>21902020071520380328477</t>
  </si>
  <si>
    <t>梁坚方</t>
  </si>
  <si>
    <t>21902020071520404328479</t>
  </si>
  <si>
    <t>羊冠作</t>
  </si>
  <si>
    <t>21902020071520470128487</t>
  </si>
  <si>
    <t>岑映兵</t>
  </si>
  <si>
    <t>21902020071612332228887</t>
  </si>
  <si>
    <t>蒲文杏</t>
  </si>
  <si>
    <t>21902020071613153328915</t>
  </si>
  <si>
    <t>陆文成</t>
  </si>
  <si>
    <t>21902020071614571628963</t>
  </si>
  <si>
    <t>王月兰</t>
  </si>
  <si>
    <t>21902020071615440429015</t>
  </si>
  <si>
    <t>陈琼梅</t>
  </si>
  <si>
    <t>21902020071617314929114</t>
  </si>
  <si>
    <t>李肇荣</t>
  </si>
  <si>
    <t>21902020071619351629172</t>
  </si>
  <si>
    <t>陈勇</t>
  </si>
  <si>
    <t>21902020071622232829259</t>
  </si>
  <si>
    <t>吴艳皎</t>
  </si>
  <si>
    <t>21902020071622261429262</t>
  </si>
  <si>
    <t>陈秀联</t>
  </si>
  <si>
    <t>21902020071710535829425</t>
  </si>
  <si>
    <t>薛梅春</t>
  </si>
  <si>
    <t>21902020071712462029505</t>
  </si>
  <si>
    <t>郭秀霞</t>
  </si>
  <si>
    <t>21902020071715395029606</t>
  </si>
  <si>
    <t>羊本妃</t>
  </si>
  <si>
    <t>21902020071715491529612</t>
  </si>
  <si>
    <t>李美楼</t>
  </si>
  <si>
    <t>21902020071717064829666</t>
  </si>
  <si>
    <t>吴石带</t>
  </si>
  <si>
    <t>21902020071717180229671</t>
  </si>
  <si>
    <t>谢金荣</t>
  </si>
  <si>
    <t>21902020071717400829681</t>
  </si>
  <si>
    <t>陈琼伟</t>
  </si>
  <si>
    <t>21902020071718282429704</t>
  </si>
  <si>
    <t>薛显妹</t>
  </si>
  <si>
    <t>21902020071811034029863</t>
  </si>
  <si>
    <t>周伟英</t>
  </si>
  <si>
    <t>21902020071812223029885</t>
  </si>
  <si>
    <t>杨济民</t>
  </si>
  <si>
    <t>21902020071812530929898</t>
  </si>
  <si>
    <t>赵壮婷</t>
  </si>
  <si>
    <t>21902020071814342029935</t>
  </si>
  <si>
    <t>黄艾莘</t>
  </si>
  <si>
    <t>21902020071815551129962</t>
  </si>
  <si>
    <t>符雪梅</t>
  </si>
  <si>
    <t>21902020071816010529966</t>
  </si>
  <si>
    <t>符昌慧</t>
  </si>
  <si>
    <t>21902020071914452530216</t>
  </si>
  <si>
    <t>符健铭</t>
  </si>
  <si>
    <t>21902020071921431530354</t>
  </si>
  <si>
    <t>朱如良</t>
  </si>
  <si>
    <t>21902020072009111830462</t>
  </si>
  <si>
    <t>郑卫华</t>
  </si>
  <si>
    <t>21902020071409261926100</t>
  </si>
  <si>
    <t>1602_征收岗</t>
  </si>
  <si>
    <t>李丹花</t>
  </si>
  <si>
    <t>21902020071409341126130</t>
  </si>
  <si>
    <t>薛辉</t>
  </si>
  <si>
    <t>21902020071409471426187</t>
  </si>
  <si>
    <t>何开能</t>
  </si>
  <si>
    <t>21902020071410391126406</t>
  </si>
  <si>
    <t>黄长海</t>
  </si>
  <si>
    <t>21902020071411100126509</t>
  </si>
  <si>
    <t>符礼芳</t>
  </si>
  <si>
    <t>21902020071412465926712</t>
  </si>
  <si>
    <t>王保</t>
  </si>
  <si>
    <t>21902020071413182626765</t>
  </si>
  <si>
    <t>陈进江</t>
  </si>
  <si>
    <t>21902020071415573327000</t>
  </si>
  <si>
    <t>曾智强</t>
  </si>
  <si>
    <t>21902020071416375627083</t>
  </si>
  <si>
    <t>符宝贵</t>
  </si>
  <si>
    <t>21902020071417274427168</t>
  </si>
  <si>
    <t>徐庆璋</t>
  </si>
  <si>
    <t>21902020071418523327284</t>
  </si>
  <si>
    <t>李震韬</t>
  </si>
  <si>
    <t>21902020071420234927389</t>
  </si>
  <si>
    <t>李翰奇</t>
  </si>
  <si>
    <t>21902020071422595927583</t>
  </si>
  <si>
    <t>周道峰</t>
  </si>
  <si>
    <t>21902020071507572627674</t>
  </si>
  <si>
    <t>羊忠辉</t>
  </si>
  <si>
    <t>21902020071508431727699</t>
  </si>
  <si>
    <t>邓一凡</t>
  </si>
  <si>
    <t>21902020071509110327754</t>
  </si>
  <si>
    <t>蒙钟伟</t>
  </si>
  <si>
    <t>21902020071511363027970</t>
  </si>
  <si>
    <t>王乃宦</t>
  </si>
  <si>
    <t>21902020071512304728033</t>
  </si>
  <si>
    <t>林莲花</t>
  </si>
  <si>
    <t>21902020071515562228209</t>
  </si>
  <si>
    <t>陆振涛</t>
  </si>
  <si>
    <t>21902020071516295728252</t>
  </si>
  <si>
    <t>郭青美</t>
  </si>
  <si>
    <t>21902020071521260828520</t>
  </si>
  <si>
    <t>陈扬文</t>
  </si>
  <si>
    <t>21902020071610401728784</t>
  </si>
  <si>
    <t>吴体斌</t>
  </si>
  <si>
    <t>21902020071617350229116</t>
  </si>
  <si>
    <t>谢尚谦</t>
  </si>
  <si>
    <t>21902020071709370329371</t>
  </si>
  <si>
    <t>李秋欢</t>
  </si>
  <si>
    <t>21902020071709410529374</t>
  </si>
  <si>
    <t>何妹妹</t>
  </si>
  <si>
    <t>21902020071710472529421</t>
  </si>
  <si>
    <t>陈玲燕</t>
  </si>
  <si>
    <t>21902020071711142229445</t>
  </si>
  <si>
    <t>羊正道</t>
  </si>
  <si>
    <t>21902020071715203329586</t>
  </si>
  <si>
    <t>潘毅书</t>
  </si>
  <si>
    <t>21902020071718070429694</t>
  </si>
  <si>
    <t>陆玉峰</t>
  </si>
  <si>
    <t>21902020071722465229787</t>
  </si>
  <si>
    <t>程丽梅</t>
  </si>
  <si>
    <t>21902020072008523030447</t>
  </si>
  <si>
    <t>何雄玲</t>
  </si>
  <si>
    <t>21902020072009524530503</t>
  </si>
  <si>
    <t>符春美</t>
  </si>
  <si>
    <t>21902020072010025130511</t>
  </si>
  <si>
    <t>麦映伦</t>
  </si>
  <si>
    <t>21902020072014572630707</t>
  </si>
  <si>
    <t>符朝政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</si>
</sst>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37"/>
  <sheetViews>
    <sheetView tabSelected="1" workbookViewId="0" topLeftCell="A1">
      <selection activeCell="G5" sqref="G5"/>
    </sheetView>
  </sheetViews>
  <sheetFormatPr defaultColWidth="9.00390625" defaultRowHeight="19.5" customHeight="1"/>
  <cols>
    <col min="1" max="1" width="9.00390625" style="3" customWidth="1"/>
    <col min="2" max="2" width="25.00390625" style="3" customWidth="1"/>
    <col min="3" max="3" width="19.57421875" style="3" customWidth="1"/>
    <col min="4" max="4" width="14.140625" style="3" customWidth="1"/>
    <col min="5" max="5" width="15.140625" style="3" customWidth="1"/>
    <col min="6" max="16384" width="9.00390625" style="3" customWidth="1"/>
  </cols>
  <sheetData>
    <row r="1" spans="1:5" s="1" customFormat="1" ht="51" customHeight="1">
      <c r="A1" s="5" t="s">
        <v>0</v>
      </c>
      <c r="B1" s="5"/>
      <c r="C1" s="5"/>
      <c r="D1" s="5"/>
      <c r="E1" s="5"/>
    </row>
    <row r="2" spans="1:5" s="2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19.5" customHeight="1">
      <c r="A3" s="8">
        <v>1</v>
      </c>
      <c r="B3" s="8" t="str">
        <f>"21902020071409150826038"</f>
        <v>21902020071409150826038</v>
      </c>
      <c r="C3" s="8" t="s">
        <v>6</v>
      </c>
      <c r="D3" s="8" t="str">
        <f>"吴光灵"</f>
        <v>吴光灵</v>
      </c>
      <c r="E3" s="8" t="str">
        <f aca="true" t="shared" si="0" ref="E3:E7">"男"</f>
        <v>男</v>
      </c>
    </row>
    <row r="4" spans="1:5" s="3" customFormat="1" ht="19.5" customHeight="1">
      <c r="A4" s="8">
        <v>2</v>
      </c>
      <c r="B4" s="8" t="str">
        <f>"21902020071409185426061"</f>
        <v>21902020071409185426061</v>
      </c>
      <c r="C4" s="8" t="s">
        <v>6</v>
      </c>
      <c r="D4" s="8" t="str">
        <f>"黎石王"</f>
        <v>黎石王</v>
      </c>
      <c r="E4" s="8" t="str">
        <f t="shared" si="0"/>
        <v>男</v>
      </c>
    </row>
    <row r="5" spans="1:5" s="3" customFormat="1" ht="19.5" customHeight="1">
      <c r="A5" s="8">
        <v>3</v>
      </c>
      <c r="B5" s="8" t="str">
        <f>"21902020071409534926217"</f>
        <v>21902020071409534926217</v>
      </c>
      <c r="C5" s="8" t="s">
        <v>6</v>
      </c>
      <c r="D5" s="8" t="str">
        <f>"李伯钧"</f>
        <v>李伯钧</v>
      </c>
      <c r="E5" s="8" t="str">
        <f t="shared" si="0"/>
        <v>男</v>
      </c>
    </row>
    <row r="6" spans="1:5" s="3" customFormat="1" ht="19.5" customHeight="1">
      <c r="A6" s="8">
        <v>4</v>
      </c>
      <c r="B6" s="8" t="str">
        <f>"21902020071409551926223"</f>
        <v>21902020071409551926223</v>
      </c>
      <c r="C6" s="8" t="s">
        <v>6</v>
      </c>
      <c r="D6" s="8" t="str">
        <f>"韦莲梅"</f>
        <v>韦莲梅</v>
      </c>
      <c r="E6" s="8" t="str">
        <f aca="true" t="shared" si="1" ref="E6:E9">"女"</f>
        <v>女</v>
      </c>
    </row>
    <row r="7" spans="1:5" s="3" customFormat="1" ht="19.5" customHeight="1">
      <c r="A7" s="8">
        <v>5</v>
      </c>
      <c r="B7" s="8" t="str">
        <f>"21902020071409575126231"</f>
        <v>21902020071409575126231</v>
      </c>
      <c r="C7" s="8" t="s">
        <v>6</v>
      </c>
      <c r="D7" s="8" t="str">
        <f>"岑学健"</f>
        <v>岑学健</v>
      </c>
      <c r="E7" s="8" t="str">
        <f t="shared" si="0"/>
        <v>男</v>
      </c>
    </row>
    <row r="8" spans="1:5" s="3" customFormat="1" ht="19.5" customHeight="1">
      <c r="A8" s="8">
        <v>6</v>
      </c>
      <c r="B8" s="8" t="str">
        <f>"21902020071410014526247"</f>
        <v>21902020071410014526247</v>
      </c>
      <c r="C8" s="8" t="s">
        <v>6</v>
      </c>
      <c r="D8" s="8" t="str">
        <f>"薛焕姣"</f>
        <v>薛焕姣</v>
      </c>
      <c r="E8" s="8" t="str">
        <f t="shared" si="1"/>
        <v>女</v>
      </c>
    </row>
    <row r="9" spans="1:5" s="3" customFormat="1" ht="19.5" customHeight="1">
      <c r="A9" s="8">
        <v>7</v>
      </c>
      <c r="B9" s="8" t="str">
        <f>"21902020071410124626308"</f>
        <v>21902020071410124626308</v>
      </c>
      <c r="C9" s="8" t="s">
        <v>6</v>
      </c>
      <c r="D9" s="8" t="str">
        <f>"符美美"</f>
        <v>符美美</v>
      </c>
      <c r="E9" s="8" t="str">
        <f t="shared" si="1"/>
        <v>女</v>
      </c>
    </row>
    <row r="10" spans="1:5" s="3" customFormat="1" ht="19.5" customHeight="1">
      <c r="A10" s="8">
        <v>8</v>
      </c>
      <c r="B10" s="8" t="str">
        <f>"21902020071410333926384"</f>
        <v>21902020071410333926384</v>
      </c>
      <c r="C10" s="8" t="s">
        <v>6</v>
      </c>
      <c r="D10" s="8" t="str">
        <f>"黎真良"</f>
        <v>黎真良</v>
      </c>
      <c r="E10" s="8" t="str">
        <f aca="true" t="shared" si="2" ref="E10:E18">"男"</f>
        <v>男</v>
      </c>
    </row>
    <row r="11" spans="1:5" s="3" customFormat="1" ht="19.5" customHeight="1">
      <c r="A11" s="8">
        <v>9</v>
      </c>
      <c r="B11" s="8" t="str">
        <f>"21902020071410383026404"</f>
        <v>21902020071410383026404</v>
      </c>
      <c r="C11" s="8" t="s">
        <v>6</v>
      </c>
      <c r="D11" s="8" t="str">
        <f>"刘学广"</f>
        <v>刘学广</v>
      </c>
      <c r="E11" s="8" t="str">
        <f t="shared" si="2"/>
        <v>男</v>
      </c>
    </row>
    <row r="12" spans="1:5" s="3" customFormat="1" ht="19.5" customHeight="1">
      <c r="A12" s="8">
        <v>10</v>
      </c>
      <c r="B12" s="8" t="str">
        <f>"21902020071411304326562"</f>
        <v>21902020071411304326562</v>
      </c>
      <c r="C12" s="8" t="s">
        <v>6</v>
      </c>
      <c r="D12" s="8" t="str">
        <f>"王婷"</f>
        <v>王婷</v>
      </c>
      <c r="E12" s="8" t="str">
        <f aca="true" t="shared" si="3" ref="E12:E14">"女"</f>
        <v>女</v>
      </c>
    </row>
    <row r="13" spans="1:5" s="3" customFormat="1" ht="19.5" customHeight="1">
      <c r="A13" s="8">
        <v>11</v>
      </c>
      <c r="B13" s="8" t="str">
        <f>"21902020071411452326599"</f>
        <v>21902020071411452326599</v>
      </c>
      <c r="C13" s="8" t="s">
        <v>6</v>
      </c>
      <c r="D13" s="8" t="str">
        <f>"李娟"</f>
        <v>李娟</v>
      </c>
      <c r="E13" s="8" t="str">
        <f t="shared" si="3"/>
        <v>女</v>
      </c>
    </row>
    <row r="14" spans="1:5" s="3" customFormat="1" ht="19.5" customHeight="1">
      <c r="A14" s="8">
        <v>12</v>
      </c>
      <c r="B14" s="8" t="str">
        <f>"21902020071412042426641"</f>
        <v>21902020071412042426641</v>
      </c>
      <c r="C14" s="8" t="s">
        <v>6</v>
      </c>
      <c r="D14" s="8" t="str">
        <f>"邢钰"</f>
        <v>邢钰</v>
      </c>
      <c r="E14" s="8" t="str">
        <f t="shared" si="3"/>
        <v>女</v>
      </c>
    </row>
    <row r="15" spans="1:5" s="3" customFormat="1" ht="19.5" customHeight="1">
      <c r="A15" s="8">
        <v>13</v>
      </c>
      <c r="B15" s="8" t="str">
        <f>"21902020071412474626713"</f>
        <v>21902020071412474626713</v>
      </c>
      <c r="C15" s="8" t="s">
        <v>6</v>
      </c>
      <c r="D15" s="8" t="str">
        <f>"王恩深"</f>
        <v>王恩深</v>
      </c>
      <c r="E15" s="8" t="str">
        <f t="shared" si="2"/>
        <v>男</v>
      </c>
    </row>
    <row r="16" spans="1:5" s="3" customFormat="1" ht="19.5" customHeight="1">
      <c r="A16" s="8">
        <v>14</v>
      </c>
      <c r="B16" s="8" t="str">
        <f>"21902020071413201426768"</f>
        <v>21902020071413201426768</v>
      </c>
      <c r="C16" s="8" t="s">
        <v>6</v>
      </c>
      <c r="D16" s="8" t="str">
        <f>"薛开瑶"</f>
        <v>薛开瑶</v>
      </c>
      <c r="E16" s="8" t="str">
        <f t="shared" si="2"/>
        <v>男</v>
      </c>
    </row>
    <row r="17" spans="1:5" s="3" customFormat="1" ht="19.5" customHeight="1">
      <c r="A17" s="8">
        <v>15</v>
      </c>
      <c r="B17" s="8" t="str">
        <f>"21902020071413475326802"</f>
        <v>21902020071413475326802</v>
      </c>
      <c r="C17" s="8" t="s">
        <v>6</v>
      </c>
      <c r="D17" s="8" t="str">
        <f>"陈之萃"</f>
        <v>陈之萃</v>
      </c>
      <c r="E17" s="8" t="str">
        <f t="shared" si="2"/>
        <v>男</v>
      </c>
    </row>
    <row r="18" spans="1:5" s="3" customFormat="1" ht="19.5" customHeight="1">
      <c r="A18" s="8">
        <v>16</v>
      </c>
      <c r="B18" s="8" t="str">
        <f>"21902020071413580526810"</f>
        <v>21902020071413580526810</v>
      </c>
      <c r="C18" s="8" t="s">
        <v>6</v>
      </c>
      <c r="D18" s="8" t="str">
        <f>"黄家军"</f>
        <v>黄家军</v>
      </c>
      <c r="E18" s="8" t="str">
        <f t="shared" si="2"/>
        <v>男</v>
      </c>
    </row>
    <row r="19" spans="1:5" s="3" customFormat="1" ht="19.5" customHeight="1">
      <c r="A19" s="8">
        <v>17</v>
      </c>
      <c r="B19" s="8" t="str">
        <f>"21902020071414143026832"</f>
        <v>21902020071414143026832</v>
      </c>
      <c r="C19" s="8" t="s">
        <v>6</v>
      </c>
      <c r="D19" s="8" t="str">
        <f>"陈梦霞"</f>
        <v>陈梦霞</v>
      </c>
      <c r="E19" s="8" t="str">
        <f aca="true" t="shared" si="4" ref="E19:E23">"女"</f>
        <v>女</v>
      </c>
    </row>
    <row r="20" spans="1:5" s="3" customFormat="1" ht="19.5" customHeight="1">
      <c r="A20" s="8">
        <v>18</v>
      </c>
      <c r="B20" s="8" t="str">
        <f>"21902020071414463526885"</f>
        <v>21902020071414463526885</v>
      </c>
      <c r="C20" s="8" t="s">
        <v>6</v>
      </c>
      <c r="D20" s="8" t="str">
        <f>"李春良"</f>
        <v>李春良</v>
      </c>
      <c r="E20" s="8" t="str">
        <f aca="true" t="shared" si="5" ref="E20:E24">"男"</f>
        <v>男</v>
      </c>
    </row>
    <row r="21" spans="1:5" s="3" customFormat="1" ht="19.5" customHeight="1">
      <c r="A21" s="8">
        <v>19</v>
      </c>
      <c r="B21" s="8" t="str">
        <f>"21902020071414543326902"</f>
        <v>21902020071414543326902</v>
      </c>
      <c r="C21" s="8" t="s">
        <v>6</v>
      </c>
      <c r="D21" s="8" t="str">
        <f>"吴小娜"</f>
        <v>吴小娜</v>
      </c>
      <c r="E21" s="8" t="str">
        <f t="shared" si="4"/>
        <v>女</v>
      </c>
    </row>
    <row r="22" spans="1:5" s="3" customFormat="1" ht="19.5" customHeight="1">
      <c r="A22" s="8">
        <v>20</v>
      </c>
      <c r="B22" s="8" t="str">
        <f>"21902020071415172726937"</f>
        <v>21902020071415172726937</v>
      </c>
      <c r="C22" s="8" t="s">
        <v>6</v>
      </c>
      <c r="D22" s="8" t="str">
        <f>"曾繁华"</f>
        <v>曾繁华</v>
      </c>
      <c r="E22" s="8" t="str">
        <f t="shared" si="5"/>
        <v>男</v>
      </c>
    </row>
    <row r="23" spans="1:5" s="3" customFormat="1" ht="19.5" customHeight="1">
      <c r="A23" s="8">
        <v>21</v>
      </c>
      <c r="B23" s="8" t="str">
        <f>"21902020071415590827007"</f>
        <v>21902020071415590827007</v>
      </c>
      <c r="C23" s="8" t="s">
        <v>6</v>
      </c>
      <c r="D23" s="8" t="str">
        <f>"钟文月"</f>
        <v>钟文月</v>
      </c>
      <c r="E23" s="8" t="str">
        <f t="shared" si="4"/>
        <v>女</v>
      </c>
    </row>
    <row r="24" spans="1:5" s="3" customFormat="1" ht="19.5" customHeight="1">
      <c r="A24" s="8">
        <v>22</v>
      </c>
      <c r="B24" s="8" t="str">
        <f>"21902020071417054027132"</f>
        <v>21902020071417054027132</v>
      </c>
      <c r="C24" s="8" t="s">
        <v>6</v>
      </c>
      <c r="D24" s="8" t="str">
        <f>"孙苑狮"</f>
        <v>孙苑狮</v>
      </c>
      <c r="E24" s="8" t="str">
        <f t="shared" si="5"/>
        <v>男</v>
      </c>
    </row>
    <row r="25" spans="1:5" s="3" customFormat="1" ht="19.5" customHeight="1">
      <c r="A25" s="8">
        <v>23</v>
      </c>
      <c r="B25" s="8" t="str">
        <f>"21902020071419242527332"</f>
        <v>21902020071419242527332</v>
      </c>
      <c r="C25" s="8" t="s">
        <v>6</v>
      </c>
      <c r="D25" s="8" t="str">
        <f>"杨华秀"</f>
        <v>杨华秀</v>
      </c>
      <c r="E25" s="8" t="str">
        <f aca="true" t="shared" si="6" ref="E25:E28">"女"</f>
        <v>女</v>
      </c>
    </row>
    <row r="26" spans="1:5" s="3" customFormat="1" ht="19.5" customHeight="1">
      <c r="A26" s="8">
        <v>24</v>
      </c>
      <c r="B26" s="8" t="str">
        <f>"21902020071420041127364"</f>
        <v>21902020071420041127364</v>
      </c>
      <c r="C26" s="8" t="s">
        <v>6</v>
      </c>
      <c r="D26" s="8" t="str">
        <f>"黎智善"</f>
        <v>黎智善</v>
      </c>
      <c r="E26" s="8" t="str">
        <f aca="true" t="shared" si="7" ref="E26:E34">"男"</f>
        <v>男</v>
      </c>
    </row>
    <row r="27" spans="1:5" s="3" customFormat="1" ht="19.5" customHeight="1">
      <c r="A27" s="8">
        <v>25</v>
      </c>
      <c r="B27" s="8" t="str">
        <f>"21902020071421564827498"</f>
        <v>21902020071421564827498</v>
      </c>
      <c r="C27" s="8" t="s">
        <v>6</v>
      </c>
      <c r="D27" s="8" t="str">
        <f>"周秋杨"</f>
        <v>周秋杨</v>
      </c>
      <c r="E27" s="8" t="str">
        <f t="shared" si="6"/>
        <v>女</v>
      </c>
    </row>
    <row r="28" spans="1:5" s="3" customFormat="1" ht="19.5" customHeight="1">
      <c r="A28" s="8">
        <v>26</v>
      </c>
      <c r="B28" s="8" t="str">
        <f>"21902020071421572327499"</f>
        <v>21902020071421572327499</v>
      </c>
      <c r="C28" s="8" t="s">
        <v>6</v>
      </c>
      <c r="D28" s="8" t="str">
        <f>"王井全"</f>
        <v>王井全</v>
      </c>
      <c r="E28" s="8" t="str">
        <f t="shared" si="6"/>
        <v>女</v>
      </c>
    </row>
    <row r="29" spans="1:5" s="3" customFormat="1" ht="19.5" customHeight="1">
      <c r="A29" s="8">
        <v>27</v>
      </c>
      <c r="B29" s="8" t="str">
        <f>"21902020071422511327571"</f>
        <v>21902020071422511327571</v>
      </c>
      <c r="C29" s="8" t="s">
        <v>6</v>
      </c>
      <c r="D29" s="8" t="str">
        <f>"王建良"</f>
        <v>王建良</v>
      </c>
      <c r="E29" s="8" t="str">
        <f t="shared" si="7"/>
        <v>男</v>
      </c>
    </row>
    <row r="30" spans="1:5" s="3" customFormat="1" ht="19.5" customHeight="1">
      <c r="A30" s="8">
        <v>28</v>
      </c>
      <c r="B30" s="8" t="str">
        <f>"21902020071423231527610"</f>
        <v>21902020071423231527610</v>
      </c>
      <c r="C30" s="8" t="s">
        <v>6</v>
      </c>
      <c r="D30" s="8" t="str">
        <f>"符兴山"</f>
        <v>符兴山</v>
      </c>
      <c r="E30" s="8" t="str">
        <f t="shared" si="7"/>
        <v>男</v>
      </c>
    </row>
    <row r="31" spans="1:5" s="3" customFormat="1" ht="19.5" customHeight="1">
      <c r="A31" s="8">
        <v>29</v>
      </c>
      <c r="B31" s="8" t="str">
        <f>"21902020071500174327644"</f>
        <v>21902020071500174327644</v>
      </c>
      <c r="C31" s="8" t="s">
        <v>6</v>
      </c>
      <c r="D31" s="8" t="str">
        <f>"黄兹俊"</f>
        <v>黄兹俊</v>
      </c>
      <c r="E31" s="8" t="str">
        <f t="shared" si="7"/>
        <v>男</v>
      </c>
    </row>
    <row r="32" spans="1:5" s="3" customFormat="1" ht="19.5" customHeight="1">
      <c r="A32" s="8">
        <v>30</v>
      </c>
      <c r="B32" s="8" t="str">
        <f>"21902020071508300227687"</f>
        <v>21902020071508300227687</v>
      </c>
      <c r="C32" s="8" t="s">
        <v>6</v>
      </c>
      <c r="D32" s="8" t="str">
        <f>"薛国卿"</f>
        <v>薛国卿</v>
      </c>
      <c r="E32" s="8" t="str">
        <f t="shared" si="7"/>
        <v>男</v>
      </c>
    </row>
    <row r="33" spans="1:5" s="3" customFormat="1" ht="19.5" customHeight="1">
      <c r="A33" s="8">
        <v>31</v>
      </c>
      <c r="B33" s="8" t="str">
        <f>"21902020071508492227706"</f>
        <v>21902020071508492227706</v>
      </c>
      <c r="C33" s="8" t="s">
        <v>6</v>
      </c>
      <c r="D33" s="8" t="str">
        <f>"符健豪"</f>
        <v>符健豪</v>
      </c>
      <c r="E33" s="8" t="str">
        <f t="shared" si="7"/>
        <v>男</v>
      </c>
    </row>
    <row r="34" spans="1:5" s="3" customFormat="1" ht="19.5" customHeight="1">
      <c r="A34" s="8">
        <v>32</v>
      </c>
      <c r="B34" s="8" t="str">
        <f>"21902020071509180427764"</f>
        <v>21902020071509180427764</v>
      </c>
      <c r="C34" s="8" t="s">
        <v>6</v>
      </c>
      <c r="D34" s="8" t="str">
        <f>"符秉志"</f>
        <v>符秉志</v>
      </c>
      <c r="E34" s="8" t="str">
        <f t="shared" si="7"/>
        <v>男</v>
      </c>
    </row>
    <row r="35" spans="1:5" s="3" customFormat="1" ht="19.5" customHeight="1">
      <c r="A35" s="8">
        <v>33</v>
      </c>
      <c r="B35" s="8" t="str">
        <f>"21902020071511455927981"</f>
        <v>21902020071511455927981</v>
      </c>
      <c r="C35" s="8" t="s">
        <v>6</v>
      </c>
      <c r="D35" s="8" t="str">
        <f>"陈菲"</f>
        <v>陈菲</v>
      </c>
      <c r="E35" s="8" t="str">
        <f aca="true" t="shared" si="8" ref="E35:E40">"女"</f>
        <v>女</v>
      </c>
    </row>
    <row r="36" spans="1:5" s="3" customFormat="1" ht="19.5" customHeight="1">
      <c r="A36" s="8">
        <v>34</v>
      </c>
      <c r="B36" s="8" t="str">
        <f>"21902020071511572428006"</f>
        <v>21902020071511572428006</v>
      </c>
      <c r="C36" s="8" t="s">
        <v>6</v>
      </c>
      <c r="D36" s="8" t="str">
        <f>"钟政"</f>
        <v>钟政</v>
      </c>
      <c r="E36" s="8" t="str">
        <f aca="true" t="shared" si="9" ref="E36:E38">"男"</f>
        <v>男</v>
      </c>
    </row>
    <row r="37" spans="1:5" s="3" customFormat="1" ht="19.5" customHeight="1">
      <c r="A37" s="8">
        <v>35</v>
      </c>
      <c r="B37" s="8" t="str">
        <f>"21902020071515412328195"</f>
        <v>21902020071515412328195</v>
      </c>
      <c r="C37" s="8" t="s">
        <v>6</v>
      </c>
      <c r="D37" s="8" t="str">
        <f>"王衍智"</f>
        <v>王衍智</v>
      </c>
      <c r="E37" s="8" t="str">
        <f t="shared" si="9"/>
        <v>男</v>
      </c>
    </row>
    <row r="38" spans="1:5" s="3" customFormat="1" ht="19.5" customHeight="1">
      <c r="A38" s="8">
        <v>36</v>
      </c>
      <c r="B38" s="8" t="str">
        <f>"21902020071520075028452"</f>
        <v>21902020071520075028452</v>
      </c>
      <c r="C38" s="8" t="s">
        <v>6</v>
      </c>
      <c r="D38" s="8" t="str">
        <f>"陈川豪"</f>
        <v>陈川豪</v>
      </c>
      <c r="E38" s="8" t="str">
        <f t="shared" si="9"/>
        <v>男</v>
      </c>
    </row>
    <row r="39" spans="1:5" s="3" customFormat="1" ht="19.5" customHeight="1">
      <c r="A39" s="8">
        <v>37</v>
      </c>
      <c r="B39" s="8" t="str">
        <f>"21902020071521395728525"</f>
        <v>21902020071521395728525</v>
      </c>
      <c r="C39" s="8" t="s">
        <v>6</v>
      </c>
      <c r="D39" s="8" t="str">
        <f>"王小珏"</f>
        <v>王小珏</v>
      </c>
      <c r="E39" s="8" t="str">
        <f t="shared" si="8"/>
        <v>女</v>
      </c>
    </row>
    <row r="40" spans="1:5" s="3" customFormat="1" ht="19.5" customHeight="1">
      <c r="A40" s="8">
        <v>38</v>
      </c>
      <c r="B40" s="8" t="str">
        <f>"21902020071523412028626"</f>
        <v>21902020071523412028626</v>
      </c>
      <c r="C40" s="8" t="s">
        <v>6</v>
      </c>
      <c r="D40" s="8" t="str">
        <f>"李冬兰"</f>
        <v>李冬兰</v>
      </c>
      <c r="E40" s="8" t="str">
        <f t="shared" si="8"/>
        <v>女</v>
      </c>
    </row>
    <row r="41" spans="1:5" s="3" customFormat="1" ht="19.5" customHeight="1">
      <c r="A41" s="8">
        <v>39</v>
      </c>
      <c r="B41" s="8" t="str">
        <f>"21902020071600061328641"</f>
        <v>21902020071600061328641</v>
      </c>
      <c r="C41" s="8" t="s">
        <v>6</v>
      </c>
      <c r="D41" s="8" t="str">
        <f>"兰博涵"</f>
        <v>兰博涵</v>
      </c>
      <c r="E41" s="8" t="str">
        <f>"男"</f>
        <v>男</v>
      </c>
    </row>
    <row r="42" spans="1:5" s="3" customFormat="1" ht="19.5" customHeight="1">
      <c r="A42" s="8">
        <v>40</v>
      </c>
      <c r="B42" s="8" t="str">
        <f>"21902020071601260028662"</f>
        <v>21902020071601260028662</v>
      </c>
      <c r="C42" s="8" t="s">
        <v>6</v>
      </c>
      <c r="D42" s="8" t="str">
        <f>"杨怡雯"</f>
        <v>杨怡雯</v>
      </c>
      <c r="E42" s="8" t="str">
        <f aca="true" t="shared" si="10" ref="E42:E45">"女"</f>
        <v>女</v>
      </c>
    </row>
    <row r="43" spans="1:5" s="3" customFormat="1" ht="19.5" customHeight="1">
      <c r="A43" s="8">
        <v>41</v>
      </c>
      <c r="B43" s="8" t="str">
        <f>"21902020071615032328969"</f>
        <v>21902020071615032328969</v>
      </c>
      <c r="C43" s="8" t="s">
        <v>6</v>
      </c>
      <c r="D43" s="8" t="str">
        <f>"林青"</f>
        <v>林青</v>
      </c>
      <c r="E43" s="8" t="str">
        <f t="shared" si="10"/>
        <v>女</v>
      </c>
    </row>
    <row r="44" spans="1:5" s="3" customFormat="1" ht="19.5" customHeight="1">
      <c r="A44" s="8">
        <v>42</v>
      </c>
      <c r="B44" s="8" t="str">
        <f>"21902020071616173929046"</f>
        <v>21902020071616173929046</v>
      </c>
      <c r="C44" s="8" t="s">
        <v>6</v>
      </c>
      <c r="D44" s="8" t="str">
        <f>"林惠玲"</f>
        <v>林惠玲</v>
      </c>
      <c r="E44" s="8" t="str">
        <f t="shared" si="10"/>
        <v>女</v>
      </c>
    </row>
    <row r="45" spans="1:5" s="3" customFormat="1" ht="19.5" customHeight="1">
      <c r="A45" s="8">
        <v>43</v>
      </c>
      <c r="B45" s="8" t="str">
        <f>"21902020071617513129127"</f>
        <v>21902020071617513129127</v>
      </c>
      <c r="C45" s="8" t="s">
        <v>6</v>
      </c>
      <c r="D45" s="8" t="str">
        <f>"王月"</f>
        <v>王月</v>
      </c>
      <c r="E45" s="8" t="str">
        <f t="shared" si="10"/>
        <v>女</v>
      </c>
    </row>
    <row r="46" spans="1:5" s="3" customFormat="1" ht="19.5" customHeight="1">
      <c r="A46" s="8">
        <v>44</v>
      </c>
      <c r="B46" s="8" t="str">
        <f>"21902020071618474129151"</f>
        <v>21902020071618474129151</v>
      </c>
      <c r="C46" s="8" t="s">
        <v>6</v>
      </c>
      <c r="D46" s="8" t="str">
        <f>"林小橼"</f>
        <v>林小橼</v>
      </c>
      <c r="E46" s="8" t="str">
        <f aca="true" t="shared" si="11" ref="E46:E50">"男"</f>
        <v>男</v>
      </c>
    </row>
    <row r="47" spans="1:5" s="3" customFormat="1" ht="19.5" customHeight="1">
      <c r="A47" s="8">
        <v>45</v>
      </c>
      <c r="B47" s="8" t="str">
        <f>"21902020071619081729158"</f>
        <v>21902020071619081729158</v>
      </c>
      <c r="C47" s="8" t="s">
        <v>6</v>
      </c>
      <c r="D47" s="8" t="str">
        <f>"陈海兰"</f>
        <v>陈海兰</v>
      </c>
      <c r="E47" s="8" t="str">
        <f>"女"</f>
        <v>女</v>
      </c>
    </row>
    <row r="48" spans="1:5" s="3" customFormat="1" ht="19.5" customHeight="1">
      <c r="A48" s="8">
        <v>46</v>
      </c>
      <c r="B48" s="8" t="str">
        <f>"21902020071620221329196"</f>
        <v>21902020071620221329196</v>
      </c>
      <c r="C48" s="8" t="s">
        <v>6</v>
      </c>
      <c r="D48" s="8" t="str">
        <f>"李万欢"</f>
        <v>李万欢</v>
      </c>
      <c r="E48" s="8" t="str">
        <f t="shared" si="11"/>
        <v>男</v>
      </c>
    </row>
    <row r="49" spans="1:5" s="3" customFormat="1" ht="19.5" customHeight="1">
      <c r="A49" s="8">
        <v>47</v>
      </c>
      <c r="B49" s="8" t="str">
        <f>"21902020071620261629197"</f>
        <v>21902020071620261629197</v>
      </c>
      <c r="C49" s="8" t="s">
        <v>6</v>
      </c>
      <c r="D49" s="8" t="str">
        <f>"李可禄"</f>
        <v>李可禄</v>
      </c>
      <c r="E49" s="8" t="str">
        <f t="shared" si="11"/>
        <v>男</v>
      </c>
    </row>
    <row r="50" spans="1:5" s="3" customFormat="1" ht="19.5" customHeight="1">
      <c r="A50" s="8">
        <v>48</v>
      </c>
      <c r="B50" s="8" t="str">
        <f>"21902020071621431529237"</f>
        <v>21902020071621431529237</v>
      </c>
      <c r="C50" s="8" t="s">
        <v>6</v>
      </c>
      <c r="D50" s="8" t="str">
        <f>"陈长盛"</f>
        <v>陈长盛</v>
      </c>
      <c r="E50" s="8" t="str">
        <f t="shared" si="11"/>
        <v>男</v>
      </c>
    </row>
    <row r="51" spans="1:5" s="3" customFormat="1" ht="19.5" customHeight="1">
      <c r="A51" s="8">
        <v>49</v>
      </c>
      <c r="B51" s="8" t="str">
        <f>"21902020071622145429254"</f>
        <v>21902020071622145429254</v>
      </c>
      <c r="C51" s="8" t="s">
        <v>6</v>
      </c>
      <c r="D51" s="8" t="str">
        <f>"蔡静"</f>
        <v>蔡静</v>
      </c>
      <c r="E51" s="8" t="str">
        <f>"女"</f>
        <v>女</v>
      </c>
    </row>
    <row r="52" spans="1:5" s="3" customFormat="1" ht="19.5" customHeight="1">
      <c r="A52" s="8">
        <v>50</v>
      </c>
      <c r="B52" s="8" t="str">
        <f>"21902020071622475929271"</f>
        <v>21902020071622475929271</v>
      </c>
      <c r="C52" s="8" t="s">
        <v>6</v>
      </c>
      <c r="D52" s="8" t="str">
        <f>"符传亮"</f>
        <v>符传亮</v>
      </c>
      <c r="E52" s="8" t="str">
        <f aca="true" t="shared" si="12" ref="E52:E57">"男"</f>
        <v>男</v>
      </c>
    </row>
    <row r="53" spans="1:5" s="3" customFormat="1" ht="19.5" customHeight="1">
      <c r="A53" s="8">
        <v>51</v>
      </c>
      <c r="B53" s="8" t="str">
        <f>"21902020071623382029298"</f>
        <v>21902020071623382029298</v>
      </c>
      <c r="C53" s="8" t="s">
        <v>6</v>
      </c>
      <c r="D53" s="8" t="str">
        <f>"邓俊虎"</f>
        <v>邓俊虎</v>
      </c>
      <c r="E53" s="8" t="str">
        <f t="shared" si="12"/>
        <v>男</v>
      </c>
    </row>
    <row r="54" spans="1:5" s="3" customFormat="1" ht="19.5" customHeight="1">
      <c r="A54" s="8">
        <v>52</v>
      </c>
      <c r="B54" s="8" t="str">
        <f>"21902020071710474429422"</f>
        <v>21902020071710474429422</v>
      </c>
      <c r="C54" s="8" t="s">
        <v>6</v>
      </c>
      <c r="D54" s="8" t="str">
        <f>"白雅美"</f>
        <v>白雅美</v>
      </c>
      <c r="E54" s="8" t="str">
        <f aca="true" t="shared" si="13" ref="E54:E60">"女"</f>
        <v>女</v>
      </c>
    </row>
    <row r="55" spans="1:5" s="3" customFormat="1" ht="19.5" customHeight="1">
      <c r="A55" s="8">
        <v>53</v>
      </c>
      <c r="B55" s="8" t="str">
        <f>"21902020071713005229511"</f>
        <v>21902020071713005229511</v>
      </c>
      <c r="C55" s="8" t="s">
        <v>6</v>
      </c>
      <c r="D55" s="8" t="str">
        <f>"郭肇成"</f>
        <v>郭肇成</v>
      </c>
      <c r="E55" s="8" t="str">
        <f t="shared" si="12"/>
        <v>男</v>
      </c>
    </row>
    <row r="56" spans="1:5" s="3" customFormat="1" ht="19.5" customHeight="1">
      <c r="A56" s="8">
        <v>54</v>
      </c>
      <c r="B56" s="8" t="str">
        <f>"21902020071713111829517"</f>
        <v>21902020071713111829517</v>
      </c>
      <c r="C56" s="8" t="s">
        <v>6</v>
      </c>
      <c r="D56" s="8" t="str">
        <f>"符圣哲"</f>
        <v>符圣哲</v>
      </c>
      <c r="E56" s="8" t="str">
        <f t="shared" si="12"/>
        <v>男</v>
      </c>
    </row>
    <row r="57" spans="1:5" s="3" customFormat="1" ht="19.5" customHeight="1">
      <c r="A57" s="8">
        <v>55</v>
      </c>
      <c r="B57" s="8" t="str">
        <f>"21902020071713284029526"</f>
        <v>21902020071713284029526</v>
      </c>
      <c r="C57" s="8" t="s">
        <v>6</v>
      </c>
      <c r="D57" s="8" t="str">
        <f>"蔡作明"</f>
        <v>蔡作明</v>
      </c>
      <c r="E57" s="8" t="str">
        <f t="shared" si="12"/>
        <v>男</v>
      </c>
    </row>
    <row r="58" spans="1:5" s="3" customFormat="1" ht="19.5" customHeight="1">
      <c r="A58" s="8">
        <v>56</v>
      </c>
      <c r="B58" s="8" t="str">
        <f>"21902020071715140029582"</f>
        <v>21902020071715140029582</v>
      </c>
      <c r="C58" s="8" t="s">
        <v>6</v>
      </c>
      <c r="D58" s="8" t="str">
        <f>"林源"</f>
        <v>林源</v>
      </c>
      <c r="E58" s="8" t="str">
        <f t="shared" si="13"/>
        <v>女</v>
      </c>
    </row>
    <row r="59" spans="1:5" s="3" customFormat="1" ht="19.5" customHeight="1">
      <c r="A59" s="8">
        <v>57</v>
      </c>
      <c r="B59" s="8" t="str">
        <f>"21902020071716143329628"</f>
        <v>21902020071716143329628</v>
      </c>
      <c r="C59" s="8" t="s">
        <v>6</v>
      </c>
      <c r="D59" s="8" t="str">
        <f>"曾燕升"</f>
        <v>曾燕升</v>
      </c>
      <c r="E59" s="8" t="str">
        <f t="shared" si="13"/>
        <v>女</v>
      </c>
    </row>
    <row r="60" spans="1:5" s="3" customFormat="1" ht="19.5" customHeight="1">
      <c r="A60" s="8">
        <v>58</v>
      </c>
      <c r="B60" s="8" t="str">
        <f>"21902020071717024329663"</f>
        <v>21902020071717024329663</v>
      </c>
      <c r="C60" s="8" t="s">
        <v>6</v>
      </c>
      <c r="D60" s="8" t="str">
        <f>"李婷叶"</f>
        <v>李婷叶</v>
      </c>
      <c r="E60" s="8" t="str">
        <f t="shared" si="13"/>
        <v>女</v>
      </c>
    </row>
    <row r="61" spans="1:5" s="3" customFormat="1" ht="19.5" customHeight="1">
      <c r="A61" s="8">
        <v>59</v>
      </c>
      <c r="B61" s="8" t="str">
        <f>"21902020071718150729698"</f>
        <v>21902020071718150729698</v>
      </c>
      <c r="C61" s="8" t="s">
        <v>6</v>
      </c>
      <c r="D61" s="8" t="str">
        <f>"唐剑"</f>
        <v>唐剑</v>
      </c>
      <c r="E61" s="8" t="str">
        <f aca="true" t="shared" si="14" ref="E61:E66">"男"</f>
        <v>男</v>
      </c>
    </row>
    <row r="62" spans="1:5" s="3" customFormat="1" ht="19.5" customHeight="1">
      <c r="A62" s="8">
        <v>60</v>
      </c>
      <c r="B62" s="8" t="str">
        <f>"21902020071721165729750"</f>
        <v>21902020071721165729750</v>
      </c>
      <c r="C62" s="8" t="s">
        <v>6</v>
      </c>
      <c r="D62" s="8" t="str">
        <f>"黄永明"</f>
        <v>黄永明</v>
      </c>
      <c r="E62" s="8" t="str">
        <f aca="true" t="shared" si="15" ref="E62:E64">"女"</f>
        <v>女</v>
      </c>
    </row>
    <row r="63" spans="1:5" s="3" customFormat="1" ht="19.5" customHeight="1">
      <c r="A63" s="8">
        <v>61</v>
      </c>
      <c r="B63" s="8" t="str">
        <f>"21902020071722340829784"</f>
        <v>21902020071722340829784</v>
      </c>
      <c r="C63" s="8" t="s">
        <v>6</v>
      </c>
      <c r="D63" s="8" t="str">
        <f>"李成曼"</f>
        <v>李成曼</v>
      </c>
      <c r="E63" s="8" t="str">
        <f t="shared" si="15"/>
        <v>女</v>
      </c>
    </row>
    <row r="64" spans="1:5" s="3" customFormat="1" ht="19.5" customHeight="1">
      <c r="A64" s="8">
        <v>62</v>
      </c>
      <c r="B64" s="8" t="str">
        <f>"21902020071801342529804"</f>
        <v>21902020071801342529804</v>
      </c>
      <c r="C64" s="8" t="s">
        <v>6</v>
      </c>
      <c r="D64" s="8" t="str">
        <f>"邓华月"</f>
        <v>邓华月</v>
      </c>
      <c r="E64" s="8" t="str">
        <f t="shared" si="15"/>
        <v>女</v>
      </c>
    </row>
    <row r="65" spans="1:5" s="3" customFormat="1" ht="19.5" customHeight="1">
      <c r="A65" s="8">
        <v>63</v>
      </c>
      <c r="B65" s="8" t="str">
        <f>"21902020071815430929956"</f>
        <v>21902020071815430929956</v>
      </c>
      <c r="C65" s="8" t="s">
        <v>6</v>
      </c>
      <c r="D65" s="8" t="str">
        <f>"罗志明"</f>
        <v>罗志明</v>
      </c>
      <c r="E65" s="8" t="str">
        <f t="shared" si="14"/>
        <v>男</v>
      </c>
    </row>
    <row r="66" spans="1:5" s="3" customFormat="1" ht="19.5" customHeight="1">
      <c r="A66" s="8">
        <v>64</v>
      </c>
      <c r="B66" s="8" t="str">
        <f>"21902020071821073130040"</f>
        <v>21902020071821073130040</v>
      </c>
      <c r="C66" s="8" t="s">
        <v>6</v>
      </c>
      <c r="D66" s="8" t="str">
        <f>"林旺"</f>
        <v>林旺</v>
      </c>
      <c r="E66" s="8" t="str">
        <f t="shared" si="14"/>
        <v>男</v>
      </c>
    </row>
    <row r="67" spans="1:5" s="3" customFormat="1" ht="19.5" customHeight="1">
      <c r="A67" s="8">
        <v>65</v>
      </c>
      <c r="B67" s="8" t="str">
        <f>"21902020071821254130048"</f>
        <v>21902020071821254130048</v>
      </c>
      <c r="C67" s="8" t="s">
        <v>6</v>
      </c>
      <c r="D67" s="8" t="str">
        <f>"刘英"</f>
        <v>刘英</v>
      </c>
      <c r="E67" s="8" t="str">
        <f aca="true" t="shared" si="16" ref="E67:E70">"女"</f>
        <v>女</v>
      </c>
    </row>
    <row r="68" spans="1:5" s="3" customFormat="1" ht="19.5" customHeight="1">
      <c r="A68" s="8">
        <v>66</v>
      </c>
      <c r="B68" s="8" t="str">
        <f>"21902020071821584230057"</f>
        <v>21902020071821584230057</v>
      </c>
      <c r="C68" s="8" t="s">
        <v>6</v>
      </c>
      <c r="D68" s="8" t="str">
        <f>"张碧珊"</f>
        <v>张碧珊</v>
      </c>
      <c r="E68" s="8" t="str">
        <f t="shared" si="16"/>
        <v>女</v>
      </c>
    </row>
    <row r="69" spans="1:5" s="3" customFormat="1" ht="19.5" customHeight="1">
      <c r="A69" s="8">
        <v>67</v>
      </c>
      <c r="B69" s="8" t="str">
        <f>"21902020071909403930105"</f>
        <v>21902020071909403930105</v>
      </c>
      <c r="C69" s="8" t="s">
        <v>6</v>
      </c>
      <c r="D69" s="8" t="str">
        <f>"曾少娴"</f>
        <v>曾少娴</v>
      </c>
      <c r="E69" s="8" t="str">
        <f t="shared" si="16"/>
        <v>女</v>
      </c>
    </row>
    <row r="70" spans="1:5" s="3" customFormat="1" ht="19.5" customHeight="1">
      <c r="A70" s="8">
        <v>68</v>
      </c>
      <c r="B70" s="8" t="str">
        <f>"21902020071913034230176"</f>
        <v>21902020071913034230176</v>
      </c>
      <c r="C70" s="8" t="s">
        <v>6</v>
      </c>
      <c r="D70" s="8" t="str">
        <f>"潘灵涓"</f>
        <v>潘灵涓</v>
      </c>
      <c r="E70" s="8" t="str">
        <f t="shared" si="16"/>
        <v>女</v>
      </c>
    </row>
    <row r="71" spans="1:5" s="3" customFormat="1" ht="19.5" customHeight="1">
      <c r="A71" s="8">
        <v>69</v>
      </c>
      <c r="B71" s="8" t="str">
        <f>"21902020071915590930237"</f>
        <v>21902020071915590930237</v>
      </c>
      <c r="C71" s="8" t="s">
        <v>6</v>
      </c>
      <c r="D71" s="8" t="str">
        <f>"徐传忠"</f>
        <v>徐传忠</v>
      </c>
      <c r="E71" s="8" t="str">
        <f>"男"</f>
        <v>男</v>
      </c>
    </row>
    <row r="72" spans="1:5" s="3" customFormat="1" ht="19.5" customHeight="1">
      <c r="A72" s="8">
        <v>70</v>
      </c>
      <c r="B72" s="8" t="str">
        <f>"21902020071920091030324"</f>
        <v>21902020071920091030324</v>
      </c>
      <c r="C72" s="8" t="s">
        <v>6</v>
      </c>
      <c r="D72" s="8" t="str">
        <f>"李倩怡"</f>
        <v>李倩怡</v>
      </c>
      <c r="E72" s="8" t="str">
        <f aca="true" t="shared" si="17" ref="E72:E77">"女"</f>
        <v>女</v>
      </c>
    </row>
    <row r="73" spans="1:5" s="3" customFormat="1" ht="19.5" customHeight="1">
      <c r="A73" s="8">
        <v>71</v>
      </c>
      <c r="B73" s="8" t="str">
        <f>"21902020071920173030328"</f>
        <v>21902020071920173030328</v>
      </c>
      <c r="C73" s="8" t="s">
        <v>6</v>
      </c>
      <c r="D73" s="8" t="str">
        <f>"蔡栋"</f>
        <v>蔡栋</v>
      </c>
      <c r="E73" s="8" t="str">
        <f>"男"</f>
        <v>男</v>
      </c>
    </row>
    <row r="74" spans="1:5" s="3" customFormat="1" ht="19.5" customHeight="1">
      <c r="A74" s="8">
        <v>72</v>
      </c>
      <c r="B74" s="8" t="str">
        <f>"21902020071921490530357"</f>
        <v>21902020071921490530357</v>
      </c>
      <c r="C74" s="8" t="s">
        <v>6</v>
      </c>
      <c r="D74" s="8" t="str">
        <f>"何发丽"</f>
        <v>何发丽</v>
      </c>
      <c r="E74" s="8" t="str">
        <f t="shared" si="17"/>
        <v>女</v>
      </c>
    </row>
    <row r="75" spans="1:5" s="3" customFormat="1" ht="19.5" customHeight="1">
      <c r="A75" s="8">
        <v>73</v>
      </c>
      <c r="B75" s="8" t="str">
        <f>"21902020071921533730359"</f>
        <v>21902020071921533730359</v>
      </c>
      <c r="C75" s="8" t="s">
        <v>6</v>
      </c>
      <c r="D75" s="8" t="str">
        <f>"林喜娜"</f>
        <v>林喜娜</v>
      </c>
      <c r="E75" s="8" t="str">
        <f t="shared" si="17"/>
        <v>女</v>
      </c>
    </row>
    <row r="76" spans="1:5" s="3" customFormat="1" ht="19.5" customHeight="1">
      <c r="A76" s="8">
        <v>74</v>
      </c>
      <c r="B76" s="8" t="str">
        <f>"21902020072000324630415"</f>
        <v>21902020072000324630415</v>
      </c>
      <c r="C76" s="8" t="s">
        <v>6</v>
      </c>
      <c r="D76" s="8" t="str">
        <f>"王新如"</f>
        <v>王新如</v>
      </c>
      <c r="E76" s="8" t="str">
        <f t="shared" si="17"/>
        <v>女</v>
      </c>
    </row>
    <row r="77" spans="1:5" s="3" customFormat="1" ht="19.5" customHeight="1">
      <c r="A77" s="8">
        <v>75</v>
      </c>
      <c r="B77" s="8" t="str">
        <f>"21902020072000381130416"</f>
        <v>21902020072000381130416</v>
      </c>
      <c r="C77" s="8" t="s">
        <v>6</v>
      </c>
      <c r="D77" s="8" t="str">
        <f>"黄阿燕"</f>
        <v>黄阿燕</v>
      </c>
      <c r="E77" s="8" t="str">
        <f t="shared" si="17"/>
        <v>女</v>
      </c>
    </row>
    <row r="78" spans="1:5" s="3" customFormat="1" ht="19.5" customHeight="1">
      <c r="A78" s="8">
        <v>76</v>
      </c>
      <c r="B78" s="8" t="str">
        <f>"21902020072009303730485"</f>
        <v>21902020072009303730485</v>
      </c>
      <c r="C78" s="8" t="s">
        <v>6</v>
      </c>
      <c r="D78" s="8" t="str">
        <f>"曾迅"</f>
        <v>曾迅</v>
      </c>
      <c r="E78" s="8" t="str">
        <f aca="true" t="shared" si="18" ref="E78:E82">"男"</f>
        <v>男</v>
      </c>
    </row>
    <row r="79" spans="1:5" s="3" customFormat="1" ht="19.5" customHeight="1">
      <c r="A79" s="8">
        <v>77</v>
      </c>
      <c r="B79" s="8" t="str">
        <f>"21902020072011031530552"</f>
        <v>21902020072011031530552</v>
      </c>
      <c r="C79" s="8" t="s">
        <v>6</v>
      </c>
      <c r="D79" s="8" t="str">
        <f>"吴华琼"</f>
        <v>吴华琼</v>
      </c>
      <c r="E79" s="8" t="str">
        <f t="shared" si="18"/>
        <v>男</v>
      </c>
    </row>
    <row r="80" spans="1:5" s="3" customFormat="1" ht="19.5" customHeight="1">
      <c r="A80" s="8">
        <v>78</v>
      </c>
      <c r="B80" s="8" t="str">
        <f>"21902020072014403730691"</f>
        <v>21902020072014403730691</v>
      </c>
      <c r="C80" s="8" t="s">
        <v>6</v>
      </c>
      <c r="D80" s="8" t="str">
        <f>"黄宇"</f>
        <v>黄宇</v>
      </c>
      <c r="E80" s="8" t="str">
        <f t="shared" si="18"/>
        <v>男</v>
      </c>
    </row>
    <row r="81" spans="1:5" s="3" customFormat="1" ht="19.5" customHeight="1">
      <c r="A81" s="8">
        <v>79</v>
      </c>
      <c r="B81" s="8" t="str">
        <f>"21902020072014540330706"</f>
        <v>21902020072014540330706</v>
      </c>
      <c r="C81" s="8" t="s">
        <v>6</v>
      </c>
      <c r="D81" s="8" t="str">
        <f>"吴朝进"</f>
        <v>吴朝进</v>
      </c>
      <c r="E81" s="8" t="str">
        <f t="shared" si="18"/>
        <v>男</v>
      </c>
    </row>
    <row r="82" spans="1:5" s="3" customFormat="1" ht="19.5" customHeight="1">
      <c r="A82" s="8">
        <v>80</v>
      </c>
      <c r="B82" s="8" t="str">
        <f>"21902020071409031425949"</f>
        <v>21902020071409031425949</v>
      </c>
      <c r="C82" s="8" t="s">
        <v>7</v>
      </c>
      <c r="D82" s="8" t="str">
        <f>"刘小孟"</f>
        <v>刘小孟</v>
      </c>
      <c r="E82" s="8" t="str">
        <f t="shared" si="18"/>
        <v>男</v>
      </c>
    </row>
    <row r="83" spans="1:5" s="3" customFormat="1" ht="19.5" customHeight="1">
      <c r="A83" s="8">
        <v>81</v>
      </c>
      <c r="B83" s="8" t="str">
        <f>"21902020071409042525959"</f>
        <v>21902020071409042525959</v>
      </c>
      <c r="C83" s="8" t="s">
        <v>7</v>
      </c>
      <c r="D83" s="8" t="str">
        <f>"符玉英"</f>
        <v>符玉英</v>
      </c>
      <c r="E83" s="8" t="str">
        <f>"女"</f>
        <v>女</v>
      </c>
    </row>
    <row r="84" spans="1:5" s="3" customFormat="1" ht="19.5" customHeight="1">
      <c r="A84" s="8">
        <v>82</v>
      </c>
      <c r="B84" s="8" t="str">
        <f>"21902020071409105126009"</f>
        <v>21902020071409105126009</v>
      </c>
      <c r="C84" s="8" t="s">
        <v>7</v>
      </c>
      <c r="D84" s="8" t="str">
        <f>"王训斌"</f>
        <v>王训斌</v>
      </c>
      <c r="E84" s="8" t="str">
        <f aca="true" t="shared" si="19" ref="E84:E88">"男"</f>
        <v>男</v>
      </c>
    </row>
    <row r="85" spans="1:5" s="3" customFormat="1" ht="19.5" customHeight="1">
      <c r="A85" s="8">
        <v>83</v>
      </c>
      <c r="B85" s="8" t="str">
        <f>"21902020071409161126042"</f>
        <v>21902020071409161126042</v>
      </c>
      <c r="C85" s="8" t="s">
        <v>7</v>
      </c>
      <c r="D85" s="8" t="str">
        <f>"李挺舜"</f>
        <v>李挺舜</v>
      </c>
      <c r="E85" s="8" t="str">
        <f t="shared" si="19"/>
        <v>男</v>
      </c>
    </row>
    <row r="86" spans="1:5" s="3" customFormat="1" ht="19.5" customHeight="1">
      <c r="A86" s="8">
        <v>84</v>
      </c>
      <c r="B86" s="8" t="str">
        <f>"21902020071409163926044"</f>
        <v>21902020071409163926044</v>
      </c>
      <c r="C86" s="8" t="s">
        <v>7</v>
      </c>
      <c r="D86" s="8" t="str">
        <f>"钟海洁"</f>
        <v>钟海洁</v>
      </c>
      <c r="E86" s="8" t="str">
        <f>"女"</f>
        <v>女</v>
      </c>
    </row>
    <row r="87" spans="1:5" s="3" customFormat="1" ht="19.5" customHeight="1">
      <c r="A87" s="8">
        <v>85</v>
      </c>
      <c r="B87" s="8" t="str">
        <f>"21902020071409191026063"</f>
        <v>21902020071409191026063</v>
      </c>
      <c r="C87" s="8" t="s">
        <v>7</v>
      </c>
      <c r="D87" s="8" t="str">
        <f>"高元谋"</f>
        <v>高元谋</v>
      </c>
      <c r="E87" s="8" t="str">
        <f t="shared" si="19"/>
        <v>男</v>
      </c>
    </row>
    <row r="88" spans="1:5" s="3" customFormat="1" ht="19.5" customHeight="1">
      <c r="A88" s="8">
        <v>86</v>
      </c>
      <c r="B88" s="8" t="str">
        <f>"21902020071409313026118"</f>
        <v>21902020071409313026118</v>
      </c>
      <c r="C88" s="8" t="s">
        <v>7</v>
      </c>
      <c r="D88" s="8" t="str">
        <f>"林福洪"</f>
        <v>林福洪</v>
      </c>
      <c r="E88" s="8" t="str">
        <f t="shared" si="19"/>
        <v>男</v>
      </c>
    </row>
    <row r="89" spans="1:5" s="3" customFormat="1" ht="19.5" customHeight="1">
      <c r="A89" s="8">
        <v>87</v>
      </c>
      <c r="B89" s="8" t="str">
        <f>"21902020071409341726131"</f>
        <v>21902020071409341726131</v>
      </c>
      <c r="C89" s="8" t="s">
        <v>7</v>
      </c>
      <c r="D89" s="8" t="str">
        <f>"羊春莲"</f>
        <v>羊春莲</v>
      </c>
      <c r="E89" s="8" t="str">
        <f>"女"</f>
        <v>女</v>
      </c>
    </row>
    <row r="90" spans="1:5" s="3" customFormat="1" ht="19.5" customHeight="1">
      <c r="A90" s="8">
        <v>88</v>
      </c>
      <c r="B90" s="8" t="str">
        <f>"21902020071409405626164"</f>
        <v>21902020071409405626164</v>
      </c>
      <c r="C90" s="8" t="s">
        <v>7</v>
      </c>
      <c r="D90" s="8" t="str">
        <f>"王伟华"</f>
        <v>王伟华</v>
      </c>
      <c r="E90" s="8" t="str">
        <f aca="true" t="shared" si="20" ref="E90:E96">"男"</f>
        <v>男</v>
      </c>
    </row>
    <row r="91" spans="1:5" s="3" customFormat="1" ht="19.5" customHeight="1">
      <c r="A91" s="8">
        <v>89</v>
      </c>
      <c r="B91" s="8" t="str">
        <f>"21902020071409493226194"</f>
        <v>21902020071409493226194</v>
      </c>
      <c r="C91" s="8" t="s">
        <v>7</v>
      </c>
      <c r="D91" s="8" t="str">
        <f>"李大进"</f>
        <v>李大进</v>
      </c>
      <c r="E91" s="8" t="str">
        <f t="shared" si="20"/>
        <v>男</v>
      </c>
    </row>
    <row r="92" spans="1:5" s="3" customFormat="1" ht="19.5" customHeight="1">
      <c r="A92" s="8">
        <v>90</v>
      </c>
      <c r="B92" s="8" t="str">
        <f>"21902020071409521926207"</f>
        <v>21902020071409521926207</v>
      </c>
      <c r="C92" s="8" t="s">
        <v>7</v>
      </c>
      <c r="D92" s="8" t="str">
        <f>"黄道菁"</f>
        <v>黄道菁</v>
      </c>
      <c r="E92" s="8" t="str">
        <f>"女"</f>
        <v>女</v>
      </c>
    </row>
    <row r="93" spans="1:5" s="3" customFormat="1" ht="19.5" customHeight="1">
      <c r="A93" s="8">
        <v>91</v>
      </c>
      <c r="B93" s="8" t="str">
        <f>"21902020071410030426251"</f>
        <v>21902020071410030426251</v>
      </c>
      <c r="C93" s="8" t="s">
        <v>7</v>
      </c>
      <c r="D93" s="8" t="str">
        <f>"唐允君"</f>
        <v>唐允君</v>
      </c>
      <c r="E93" s="8" t="str">
        <f t="shared" si="20"/>
        <v>男</v>
      </c>
    </row>
    <row r="94" spans="1:5" s="3" customFormat="1" ht="19.5" customHeight="1">
      <c r="A94" s="8">
        <v>92</v>
      </c>
      <c r="B94" s="8" t="str">
        <f>"21902020071410045126262"</f>
        <v>21902020071410045126262</v>
      </c>
      <c r="C94" s="8" t="s">
        <v>7</v>
      </c>
      <c r="D94" s="8" t="str">
        <f>"陈元凯"</f>
        <v>陈元凯</v>
      </c>
      <c r="E94" s="8" t="str">
        <f t="shared" si="20"/>
        <v>男</v>
      </c>
    </row>
    <row r="95" spans="1:5" s="3" customFormat="1" ht="19.5" customHeight="1">
      <c r="A95" s="8">
        <v>93</v>
      </c>
      <c r="B95" s="8" t="str">
        <f>"21902020071410071326276"</f>
        <v>21902020071410071326276</v>
      </c>
      <c r="C95" s="8" t="s">
        <v>7</v>
      </c>
      <c r="D95" s="8" t="str">
        <f>"陈艺"</f>
        <v>陈艺</v>
      </c>
      <c r="E95" s="8" t="str">
        <f t="shared" si="20"/>
        <v>男</v>
      </c>
    </row>
    <row r="96" spans="1:5" s="3" customFormat="1" ht="19.5" customHeight="1">
      <c r="A96" s="8">
        <v>94</v>
      </c>
      <c r="B96" s="8" t="str">
        <f>"21902020071410074326282"</f>
        <v>21902020071410074326282</v>
      </c>
      <c r="C96" s="8" t="s">
        <v>7</v>
      </c>
      <c r="D96" s="8" t="str">
        <f>"王德智"</f>
        <v>王德智</v>
      </c>
      <c r="E96" s="8" t="str">
        <f t="shared" si="20"/>
        <v>男</v>
      </c>
    </row>
    <row r="97" spans="1:5" s="3" customFormat="1" ht="19.5" customHeight="1">
      <c r="A97" s="8">
        <v>95</v>
      </c>
      <c r="B97" s="8" t="str">
        <f>"21902020071410092726287"</f>
        <v>21902020071410092726287</v>
      </c>
      <c r="C97" s="8" t="s">
        <v>7</v>
      </c>
      <c r="D97" s="8" t="str">
        <f>"何才丁"</f>
        <v>何才丁</v>
      </c>
      <c r="E97" s="8" t="str">
        <f aca="true" t="shared" si="21" ref="E97:E100">"女"</f>
        <v>女</v>
      </c>
    </row>
    <row r="98" spans="1:5" s="3" customFormat="1" ht="19.5" customHeight="1">
      <c r="A98" s="8">
        <v>96</v>
      </c>
      <c r="B98" s="8" t="str">
        <f>"21902020071410203626338"</f>
        <v>21902020071410203626338</v>
      </c>
      <c r="C98" s="8" t="s">
        <v>7</v>
      </c>
      <c r="D98" s="8" t="str">
        <f>"李荣有"</f>
        <v>李荣有</v>
      </c>
      <c r="E98" s="8" t="str">
        <f aca="true" t="shared" si="22" ref="E98:E104">"男"</f>
        <v>男</v>
      </c>
    </row>
    <row r="99" spans="1:5" s="3" customFormat="1" ht="19.5" customHeight="1">
      <c r="A99" s="8">
        <v>97</v>
      </c>
      <c r="B99" s="8" t="str">
        <f>"21902020071410292326371"</f>
        <v>21902020071410292326371</v>
      </c>
      <c r="C99" s="8" t="s">
        <v>7</v>
      </c>
      <c r="D99" s="8" t="str">
        <f>"郭妙玲"</f>
        <v>郭妙玲</v>
      </c>
      <c r="E99" s="8" t="str">
        <f t="shared" si="21"/>
        <v>女</v>
      </c>
    </row>
    <row r="100" spans="1:5" s="3" customFormat="1" ht="19.5" customHeight="1">
      <c r="A100" s="8">
        <v>98</v>
      </c>
      <c r="B100" s="8" t="str">
        <f>"21902020071410340426386"</f>
        <v>21902020071410340426386</v>
      </c>
      <c r="C100" s="8" t="s">
        <v>7</v>
      </c>
      <c r="D100" s="8" t="str">
        <f>"王丽晴"</f>
        <v>王丽晴</v>
      </c>
      <c r="E100" s="8" t="str">
        <f t="shared" si="21"/>
        <v>女</v>
      </c>
    </row>
    <row r="101" spans="1:5" s="3" customFormat="1" ht="19.5" customHeight="1">
      <c r="A101" s="8">
        <v>99</v>
      </c>
      <c r="B101" s="8" t="str">
        <f>"21902020071410355526393"</f>
        <v>21902020071410355526393</v>
      </c>
      <c r="C101" s="8" t="s">
        <v>7</v>
      </c>
      <c r="D101" s="8" t="str">
        <f>"陈才平"</f>
        <v>陈才平</v>
      </c>
      <c r="E101" s="8" t="str">
        <f t="shared" si="22"/>
        <v>男</v>
      </c>
    </row>
    <row r="102" spans="1:5" s="3" customFormat="1" ht="19.5" customHeight="1">
      <c r="A102" s="8">
        <v>100</v>
      </c>
      <c r="B102" s="8" t="str">
        <f>"21902020071410385626405"</f>
        <v>21902020071410385626405</v>
      </c>
      <c r="C102" s="8" t="s">
        <v>7</v>
      </c>
      <c r="D102" s="8" t="str">
        <f>"史怡青"</f>
        <v>史怡青</v>
      </c>
      <c r="E102" s="8" t="str">
        <f t="shared" si="22"/>
        <v>男</v>
      </c>
    </row>
    <row r="103" spans="1:5" s="3" customFormat="1" ht="19.5" customHeight="1">
      <c r="A103" s="8">
        <v>101</v>
      </c>
      <c r="B103" s="8" t="str">
        <f>"21902020071410453426426"</f>
        <v>21902020071410453426426</v>
      </c>
      <c r="C103" s="8" t="s">
        <v>7</v>
      </c>
      <c r="D103" s="8" t="str">
        <f>"郭锦绣"</f>
        <v>郭锦绣</v>
      </c>
      <c r="E103" s="8" t="str">
        <f t="shared" si="22"/>
        <v>男</v>
      </c>
    </row>
    <row r="104" spans="1:5" s="3" customFormat="1" ht="19.5" customHeight="1">
      <c r="A104" s="8">
        <v>102</v>
      </c>
      <c r="B104" s="8" t="str">
        <f>"21902020071410503726448"</f>
        <v>21902020071410503726448</v>
      </c>
      <c r="C104" s="8" t="s">
        <v>7</v>
      </c>
      <c r="D104" s="8" t="str">
        <f>"谭琼毅"</f>
        <v>谭琼毅</v>
      </c>
      <c r="E104" s="8" t="str">
        <f t="shared" si="22"/>
        <v>男</v>
      </c>
    </row>
    <row r="105" spans="1:5" s="3" customFormat="1" ht="19.5" customHeight="1">
      <c r="A105" s="8">
        <v>103</v>
      </c>
      <c r="B105" s="8" t="str">
        <f>"21902020071410505526451"</f>
        <v>21902020071410505526451</v>
      </c>
      <c r="C105" s="8" t="s">
        <v>7</v>
      </c>
      <c r="D105" s="8" t="str">
        <f>"吴秀葵"</f>
        <v>吴秀葵</v>
      </c>
      <c r="E105" s="8" t="str">
        <f aca="true" t="shared" si="23" ref="E105:E107">"女"</f>
        <v>女</v>
      </c>
    </row>
    <row r="106" spans="1:5" s="3" customFormat="1" ht="19.5" customHeight="1">
      <c r="A106" s="8">
        <v>104</v>
      </c>
      <c r="B106" s="8" t="str">
        <f>"21902020071410550626461"</f>
        <v>21902020071410550626461</v>
      </c>
      <c r="C106" s="8" t="s">
        <v>7</v>
      </c>
      <c r="D106" s="8" t="str">
        <f>"周玉英"</f>
        <v>周玉英</v>
      </c>
      <c r="E106" s="8" t="str">
        <f t="shared" si="23"/>
        <v>女</v>
      </c>
    </row>
    <row r="107" spans="1:5" s="3" customFormat="1" ht="19.5" customHeight="1">
      <c r="A107" s="8">
        <v>105</v>
      </c>
      <c r="B107" s="8" t="str">
        <f>"21902020071410570326467"</f>
        <v>21902020071410570326467</v>
      </c>
      <c r="C107" s="8" t="s">
        <v>7</v>
      </c>
      <c r="D107" s="8" t="str">
        <f>"柳国青"</f>
        <v>柳国青</v>
      </c>
      <c r="E107" s="8" t="str">
        <f t="shared" si="23"/>
        <v>女</v>
      </c>
    </row>
    <row r="108" spans="1:5" s="3" customFormat="1" ht="19.5" customHeight="1">
      <c r="A108" s="8">
        <v>106</v>
      </c>
      <c r="B108" s="8" t="str">
        <f>"21902020071411065326494"</f>
        <v>21902020071411065326494</v>
      </c>
      <c r="C108" s="8" t="s">
        <v>7</v>
      </c>
      <c r="D108" s="8" t="str">
        <f>"阮鑫"</f>
        <v>阮鑫</v>
      </c>
      <c r="E108" s="8" t="str">
        <f aca="true" t="shared" si="24" ref="E108:E110">"男"</f>
        <v>男</v>
      </c>
    </row>
    <row r="109" spans="1:5" s="3" customFormat="1" ht="19.5" customHeight="1">
      <c r="A109" s="8">
        <v>107</v>
      </c>
      <c r="B109" s="8" t="str">
        <f>"21902020071411081626501"</f>
        <v>21902020071411081626501</v>
      </c>
      <c r="C109" s="8" t="s">
        <v>7</v>
      </c>
      <c r="D109" s="8" t="str">
        <f>"吴清仙"</f>
        <v>吴清仙</v>
      </c>
      <c r="E109" s="8" t="str">
        <f t="shared" si="24"/>
        <v>男</v>
      </c>
    </row>
    <row r="110" spans="1:5" s="3" customFormat="1" ht="19.5" customHeight="1">
      <c r="A110" s="8">
        <v>108</v>
      </c>
      <c r="B110" s="8" t="str">
        <f>"21902020071411291326554"</f>
        <v>21902020071411291326554</v>
      </c>
      <c r="C110" s="8" t="s">
        <v>7</v>
      </c>
      <c r="D110" s="8" t="str">
        <f>"羊金言"</f>
        <v>羊金言</v>
      </c>
      <c r="E110" s="8" t="str">
        <f t="shared" si="24"/>
        <v>男</v>
      </c>
    </row>
    <row r="111" spans="1:5" s="3" customFormat="1" ht="19.5" customHeight="1">
      <c r="A111" s="8">
        <v>109</v>
      </c>
      <c r="B111" s="8" t="str">
        <f>"21902020071411343026568"</f>
        <v>21902020071411343026568</v>
      </c>
      <c r="C111" s="8" t="s">
        <v>7</v>
      </c>
      <c r="D111" s="8" t="str">
        <f>"徐庆丹"</f>
        <v>徐庆丹</v>
      </c>
      <c r="E111" s="8" t="str">
        <f aca="true" t="shared" si="25" ref="E111:E116">"女"</f>
        <v>女</v>
      </c>
    </row>
    <row r="112" spans="1:5" s="3" customFormat="1" ht="19.5" customHeight="1">
      <c r="A112" s="8">
        <v>110</v>
      </c>
      <c r="B112" s="8" t="str">
        <f>"21902020071411374026577"</f>
        <v>21902020071411374026577</v>
      </c>
      <c r="C112" s="8" t="s">
        <v>7</v>
      </c>
      <c r="D112" s="8" t="str">
        <f>"谢卓东"</f>
        <v>谢卓东</v>
      </c>
      <c r="E112" s="8" t="str">
        <f aca="true" t="shared" si="26" ref="E112:E121">"男"</f>
        <v>男</v>
      </c>
    </row>
    <row r="113" spans="1:5" s="3" customFormat="1" ht="19.5" customHeight="1">
      <c r="A113" s="8">
        <v>111</v>
      </c>
      <c r="B113" s="8" t="str">
        <f>"21902020071411493626606"</f>
        <v>21902020071411493626606</v>
      </c>
      <c r="C113" s="8" t="s">
        <v>7</v>
      </c>
      <c r="D113" s="8" t="str">
        <f>"罗钧"</f>
        <v>罗钧</v>
      </c>
      <c r="E113" s="8" t="str">
        <f t="shared" si="26"/>
        <v>男</v>
      </c>
    </row>
    <row r="114" spans="1:5" s="3" customFormat="1" ht="19.5" customHeight="1">
      <c r="A114" s="8">
        <v>112</v>
      </c>
      <c r="B114" s="8" t="str">
        <f>"21902020071411513226614"</f>
        <v>21902020071411513226614</v>
      </c>
      <c r="C114" s="8" t="s">
        <v>7</v>
      </c>
      <c r="D114" s="8" t="str">
        <f>"黄小阳"</f>
        <v>黄小阳</v>
      </c>
      <c r="E114" s="8" t="str">
        <f t="shared" si="25"/>
        <v>女</v>
      </c>
    </row>
    <row r="115" spans="1:5" s="3" customFormat="1" ht="19.5" customHeight="1">
      <c r="A115" s="8">
        <v>113</v>
      </c>
      <c r="B115" s="8" t="str">
        <f>"21902020071411595126634"</f>
        <v>21902020071411595126634</v>
      </c>
      <c r="C115" s="8" t="s">
        <v>7</v>
      </c>
      <c r="D115" s="8" t="str">
        <f>"黎建娜"</f>
        <v>黎建娜</v>
      </c>
      <c r="E115" s="8" t="str">
        <f t="shared" si="25"/>
        <v>女</v>
      </c>
    </row>
    <row r="116" spans="1:5" s="3" customFormat="1" ht="19.5" customHeight="1">
      <c r="A116" s="8">
        <v>114</v>
      </c>
      <c r="B116" s="8" t="str">
        <f>"21902020071412003626635"</f>
        <v>21902020071412003626635</v>
      </c>
      <c r="C116" s="8" t="s">
        <v>7</v>
      </c>
      <c r="D116" s="8" t="str">
        <f>"孙玉婷"</f>
        <v>孙玉婷</v>
      </c>
      <c r="E116" s="8" t="str">
        <f t="shared" si="25"/>
        <v>女</v>
      </c>
    </row>
    <row r="117" spans="1:5" s="3" customFormat="1" ht="19.5" customHeight="1">
      <c r="A117" s="8">
        <v>115</v>
      </c>
      <c r="B117" s="8" t="str">
        <f>"21902020071412074726648"</f>
        <v>21902020071412074726648</v>
      </c>
      <c r="C117" s="8" t="s">
        <v>7</v>
      </c>
      <c r="D117" s="8" t="str">
        <f>"黄良华"</f>
        <v>黄良华</v>
      </c>
      <c r="E117" s="8" t="str">
        <f t="shared" si="26"/>
        <v>男</v>
      </c>
    </row>
    <row r="118" spans="1:5" s="3" customFormat="1" ht="19.5" customHeight="1">
      <c r="A118" s="8">
        <v>116</v>
      </c>
      <c r="B118" s="8" t="str">
        <f>"21902020071412140926655"</f>
        <v>21902020071412140926655</v>
      </c>
      <c r="C118" s="8" t="s">
        <v>7</v>
      </c>
      <c r="D118" s="8" t="str">
        <f>"李宏斌"</f>
        <v>李宏斌</v>
      </c>
      <c r="E118" s="8" t="str">
        <f t="shared" si="26"/>
        <v>男</v>
      </c>
    </row>
    <row r="119" spans="1:5" s="3" customFormat="1" ht="19.5" customHeight="1">
      <c r="A119" s="8">
        <v>117</v>
      </c>
      <c r="B119" s="8" t="str">
        <f>"21902020071412395826699"</f>
        <v>21902020071412395826699</v>
      </c>
      <c r="C119" s="8" t="s">
        <v>7</v>
      </c>
      <c r="D119" s="8" t="str">
        <f>"林成章"</f>
        <v>林成章</v>
      </c>
      <c r="E119" s="8" t="str">
        <f t="shared" si="26"/>
        <v>男</v>
      </c>
    </row>
    <row r="120" spans="1:5" s="3" customFormat="1" ht="19.5" customHeight="1">
      <c r="A120" s="8">
        <v>118</v>
      </c>
      <c r="B120" s="8" t="str">
        <f>"21902020071412573926727"</f>
        <v>21902020071412573926727</v>
      </c>
      <c r="C120" s="8" t="s">
        <v>7</v>
      </c>
      <c r="D120" s="8" t="str">
        <f>"钟镇雷"</f>
        <v>钟镇雷</v>
      </c>
      <c r="E120" s="8" t="str">
        <f t="shared" si="26"/>
        <v>男</v>
      </c>
    </row>
    <row r="121" spans="1:5" s="3" customFormat="1" ht="19.5" customHeight="1">
      <c r="A121" s="8">
        <v>119</v>
      </c>
      <c r="B121" s="8" t="str">
        <f>"21902020071413013926736"</f>
        <v>21902020071413013926736</v>
      </c>
      <c r="C121" s="8" t="s">
        <v>7</v>
      </c>
      <c r="D121" s="8" t="str">
        <f>"王天宝"</f>
        <v>王天宝</v>
      </c>
      <c r="E121" s="8" t="str">
        <f t="shared" si="26"/>
        <v>男</v>
      </c>
    </row>
    <row r="122" spans="1:5" s="3" customFormat="1" ht="19.5" customHeight="1">
      <c r="A122" s="8">
        <v>120</v>
      </c>
      <c r="B122" s="8" t="str">
        <f>"21902020071413091426745"</f>
        <v>21902020071413091426745</v>
      </c>
      <c r="C122" s="8" t="s">
        <v>7</v>
      </c>
      <c r="D122" s="8" t="str">
        <f>"戴家惠"</f>
        <v>戴家惠</v>
      </c>
      <c r="E122" s="8" t="str">
        <f>"女"</f>
        <v>女</v>
      </c>
    </row>
    <row r="123" spans="1:5" s="3" customFormat="1" ht="19.5" customHeight="1">
      <c r="A123" s="8">
        <v>121</v>
      </c>
      <c r="B123" s="8" t="str">
        <f>"21902020071413242726776"</f>
        <v>21902020071413242726776</v>
      </c>
      <c r="C123" s="8" t="s">
        <v>7</v>
      </c>
      <c r="D123" s="8" t="str">
        <f>"邓俊安"</f>
        <v>邓俊安</v>
      </c>
      <c r="E123" s="8" t="str">
        <f aca="true" t="shared" si="27" ref="E123:E125">"男"</f>
        <v>男</v>
      </c>
    </row>
    <row r="124" spans="1:5" s="3" customFormat="1" ht="19.5" customHeight="1">
      <c r="A124" s="8">
        <v>122</v>
      </c>
      <c r="B124" s="8" t="str">
        <f>"21902020071414343326863"</f>
        <v>21902020071414343326863</v>
      </c>
      <c r="C124" s="8" t="s">
        <v>7</v>
      </c>
      <c r="D124" s="8" t="str">
        <f>"刘浩卿"</f>
        <v>刘浩卿</v>
      </c>
      <c r="E124" s="8" t="str">
        <f t="shared" si="27"/>
        <v>男</v>
      </c>
    </row>
    <row r="125" spans="1:5" s="3" customFormat="1" ht="19.5" customHeight="1">
      <c r="A125" s="8">
        <v>123</v>
      </c>
      <c r="B125" s="8" t="str">
        <f>"21902020071414430926879"</f>
        <v>21902020071414430926879</v>
      </c>
      <c r="C125" s="8" t="s">
        <v>7</v>
      </c>
      <c r="D125" s="8" t="str">
        <f>"邢维恒"</f>
        <v>邢维恒</v>
      </c>
      <c r="E125" s="8" t="str">
        <f t="shared" si="27"/>
        <v>男</v>
      </c>
    </row>
    <row r="126" spans="1:5" s="3" customFormat="1" ht="19.5" customHeight="1">
      <c r="A126" s="8">
        <v>124</v>
      </c>
      <c r="B126" s="8" t="str">
        <f>"21902020071414493426891"</f>
        <v>21902020071414493426891</v>
      </c>
      <c r="C126" s="8" t="s">
        <v>7</v>
      </c>
      <c r="D126" s="8" t="str">
        <f>"冯慧"</f>
        <v>冯慧</v>
      </c>
      <c r="E126" s="8" t="str">
        <f aca="true" t="shared" si="28" ref="E126:E131">"女"</f>
        <v>女</v>
      </c>
    </row>
    <row r="127" spans="1:5" s="3" customFormat="1" ht="19.5" customHeight="1">
      <c r="A127" s="8">
        <v>125</v>
      </c>
      <c r="B127" s="8" t="str">
        <f>"21902020071414583726907"</f>
        <v>21902020071414583726907</v>
      </c>
      <c r="C127" s="8" t="s">
        <v>7</v>
      </c>
      <c r="D127" s="8" t="str">
        <f>"谢明业"</f>
        <v>谢明业</v>
      </c>
      <c r="E127" s="8" t="str">
        <f aca="true" t="shared" si="29" ref="E127:E133">"男"</f>
        <v>男</v>
      </c>
    </row>
    <row r="128" spans="1:5" s="3" customFormat="1" ht="19.5" customHeight="1">
      <c r="A128" s="8">
        <v>126</v>
      </c>
      <c r="B128" s="8" t="str">
        <f>"21902020071415014526916"</f>
        <v>21902020071415014526916</v>
      </c>
      <c r="C128" s="8" t="s">
        <v>7</v>
      </c>
      <c r="D128" s="8" t="str">
        <f>"陈艳霞"</f>
        <v>陈艳霞</v>
      </c>
      <c r="E128" s="8" t="str">
        <f t="shared" si="28"/>
        <v>女</v>
      </c>
    </row>
    <row r="129" spans="1:5" s="3" customFormat="1" ht="19.5" customHeight="1">
      <c r="A129" s="8">
        <v>127</v>
      </c>
      <c r="B129" s="8" t="str">
        <f>"21902020071415023526917"</f>
        <v>21902020071415023526917</v>
      </c>
      <c r="C129" s="8" t="s">
        <v>7</v>
      </c>
      <c r="D129" s="8" t="str">
        <f>"许炳甜"</f>
        <v>许炳甜</v>
      </c>
      <c r="E129" s="8" t="str">
        <f t="shared" si="29"/>
        <v>男</v>
      </c>
    </row>
    <row r="130" spans="1:5" s="3" customFormat="1" ht="19.5" customHeight="1">
      <c r="A130" s="8">
        <v>128</v>
      </c>
      <c r="B130" s="8" t="str">
        <f>"21902020071415054026923"</f>
        <v>21902020071415054026923</v>
      </c>
      <c r="C130" s="8" t="s">
        <v>7</v>
      </c>
      <c r="D130" s="8" t="str">
        <f>"符映映"</f>
        <v>符映映</v>
      </c>
      <c r="E130" s="8" t="str">
        <f t="shared" si="28"/>
        <v>女</v>
      </c>
    </row>
    <row r="131" spans="1:5" s="3" customFormat="1" ht="19.5" customHeight="1">
      <c r="A131" s="8">
        <v>129</v>
      </c>
      <c r="B131" s="8" t="str">
        <f>"21902020071415322426961"</f>
        <v>21902020071415322426961</v>
      </c>
      <c r="C131" s="8" t="s">
        <v>7</v>
      </c>
      <c r="D131" s="8" t="str">
        <f>"王珍珍"</f>
        <v>王珍珍</v>
      </c>
      <c r="E131" s="8" t="str">
        <f t="shared" si="28"/>
        <v>女</v>
      </c>
    </row>
    <row r="132" spans="1:5" s="3" customFormat="1" ht="19.5" customHeight="1">
      <c r="A132" s="8">
        <v>130</v>
      </c>
      <c r="B132" s="8" t="str">
        <f>"21902020071415521126991"</f>
        <v>21902020071415521126991</v>
      </c>
      <c r="C132" s="8" t="s">
        <v>7</v>
      </c>
      <c r="D132" s="8" t="str">
        <f>"吉兴"</f>
        <v>吉兴</v>
      </c>
      <c r="E132" s="8" t="str">
        <f t="shared" si="29"/>
        <v>男</v>
      </c>
    </row>
    <row r="133" spans="1:5" s="3" customFormat="1" ht="19.5" customHeight="1">
      <c r="A133" s="8">
        <v>131</v>
      </c>
      <c r="B133" s="8" t="str">
        <f>"21902020071416231027049"</f>
        <v>21902020071416231027049</v>
      </c>
      <c r="C133" s="8" t="s">
        <v>7</v>
      </c>
      <c r="D133" s="8" t="str">
        <f>"符靠"</f>
        <v>符靠</v>
      </c>
      <c r="E133" s="8" t="str">
        <f t="shared" si="29"/>
        <v>男</v>
      </c>
    </row>
    <row r="134" spans="1:5" s="3" customFormat="1" ht="19.5" customHeight="1">
      <c r="A134" s="8">
        <v>132</v>
      </c>
      <c r="B134" s="8" t="str">
        <f>"21902020071416245027053"</f>
        <v>21902020071416245027053</v>
      </c>
      <c r="C134" s="8" t="s">
        <v>7</v>
      </c>
      <c r="D134" s="8" t="str">
        <f>"羊玉玲"</f>
        <v>羊玉玲</v>
      </c>
      <c r="E134" s="8" t="str">
        <f aca="true" t="shared" si="30" ref="E134:E136">"女"</f>
        <v>女</v>
      </c>
    </row>
    <row r="135" spans="1:5" s="3" customFormat="1" ht="19.5" customHeight="1">
      <c r="A135" s="8">
        <v>133</v>
      </c>
      <c r="B135" s="8" t="str">
        <f>"21902020071416253627055"</f>
        <v>21902020071416253627055</v>
      </c>
      <c r="C135" s="8" t="s">
        <v>7</v>
      </c>
      <c r="D135" s="8" t="str">
        <f>"林秀敏"</f>
        <v>林秀敏</v>
      </c>
      <c r="E135" s="8" t="str">
        <f t="shared" si="30"/>
        <v>女</v>
      </c>
    </row>
    <row r="136" spans="1:5" s="3" customFormat="1" ht="19.5" customHeight="1">
      <c r="A136" s="8">
        <v>134</v>
      </c>
      <c r="B136" s="8" t="str">
        <f>"21902020071416480327101"</f>
        <v>21902020071416480327101</v>
      </c>
      <c r="C136" s="8" t="s">
        <v>7</v>
      </c>
      <c r="D136" s="8" t="str">
        <f>"符小莉"</f>
        <v>符小莉</v>
      </c>
      <c r="E136" s="8" t="str">
        <f t="shared" si="30"/>
        <v>女</v>
      </c>
    </row>
    <row r="137" spans="1:5" s="3" customFormat="1" ht="19.5" customHeight="1">
      <c r="A137" s="8">
        <v>135</v>
      </c>
      <c r="B137" s="8" t="str">
        <f>"21902020071417150527148"</f>
        <v>21902020071417150527148</v>
      </c>
      <c r="C137" s="8" t="s">
        <v>7</v>
      </c>
      <c r="D137" s="8" t="str">
        <f>"符谷宇"</f>
        <v>符谷宇</v>
      </c>
      <c r="E137" s="8" t="str">
        <f aca="true" t="shared" si="31" ref="E137:E139">"男"</f>
        <v>男</v>
      </c>
    </row>
    <row r="138" spans="1:5" s="3" customFormat="1" ht="19.5" customHeight="1">
      <c r="A138" s="8">
        <v>136</v>
      </c>
      <c r="B138" s="8" t="str">
        <f>"21902020071417192927160"</f>
        <v>21902020071417192927160</v>
      </c>
      <c r="C138" s="8" t="s">
        <v>7</v>
      </c>
      <c r="D138" s="8" t="str">
        <f>"李良章"</f>
        <v>李良章</v>
      </c>
      <c r="E138" s="8" t="str">
        <f t="shared" si="31"/>
        <v>男</v>
      </c>
    </row>
    <row r="139" spans="1:5" s="3" customFormat="1" ht="19.5" customHeight="1">
      <c r="A139" s="8">
        <v>137</v>
      </c>
      <c r="B139" s="8" t="str">
        <f>"21902020071417275827169"</f>
        <v>21902020071417275827169</v>
      </c>
      <c r="C139" s="8" t="s">
        <v>7</v>
      </c>
      <c r="D139" s="8" t="str">
        <f>"陈曾博"</f>
        <v>陈曾博</v>
      </c>
      <c r="E139" s="8" t="str">
        <f t="shared" si="31"/>
        <v>男</v>
      </c>
    </row>
    <row r="140" spans="1:5" s="3" customFormat="1" ht="19.5" customHeight="1">
      <c r="A140" s="8">
        <v>138</v>
      </c>
      <c r="B140" s="8" t="str">
        <f>"21902020071417414127189"</f>
        <v>21902020071417414127189</v>
      </c>
      <c r="C140" s="8" t="s">
        <v>7</v>
      </c>
      <c r="D140" s="8" t="str">
        <f>"周小茹"</f>
        <v>周小茹</v>
      </c>
      <c r="E140" s="8" t="str">
        <f>"女"</f>
        <v>女</v>
      </c>
    </row>
    <row r="141" spans="1:5" s="3" customFormat="1" ht="19.5" customHeight="1">
      <c r="A141" s="8">
        <v>139</v>
      </c>
      <c r="B141" s="8" t="str">
        <f>"21902020071418115627228"</f>
        <v>21902020071418115627228</v>
      </c>
      <c r="C141" s="8" t="s">
        <v>7</v>
      </c>
      <c r="D141" s="8" t="str">
        <f>"王正川"</f>
        <v>王正川</v>
      </c>
      <c r="E141" s="8" t="str">
        <f aca="true" t="shared" si="32" ref="E141:E144">"男"</f>
        <v>男</v>
      </c>
    </row>
    <row r="142" spans="1:5" s="3" customFormat="1" ht="19.5" customHeight="1">
      <c r="A142" s="8">
        <v>140</v>
      </c>
      <c r="B142" s="8" t="str">
        <f>"21902020071418120327229"</f>
        <v>21902020071418120327229</v>
      </c>
      <c r="C142" s="8" t="s">
        <v>7</v>
      </c>
      <c r="D142" s="8" t="str">
        <f>"唐文威"</f>
        <v>唐文威</v>
      </c>
      <c r="E142" s="8" t="str">
        <f t="shared" si="32"/>
        <v>男</v>
      </c>
    </row>
    <row r="143" spans="1:5" s="3" customFormat="1" ht="19.5" customHeight="1">
      <c r="A143" s="8">
        <v>141</v>
      </c>
      <c r="B143" s="8" t="str">
        <f>"21902020071418485227280"</f>
        <v>21902020071418485227280</v>
      </c>
      <c r="C143" s="8" t="s">
        <v>7</v>
      </c>
      <c r="D143" s="8" t="str">
        <f>"郑嘉威"</f>
        <v>郑嘉威</v>
      </c>
      <c r="E143" s="8" t="str">
        <f t="shared" si="32"/>
        <v>男</v>
      </c>
    </row>
    <row r="144" spans="1:5" s="3" customFormat="1" ht="19.5" customHeight="1">
      <c r="A144" s="8">
        <v>142</v>
      </c>
      <c r="B144" s="8" t="str">
        <f>"21902020071419080427312"</f>
        <v>21902020071419080427312</v>
      </c>
      <c r="C144" s="8" t="s">
        <v>7</v>
      </c>
      <c r="D144" s="8" t="str">
        <f>"黄彬彬"</f>
        <v>黄彬彬</v>
      </c>
      <c r="E144" s="8" t="str">
        <f t="shared" si="32"/>
        <v>男</v>
      </c>
    </row>
    <row r="145" spans="1:5" s="3" customFormat="1" ht="19.5" customHeight="1">
      <c r="A145" s="8">
        <v>143</v>
      </c>
      <c r="B145" s="8" t="str">
        <f>"21902020071419221227329"</f>
        <v>21902020071419221227329</v>
      </c>
      <c r="C145" s="8" t="s">
        <v>7</v>
      </c>
      <c r="D145" s="8" t="str">
        <f>"林坚"</f>
        <v>林坚</v>
      </c>
      <c r="E145" s="8" t="str">
        <f aca="true" t="shared" si="33" ref="E145:E151">"女"</f>
        <v>女</v>
      </c>
    </row>
    <row r="146" spans="1:5" s="3" customFormat="1" ht="19.5" customHeight="1">
      <c r="A146" s="8">
        <v>144</v>
      </c>
      <c r="B146" s="8" t="str">
        <f>"21902020071419331227342"</f>
        <v>21902020071419331227342</v>
      </c>
      <c r="C146" s="8" t="s">
        <v>7</v>
      </c>
      <c r="D146" s="8" t="str">
        <f>"曾卫平"</f>
        <v>曾卫平</v>
      </c>
      <c r="E146" s="8" t="str">
        <f aca="true" t="shared" si="34" ref="E146:E149">"男"</f>
        <v>男</v>
      </c>
    </row>
    <row r="147" spans="1:5" s="3" customFormat="1" ht="19.5" customHeight="1">
      <c r="A147" s="8">
        <v>145</v>
      </c>
      <c r="B147" s="8" t="str">
        <f>"21902020071420150427380"</f>
        <v>21902020071420150427380</v>
      </c>
      <c r="C147" s="8" t="s">
        <v>7</v>
      </c>
      <c r="D147" s="8" t="str">
        <f>"徐婷"</f>
        <v>徐婷</v>
      </c>
      <c r="E147" s="8" t="str">
        <f t="shared" si="33"/>
        <v>女</v>
      </c>
    </row>
    <row r="148" spans="1:5" s="3" customFormat="1" ht="19.5" customHeight="1">
      <c r="A148" s="8">
        <v>146</v>
      </c>
      <c r="B148" s="8" t="str">
        <f>"21902020071420203727386"</f>
        <v>21902020071420203727386</v>
      </c>
      <c r="C148" s="8" t="s">
        <v>7</v>
      </c>
      <c r="D148" s="8" t="str">
        <f>"林明彪"</f>
        <v>林明彪</v>
      </c>
      <c r="E148" s="8" t="str">
        <f t="shared" si="34"/>
        <v>男</v>
      </c>
    </row>
    <row r="149" spans="1:5" s="3" customFormat="1" ht="19.5" customHeight="1">
      <c r="A149" s="8">
        <v>147</v>
      </c>
      <c r="B149" s="8" t="str">
        <f>"21902020071420431627412"</f>
        <v>21902020071420431627412</v>
      </c>
      <c r="C149" s="8" t="s">
        <v>7</v>
      </c>
      <c r="D149" s="8" t="str">
        <f>"曾招聪"</f>
        <v>曾招聪</v>
      </c>
      <c r="E149" s="8" t="str">
        <f t="shared" si="34"/>
        <v>男</v>
      </c>
    </row>
    <row r="150" spans="1:5" s="3" customFormat="1" ht="19.5" customHeight="1">
      <c r="A150" s="8">
        <v>148</v>
      </c>
      <c r="B150" s="8" t="str">
        <f>"21902020071420440927413"</f>
        <v>21902020071420440927413</v>
      </c>
      <c r="C150" s="8" t="s">
        <v>7</v>
      </c>
      <c r="D150" s="8" t="str">
        <f>"林国英"</f>
        <v>林国英</v>
      </c>
      <c r="E150" s="8" t="str">
        <f t="shared" si="33"/>
        <v>女</v>
      </c>
    </row>
    <row r="151" spans="1:5" s="3" customFormat="1" ht="19.5" customHeight="1">
      <c r="A151" s="8">
        <v>149</v>
      </c>
      <c r="B151" s="8" t="str">
        <f>"21902020071421065527447"</f>
        <v>21902020071421065527447</v>
      </c>
      <c r="C151" s="8" t="s">
        <v>7</v>
      </c>
      <c r="D151" s="8" t="str">
        <f>"吴月教"</f>
        <v>吴月教</v>
      </c>
      <c r="E151" s="8" t="str">
        <f t="shared" si="33"/>
        <v>女</v>
      </c>
    </row>
    <row r="152" spans="1:5" s="3" customFormat="1" ht="19.5" customHeight="1">
      <c r="A152" s="8">
        <v>150</v>
      </c>
      <c r="B152" s="8" t="str">
        <f>"21902020071421555927495"</f>
        <v>21902020071421555927495</v>
      </c>
      <c r="C152" s="8" t="s">
        <v>7</v>
      </c>
      <c r="D152" s="8" t="str">
        <f>"王腾川"</f>
        <v>王腾川</v>
      </c>
      <c r="E152" s="8" t="str">
        <f aca="true" t="shared" si="35" ref="E152:E156">"男"</f>
        <v>男</v>
      </c>
    </row>
    <row r="153" spans="1:5" s="3" customFormat="1" ht="19.5" customHeight="1">
      <c r="A153" s="8">
        <v>151</v>
      </c>
      <c r="B153" s="8" t="str">
        <f>"21902020071422085227513"</f>
        <v>21902020071422085227513</v>
      </c>
      <c r="C153" s="8" t="s">
        <v>7</v>
      </c>
      <c r="D153" s="8" t="str">
        <f>"钟妮"</f>
        <v>钟妮</v>
      </c>
      <c r="E153" s="8" t="str">
        <f aca="true" t="shared" si="36" ref="E153:E157">"女"</f>
        <v>女</v>
      </c>
    </row>
    <row r="154" spans="1:5" s="3" customFormat="1" ht="19.5" customHeight="1">
      <c r="A154" s="8">
        <v>152</v>
      </c>
      <c r="B154" s="8" t="str">
        <f>"21902020071422223027534"</f>
        <v>21902020071422223027534</v>
      </c>
      <c r="C154" s="8" t="s">
        <v>7</v>
      </c>
      <c r="D154" s="8" t="str">
        <f>"李超"</f>
        <v>李超</v>
      </c>
      <c r="E154" s="8" t="str">
        <f t="shared" si="35"/>
        <v>男</v>
      </c>
    </row>
    <row r="155" spans="1:5" s="3" customFormat="1" ht="19.5" customHeight="1">
      <c r="A155" s="8">
        <v>153</v>
      </c>
      <c r="B155" s="8" t="str">
        <f>"21902020071422234827535"</f>
        <v>21902020071422234827535</v>
      </c>
      <c r="C155" s="8" t="s">
        <v>7</v>
      </c>
      <c r="D155" s="8" t="str">
        <f>"张齐苗"</f>
        <v>张齐苗</v>
      </c>
      <c r="E155" s="8" t="str">
        <f t="shared" si="36"/>
        <v>女</v>
      </c>
    </row>
    <row r="156" spans="1:5" s="3" customFormat="1" ht="19.5" customHeight="1">
      <c r="A156" s="8">
        <v>154</v>
      </c>
      <c r="B156" s="8" t="str">
        <f>"21902020071422515927572"</f>
        <v>21902020071422515927572</v>
      </c>
      <c r="C156" s="8" t="s">
        <v>7</v>
      </c>
      <c r="D156" s="8" t="str">
        <f>"王开灿"</f>
        <v>王开灿</v>
      </c>
      <c r="E156" s="8" t="str">
        <f t="shared" si="35"/>
        <v>男</v>
      </c>
    </row>
    <row r="157" spans="1:5" s="3" customFormat="1" ht="19.5" customHeight="1">
      <c r="A157" s="8">
        <v>155</v>
      </c>
      <c r="B157" s="8" t="str">
        <f>"21902020071423084527595"</f>
        <v>21902020071423084527595</v>
      </c>
      <c r="C157" s="8" t="s">
        <v>7</v>
      </c>
      <c r="D157" s="8" t="str">
        <f>"蔡辉玲"</f>
        <v>蔡辉玲</v>
      </c>
      <c r="E157" s="8" t="str">
        <f t="shared" si="36"/>
        <v>女</v>
      </c>
    </row>
    <row r="158" spans="1:5" s="3" customFormat="1" ht="19.5" customHeight="1">
      <c r="A158" s="8">
        <v>156</v>
      </c>
      <c r="B158" s="8" t="str">
        <f>"21902020071423375227618"</f>
        <v>21902020071423375227618</v>
      </c>
      <c r="C158" s="8" t="s">
        <v>7</v>
      </c>
      <c r="D158" s="8" t="str">
        <f>"王国华"</f>
        <v>王国华</v>
      </c>
      <c r="E158" s="8" t="str">
        <f aca="true" t="shared" si="37" ref="E158:E166">"男"</f>
        <v>男</v>
      </c>
    </row>
    <row r="159" spans="1:5" s="3" customFormat="1" ht="19.5" customHeight="1">
      <c r="A159" s="8">
        <v>157</v>
      </c>
      <c r="B159" s="8" t="str">
        <f>"21902020071423470127624"</f>
        <v>21902020071423470127624</v>
      </c>
      <c r="C159" s="8" t="s">
        <v>7</v>
      </c>
      <c r="D159" s="8" t="str">
        <f>"文红"</f>
        <v>文红</v>
      </c>
      <c r="E159" s="8" t="str">
        <f>"女"</f>
        <v>女</v>
      </c>
    </row>
    <row r="160" spans="1:5" s="3" customFormat="1" ht="19.5" customHeight="1">
      <c r="A160" s="8">
        <v>158</v>
      </c>
      <c r="B160" s="8" t="str">
        <f>"21902020071423582627633"</f>
        <v>21902020071423582627633</v>
      </c>
      <c r="C160" s="8" t="s">
        <v>7</v>
      </c>
      <c r="D160" s="8" t="str">
        <f>"颜文庄"</f>
        <v>颜文庄</v>
      </c>
      <c r="E160" s="8" t="str">
        <f t="shared" si="37"/>
        <v>男</v>
      </c>
    </row>
    <row r="161" spans="1:5" s="3" customFormat="1" ht="19.5" customHeight="1">
      <c r="A161" s="8">
        <v>159</v>
      </c>
      <c r="B161" s="8" t="str">
        <f>"21902020071501174127656"</f>
        <v>21902020071501174127656</v>
      </c>
      <c r="C161" s="8" t="s">
        <v>7</v>
      </c>
      <c r="D161" s="8" t="str">
        <f>"麦燕科"</f>
        <v>麦燕科</v>
      </c>
      <c r="E161" s="8" t="str">
        <f t="shared" si="37"/>
        <v>男</v>
      </c>
    </row>
    <row r="162" spans="1:5" s="3" customFormat="1" ht="19.5" customHeight="1">
      <c r="A162" s="8">
        <v>160</v>
      </c>
      <c r="B162" s="8" t="str">
        <f>"21902020071508401927695"</f>
        <v>21902020071508401927695</v>
      </c>
      <c r="C162" s="8" t="s">
        <v>7</v>
      </c>
      <c r="D162" s="8" t="str">
        <f>"郭衍峰"</f>
        <v>郭衍峰</v>
      </c>
      <c r="E162" s="8" t="str">
        <f t="shared" si="37"/>
        <v>男</v>
      </c>
    </row>
    <row r="163" spans="1:5" s="3" customFormat="1" ht="19.5" customHeight="1">
      <c r="A163" s="8">
        <v>161</v>
      </c>
      <c r="B163" s="8" t="str">
        <f>"21902020071508551527711"</f>
        <v>21902020071508551527711</v>
      </c>
      <c r="C163" s="8" t="s">
        <v>7</v>
      </c>
      <c r="D163" s="8" t="str">
        <f>"钟善文"</f>
        <v>钟善文</v>
      </c>
      <c r="E163" s="8" t="str">
        <f t="shared" si="37"/>
        <v>男</v>
      </c>
    </row>
    <row r="164" spans="1:5" s="3" customFormat="1" ht="19.5" customHeight="1">
      <c r="A164" s="8">
        <v>162</v>
      </c>
      <c r="B164" s="8" t="str">
        <f>"21902020071509033327731"</f>
        <v>21902020071509033327731</v>
      </c>
      <c r="C164" s="8" t="s">
        <v>7</v>
      </c>
      <c r="D164" s="8" t="str">
        <f>"许云杰"</f>
        <v>许云杰</v>
      </c>
      <c r="E164" s="8" t="str">
        <f t="shared" si="37"/>
        <v>男</v>
      </c>
    </row>
    <row r="165" spans="1:5" s="3" customFormat="1" ht="19.5" customHeight="1">
      <c r="A165" s="8">
        <v>163</v>
      </c>
      <c r="B165" s="8" t="str">
        <f>"21902020071509483127812"</f>
        <v>21902020071509483127812</v>
      </c>
      <c r="C165" s="8" t="s">
        <v>7</v>
      </c>
      <c r="D165" s="8" t="str">
        <f>"练伟洋"</f>
        <v>练伟洋</v>
      </c>
      <c r="E165" s="8" t="str">
        <f t="shared" si="37"/>
        <v>男</v>
      </c>
    </row>
    <row r="166" spans="1:5" s="3" customFormat="1" ht="19.5" customHeight="1">
      <c r="A166" s="8">
        <v>164</v>
      </c>
      <c r="B166" s="8" t="str">
        <f>"21902020071511032727926"</f>
        <v>21902020071511032727926</v>
      </c>
      <c r="C166" s="8" t="s">
        <v>7</v>
      </c>
      <c r="D166" s="8" t="str">
        <f>"王谋良"</f>
        <v>王谋良</v>
      </c>
      <c r="E166" s="8" t="str">
        <f t="shared" si="37"/>
        <v>男</v>
      </c>
    </row>
    <row r="167" spans="1:5" s="3" customFormat="1" ht="19.5" customHeight="1">
      <c r="A167" s="8">
        <v>165</v>
      </c>
      <c r="B167" s="8" t="str">
        <f>"21902020071512390628040"</f>
        <v>21902020071512390628040</v>
      </c>
      <c r="C167" s="8" t="s">
        <v>7</v>
      </c>
      <c r="D167" s="8" t="str">
        <f>"陈桃艳"</f>
        <v>陈桃艳</v>
      </c>
      <c r="E167" s="8" t="str">
        <f>"女"</f>
        <v>女</v>
      </c>
    </row>
    <row r="168" spans="1:5" s="3" customFormat="1" ht="19.5" customHeight="1">
      <c r="A168" s="8">
        <v>166</v>
      </c>
      <c r="B168" s="8" t="str">
        <f>"21902020071512402528042"</f>
        <v>21902020071512402528042</v>
      </c>
      <c r="C168" s="8" t="s">
        <v>7</v>
      </c>
      <c r="D168" s="8" t="str">
        <f>"吴全文"</f>
        <v>吴全文</v>
      </c>
      <c r="E168" s="8" t="str">
        <f aca="true" t="shared" si="38" ref="E168:E181">"男"</f>
        <v>男</v>
      </c>
    </row>
    <row r="169" spans="1:5" s="3" customFormat="1" ht="19.5" customHeight="1">
      <c r="A169" s="8">
        <v>167</v>
      </c>
      <c r="B169" s="8" t="str">
        <f>"21902020071513053228064"</f>
        <v>21902020071513053228064</v>
      </c>
      <c r="C169" s="8" t="s">
        <v>7</v>
      </c>
      <c r="D169" s="8" t="str">
        <f>"张运糁"</f>
        <v>张运糁</v>
      </c>
      <c r="E169" s="8" t="str">
        <f t="shared" si="38"/>
        <v>男</v>
      </c>
    </row>
    <row r="170" spans="1:5" s="3" customFormat="1" ht="19.5" customHeight="1">
      <c r="A170" s="8">
        <v>168</v>
      </c>
      <c r="B170" s="8" t="str">
        <f>"21902020071513284428076"</f>
        <v>21902020071513284428076</v>
      </c>
      <c r="C170" s="8" t="s">
        <v>7</v>
      </c>
      <c r="D170" s="8" t="str">
        <f>"陈国梁"</f>
        <v>陈国梁</v>
      </c>
      <c r="E170" s="8" t="str">
        <f t="shared" si="38"/>
        <v>男</v>
      </c>
    </row>
    <row r="171" spans="1:5" s="3" customFormat="1" ht="19.5" customHeight="1">
      <c r="A171" s="8">
        <v>169</v>
      </c>
      <c r="B171" s="8" t="str">
        <f>"21902020071515383428190"</f>
        <v>21902020071515383428190</v>
      </c>
      <c r="C171" s="8" t="s">
        <v>7</v>
      </c>
      <c r="D171" s="8" t="str">
        <f>"文帅"</f>
        <v>文帅</v>
      </c>
      <c r="E171" s="8" t="str">
        <f t="shared" si="38"/>
        <v>男</v>
      </c>
    </row>
    <row r="172" spans="1:5" s="3" customFormat="1" ht="19.5" customHeight="1">
      <c r="A172" s="8">
        <v>170</v>
      </c>
      <c r="B172" s="8" t="str">
        <f>"21902020071515390028191"</f>
        <v>21902020071515390028191</v>
      </c>
      <c r="C172" s="8" t="s">
        <v>7</v>
      </c>
      <c r="D172" s="8" t="str">
        <f>"陆以专"</f>
        <v>陆以专</v>
      </c>
      <c r="E172" s="8" t="str">
        <f t="shared" si="38"/>
        <v>男</v>
      </c>
    </row>
    <row r="173" spans="1:5" s="3" customFormat="1" ht="19.5" customHeight="1">
      <c r="A173" s="8">
        <v>171</v>
      </c>
      <c r="B173" s="8" t="str">
        <f>"21902020071515550528206"</f>
        <v>21902020071515550528206</v>
      </c>
      <c r="C173" s="8" t="s">
        <v>7</v>
      </c>
      <c r="D173" s="8" t="str">
        <f>"林芳孝"</f>
        <v>林芳孝</v>
      </c>
      <c r="E173" s="8" t="str">
        <f t="shared" si="38"/>
        <v>男</v>
      </c>
    </row>
    <row r="174" spans="1:5" s="3" customFormat="1" ht="19.5" customHeight="1">
      <c r="A174" s="8">
        <v>172</v>
      </c>
      <c r="B174" s="8" t="str">
        <f>"21902020071515564428210"</f>
        <v>21902020071515564428210</v>
      </c>
      <c r="C174" s="8" t="s">
        <v>7</v>
      </c>
      <c r="D174" s="8" t="str">
        <f>"陈锋"</f>
        <v>陈锋</v>
      </c>
      <c r="E174" s="8" t="str">
        <f t="shared" si="38"/>
        <v>男</v>
      </c>
    </row>
    <row r="175" spans="1:5" s="3" customFormat="1" ht="19.5" customHeight="1">
      <c r="A175" s="8">
        <v>173</v>
      </c>
      <c r="B175" s="8" t="str">
        <f>"21902020071516245828250"</f>
        <v>21902020071516245828250</v>
      </c>
      <c r="C175" s="8" t="s">
        <v>7</v>
      </c>
      <c r="D175" s="8" t="str">
        <f>"郑昌丰"</f>
        <v>郑昌丰</v>
      </c>
      <c r="E175" s="8" t="str">
        <f t="shared" si="38"/>
        <v>男</v>
      </c>
    </row>
    <row r="176" spans="1:5" s="3" customFormat="1" ht="19.5" customHeight="1">
      <c r="A176" s="8">
        <v>174</v>
      </c>
      <c r="B176" s="8" t="str">
        <f>"21902020071517194128316"</f>
        <v>21902020071517194128316</v>
      </c>
      <c r="C176" s="8" t="s">
        <v>7</v>
      </c>
      <c r="D176" s="8" t="str">
        <f>"李巍巍"</f>
        <v>李巍巍</v>
      </c>
      <c r="E176" s="8" t="str">
        <f t="shared" si="38"/>
        <v>男</v>
      </c>
    </row>
    <row r="177" spans="1:5" s="3" customFormat="1" ht="19.5" customHeight="1">
      <c r="A177" s="8">
        <v>175</v>
      </c>
      <c r="B177" s="8" t="str">
        <f>"21902020071517584028355"</f>
        <v>21902020071517584028355</v>
      </c>
      <c r="C177" s="8" t="s">
        <v>7</v>
      </c>
      <c r="D177" s="8" t="str">
        <f>"潘显丰"</f>
        <v>潘显丰</v>
      </c>
      <c r="E177" s="8" t="str">
        <f t="shared" si="38"/>
        <v>男</v>
      </c>
    </row>
    <row r="178" spans="1:5" s="3" customFormat="1" ht="19.5" customHeight="1">
      <c r="A178" s="8">
        <v>176</v>
      </c>
      <c r="B178" s="8" t="str">
        <f>"21902020071518111028362"</f>
        <v>21902020071518111028362</v>
      </c>
      <c r="C178" s="8" t="s">
        <v>7</v>
      </c>
      <c r="D178" s="8" t="str">
        <f>"陈一龙"</f>
        <v>陈一龙</v>
      </c>
      <c r="E178" s="8" t="str">
        <f t="shared" si="38"/>
        <v>男</v>
      </c>
    </row>
    <row r="179" spans="1:5" s="3" customFormat="1" ht="19.5" customHeight="1">
      <c r="A179" s="8">
        <v>177</v>
      </c>
      <c r="B179" s="8" t="str">
        <f>"21902020071518315928377"</f>
        <v>21902020071518315928377</v>
      </c>
      <c r="C179" s="8" t="s">
        <v>7</v>
      </c>
      <c r="D179" s="8" t="str">
        <f>"崔庭博"</f>
        <v>崔庭博</v>
      </c>
      <c r="E179" s="8" t="str">
        <f t="shared" si="38"/>
        <v>男</v>
      </c>
    </row>
    <row r="180" spans="1:5" s="3" customFormat="1" ht="19.5" customHeight="1">
      <c r="A180" s="8">
        <v>178</v>
      </c>
      <c r="B180" s="8" t="str">
        <f>"21902020071519392428426"</f>
        <v>21902020071519392428426</v>
      </c>
      <c r="C180" s="8" t="s">
        <v>7</v>
      </c>
      <c r="D180" s="8" t="str">
        <f>"裴威扬"</f>
        <v>裴威扬</v>
      </c>
      <c r="E180" s="8" t="str">
        <f t="shared" si="38"/>
        <v>男</v>
      </c>
    </row>
    <row r="181" spans="1:5" s="3" customFormat="1" ht="19.5" customHeight="1">
      <c r="A181" s="8">
        <v>179</v>
      </c>
      <c r="B181" s="8" t="str">
        <f>"21902020071520355428476"</f>
        <v>21902020071520355428476</v>
      </c>
      <c r="C181" s="8" t="s">
        <v>7</v>
      </c>
      <c r="D181" s="8" t="str">
        <f>"苏江云"</f>
        <v>苏江云</v>
      </c>
      <c r="E181" s="8" t="str">
        <f t="shared" si="38"/>
        <v>男</v>
      </c>
    </row>
    <row r="182" spans="1:5" s="3" customFormat="1" ht="19.5" customHeight="1">
      <c r="A182" s="8">
        <v>180</v>
      </c>
      <c r="B182" s="8" t="str">
        <f>"21902020071520500228489"</f>
        <v>21902020071520500228489</v>
      </c>
      <c r="C182" s="8" t="s">
        <v>7</v>
      </c>
      <c r="D182" s="8" t="str">
        <f>"林岗春"</f>
        <v>林岗春</v>
      </c>
      <c r="E182" s="8" t="str">
        <f>"女"</f>
        <v>女</v>
      </c>
    </row>
    <row r="183" spans="1:5" s="3" customFormat="1" ht="19.5" customHeight="1">
      <c r="A183" s="8">
        <v>181</v>
      </c>
      <c r="B183" s="8" t="str">
        <f>"21902020071521451428530"</f>
        <v>21902020071521451428530</v>
      </c>
      <c r="C183" s="8" t="s">
        <v>7</v>
      </c>
      <c r="D183" s="8" t="str">
        <f>"符咏伟"</f>
        <v>符咏伟</v>
      </c>
      <c r="E183" s="8" t="str">
        <f aca="true" t="shared" si="39" ref="E183:E187">"男"</f>
        <v>男</v>
      </c>
    </row>
    <row r="184" spans="1:5" s="3" customFormat="1" ht="19.5" customHeight="1">
      <c r="A184" s="8">
        <v>182</v>
      </c>
      <c r="B184" s="8" t="str">
        <f>"21902020071521453928531"</f>
        <v>21902020071521453928531</v>
      </c>
      <c r="C184" s="8" t="s">
        <v>7</v>
      </c>
      <c r="D184" s="8" t="str">
        <f>"吴禹霖"</f>
        <v>吴禹霖</v>
      </c>
      <c r="E184" s="8" t="str">
        <f t="shared" si="39"/>
        <v>男</v>
      </c>
    </row>
    <row r="185" spans="1:5" s="3" customFormat="1" ht="19.5" customHeight="1">
      <c r="A185" s="8">
        <v>183</v>
      </c>
      <c r="B185" s="8" t="str">
        <f>"21902020071521481828532"</f>
        <v>21902020071521481828532</v>
      </c>
      <c r="C185" s="8" t="s">
        <v>7</v>
      </c>
      <c r="D185" s="8" t="str">
        <f>"陈学皇"</f>
        <v>陈学皇</v>
      </c>
      <c r="E185" s="8" t="str">
        <f t="shared" si="39"/>
        <v>男</v>
      </c>
    </row>
    <row r="186" spans="1:5" s="3" customFormat="1" ht="19.5" customHeight="1">
      <c r="A186" s="8">
        <v>184</v>
      </c>
      <c r="B186" s="8" t="str">
        <f>"21902020071521560528539"</f>
        <v>21902020071521560528539</v>
      </c>
      <c r="C186" s="8" t="s">
        <v>7</v>
      </c>
      <c r="D186" s="8" t="str">
        <f>"杨寿星"</f>
        <v>杨寿星</v>
      </c>
      <c r="E186" s="8" t="str">
        <f t="shared" si="39"/>
        <v>男</v>
      </c>
    </row>
    <row r="187" spans="1:5" s="3" customFormat="1" ht="19.5" customHeight="1">
      <c r="A187" s="8">
        <v>185</v>
      </c>
      <c r="B187" s="8" t="str">
        <f>"21902020071522033928548"</f>
        <v>21902020071522033928548</v>
      </c>
      <c r="C187" s="8" t="s">
        <v>7</v>
      </c>
      <c r="D187" s="8" t="str">
        <f>"陈礼杰"</f>
        <v>陈礼杰</v>
      </c>
      <c r="E187" s="8" t="str">
        <f t="shared" si="39"/>
        <v>男</v>
      </c>
    </row>
    <row r="188" spans="1:5" s="3" customFormat="1" ht="19.5" customHeight="1">
      <c r="A188" s="8">
        <v>186</v>
      </c>
      <c r="B188" s="8" t="str">
        <f>"21902020071601132028659"</f>
        <v>21902020071601132028659</v>
      </c>
      <c r="C188" s="8" t="s">
        <v>7</v>
      </c>
      <c r="D188" s="8" t="str">
        <f>"唐青芳"</f>
        <v>唐青芳</v>
      </c>
      <c r="E188" s="8" t="str">
        <f aca="true" t="shared" si="40" ref="E188:E191">"女"</f>
        <v>女</v>
      </c>
    </row>
    <row r="189" spans="1:5" s="3" customFormat="1" ht="19.5" customHeight="1">
      <c r="A189" s="8">
        <v>187</v>
      </c>
      <c r="B189" s="8" t="str">
        <f>"21902020071608125328675"</f>
        <v>21902020071608125328675</v>
      </c>
      <c r="C189" s="8" t="s">
        <v>7</v>
      </c>
      <c r="D189" s="8" t="str">
        <f>"林温迅"</f>
        <v>林温迅</v>
      </c>
      <c r="E189" s="8" t="str">
        <f aca="true" t="shared" si="41" ref="E189:E193">"男"</f>
        <v>男</v>
      </c>
    </row>
    <row r="190" spans="1:5" s="3" customFormat="1" ht="19.5" customHeight="1">
      <c r="A190" s="8">
        <v>188</v>
      </c>
      <c r="B190" s="8" t="str">
        <f>"21902020071608475228692"</f>
        <v>21902020071608475228692</v>
      </c>
      <c r="C190" s="8" t="s">
        <v>7</v>
      </c>
      <c r="D190" s="8" t="str">
        <f>"叶仁芬"</f>
        <v>叶仁芬</v>
      </c>
      <c r="E190" s="8" t="str">
        <f t="shared" si="40"/>
        <v>女</v>
      </c>
    </row>
    <row r="191" spans="1:5" s="3" customFormat="1" ht="19.5" customHeight="1">
      <c r="A191" s="8">
        <v>189</v>
      </c>
      <c r="B191" s="8" t="str">
        <f>"21902020071609344328732"</f>
        <v>21902020071609344328732</v>
      </c>
      <c r="C191" s="8" t="s">
        <v>7</v>
      </c>
      <c r="D191" s="8" t="str">
        <f>"蔡舒萍"</f>
        <v>蔡舒萍</v>
      </c>
      <c r="E191" s="8" t="str">
        <f t="shared" si="40"/>
        <v>女</v>
      </c>
    </row>
    <row r="192" spans="1:5" s="3" customFormat="1" ht="19.5" customHeight="1">
      <c r="A192" s="8">
        <v>190</v>
      </c>
      <c r="B192" s="8" t="str">
        <f>"21902020071610162228764"</f>
        <v>21902020071610162228764</v>
      </c>
      <c r="C192" s="8" t="s">
        <v>7</v>
      </c>
      <c r="D192" s="8" t="str">
        <f>"赵武健"</f>
        <v>赵武健</v>
      </c>
      <c r="E192" s="8" t="str">
        <f t="shared" si="41"/>
        <v>男</v>
      </c>
    </row>
    <row r="193" spans="1:5" s="3" customFormat="1" ht="19.5" customHeight="1">
      <c r="A193" s="8">
        <v>191</v>
      </c>
      <c r="B193" s="8" t="str">
        <f>"21902020071610382928782"</f>
        <v>21902020071610382928782</v>
      </c>
      <c r="C193" s="8" t="s">
        <v>7</v>
      </c>
      <c r="D193" s="8" t="str">
        <f>"苏小栋"</f>
        <v>苏小栋</v>
      </c>
      <c r="E193" s="8" t="str">
        <f t="shared" si="41"/>
        <v>男</v>
      </c>
    </row>
    <row r="194" spans="1:5" s="3" customFormat="1" ht="19.5" customHeight="1">
      <c r="A194" s="8">
        <v>192</v>
      </c>
      <c r="B194" s="8" t="str">
        <f>"21902020071610415728787"</f>
        <v>21902020071610415728787</v>
      </c>
      <c r="C194" s="8" t="s">
        <v>7</v>
      </c>
      <c r="D194" s="8" t="str">
        <f>"李月妮"</f>
        <v>李月妮</v>
      </c>
      <c r="E194" s="8" t="str">
        <f>"女"</f>
        <v>女</v>
      </c>
    </row>
    <row r="195" spans="1:5" s="3" customFormat="1" ht="19.5" customHeight="1">
      <c r="A195" s="8">
        <v>193</v>
      </c>
      <c r="B195" s="8" t="str">
        <f>"21902020071612090228871"</f>
        <v>21902020071612090228871</v>
      </c>
      <c r="C195" s="8" t="s">
        <v>7</v>
      </c>
      <c r="D195" s="8" t="str">
        <f>"麦阳"</f>
        <v>麦阳</v>
      </c>
      <c r="E195" s="8" t="str">
        <f aca="true" t="shared" si="42" ref="E195:E201">"男"</f>
        <v>男</v>
      </c>
    </row>
    <row r="196" spans="1:5" s="3" customFormat="1" ht="19.5" customHeight="1">
      <c r="A196" s="8">
        <v>194</v>
      </c>
      <c r="B196" s="8" t="str">
        <f>"21902020071612284628884"</f>
        <v>21902020071612284628884</v>
      </c>
      <c r="C196" s="8" t="s">
        <v>7</v>
      </c>
      <c r="D196" s="8" t="str">
        <f>"黎仕再"</f>
        <v>黎仕再</v>
      </c>
      <c r="E196" s="8" t="str">
        <f t="shared" si="42"/>
        <v>男</v>
      </c>
    </row>
    <row r="197" spans="1:5" s="3" customFormat="1" ht="19.5" customHeight="1">
      <c r="A197" s="8">
        <v>195</v>
      </c>
      <c r="B197" s="8" t="str">
        <f>"21902020071613075028910"</f>
        <v>21902020071613075028910</v>
      </c>
      <c r="C197" s="8" t="s">
        <v>7</v>
      </c>
      <c r="D197" s="8" t="str">
        <f>"李志仁"</f>
        <v>李志仁</v>
      </c>
      <c r="E197" s="8" t="str">
        <f t="shared" si="42"/>
        <v>男</v>
      </c>
    </row>
    <row r="198" spans="1:5" s="3" customFormat="1" ht="19.5" customHeight="1">
      <c r="A198" s="8">
        <v>196</v>
      </c>
      <c r="B198" s="8" t="str">
        <f>"21902020071613230128919"</f>
        <v>21902020071613230128919</v>
      </c>
      <c r="C198" s="8" t="s">
        <v>7</v>
      </c>
      <c r="D198" s="8" t="str">
        <f>"王明宝"</f>
        <v>王明宝</v>
      </c>
      <c r="E198" s="8" t="str">
        <f t="shared" si="42"/>
        <v>男</v>
      </c>
    </row>
    <row r="199" spans="1:5" s="3" customFormat="1" ht="19.5" customHeight="1">
      <c r="A199" s="8">
        <v>197</v>
      </c>
      <c r="B199" s="8" t="str">
        <f>"21902020071614322428947"</f>
        <v>21902020071614322428947</v>
      </c>
      <c r="C199" s="8" t="s">
        <v>7</v>
      </c>
      <c r="D199" s="8" t="str">
        <f>"符威"</f>
        <v>符威</v>
      </c>
      <c r="E199" s="8" t="str">
        <f t="shared" si="42"/>
        <v>男</v>
      </c>
    </row>
    <row r="200" spans="1:5" s="3" customFormat="1" ht="19.5" customHeight="1">
      <c r="A200" s="8">
        <v>198</v>
      </c>
      <c r="B200" s="8" t="str">
        <f>"21902020071614444128957"</f>
        <v>21902020071614444128957</v>
      </c>
      <c r="C200" s="8" t="s">
        <v>7</v>
      </c>
      <c r="D200" s="8" t="str">
        <f>"郭永琼"</f>
        <v>郭永琼</v>
      </c>
      <c r="E200" s="8" t="str">
        <f t="shared" si="42"/>
        <v>男</v>
      </c>
    </row>
    <row r="201" spans="1:5" s="3" customFormat="1" ht="19.5" customHeight="1">
      <c r="A201" s="8">
        <v>199</v>
      </c>
      <c r="B201" s="8" t="str">
        <f>"21902020071616175329047"</f>
        <v>21902020071616175329047</v>
      </c>
      <c r="C201" s="8" t="s">
        <v>7</v>
      </c>
      <c r="D201" s="8" t="str">
        <f>"韩释绪"</f>
        <v>韩释绪</v>
      </c>
      <c r="E201" s="8" t="str">
        <f t="shared" si="42"/>
        <v>男</v>
      </c>
    </row>
    <row r="202" spans="1:5" s="3" customFormat="1" ht="19.5" customHeight="1">
      <c r="A202" s="8">
        <v>200</v>
      </c>
      <c r="B202" s="8" t="str">
        <f>"21902020071617143929095"</f>
        <v>21902020071617143929095</v>
      </c>
      <c r="C202" s="8" t="s">
        <v>7</v>
      </c>
      <c r="D202" s="8" t="str">
        <f>"潘俊虹"</f>
        <v>潘俊虹</v>
      </c>
      <c r="E202" s="8" t="str">
        <f aca="true" t="shared" si="43" ref="E202:E208">"女"</f>
        <v>女</v>
      </c>
    </row>
    <row r="203" spans="1:5" s="3" customFormat="1" ht="19.5" customHeight="1">
      <c r="A203" s="8">
        <v>201</v>
      </c>
      <c r="B203" s="8" t="str">
        <f>"21902020071617244729103"</f>
        <v>21902020071617244729103</v>
      </c>
      <c r="C203" s="8" t="s">
        <v>7</v>
      </c>
      <c r="D203" s="8" t="str">
        <f>"符炳妍"</f>
        <v>符炳妍</v>
      </c>
      <c r="E203" s="8" t="str">
        <f t="shared" si="43"/>
        <v>女</v>
      </c>
    </row>
    <row r="204" spans="1:5" s="3" customFormat="1" ht="19.5" customHeight="1">
      <c r="A204" s="8">
        <v>202</v>
      </c>
      <c r="B204" s="8" t="str">
        <f>"21902020071618164529138"</f>
        <v>21902020071618164529138</v>
      </c>
      <c r="C204" s="8" t="s">
        <v>7</v>
      </c>
      <c r="D204" s="8" t="str">
        <f>"陈贝平"</f>
        <v>陈贝平</v>
      </c>
      <c r="E204" s="8" t="str">
        <f aca="true" t="shared" si="44" ref="E204:E206">"男"</f>
        <v>男</v>
      </c>
    </row>
    <row r="205" spans="1:5" s="3" customFormat="1" ht="19.5" customHeight="1">
      <c r="A205" s="8">
        <v>203</v>
      </c>
      <c r="B205" s="8" t="str">
        <f>"21902020071618335929145"</f>
        <v>21902020071618335929145</v>
      </c>
      <c r="C205" s="8" t="s">
        <v>7</v>
      </c>
      <c r="D205" s="8" t="str">
        <f>"符良开"</f>
        <v>符良开</v>
      </c>
      <c r="E205" s="8" t="str">
        <f t="shared" si="44"/>
        <v>男</v>
      </c>
    </row>
    <row r="206" spans="1:5" s="3" customFormat="1" ht="19.5" customHeight="1">
      <c r="A206" s="8">
        <v>204</v>
      </c>
      <c r="B206" s="8" t="str">
        <f>"21902020071621075329222"</f>
        <v>21902020071621075329222</v>
      </c>
      <c r="C206" s="8" t="s">
        <v>7</v>
      </c>
      <c r="D206" s="8" t="str">
        <f>"王琰博"</f>
        <v>王琰博</v>
      </c>
      <c r="E206" s="8" t="str">
        <f t="shared" si="44"/>
        <v>男</v>
      </c>
    </row>
    <row r="207" spans="1:5" s="3" customFormat="1" ht="19.5" customHeight="1">
      <c r="A207" s="8">
        <v>205</v>
      </c>
      <c r="B207" s="8" t="str">
        <f>"21902020071622370029267"</f>
        <v>21902020071622370029267</v>
      </c>
      <c r="C207" s="8" t="s">
        <v>7</v>
      </c>
      <c r="D207" s="8" t="str">
        <f>"李玉红"</f>
        <v>李玉红</v>
      </c>
      <c r="E207" s="8" t="str">
        <f t="shared" si="43"/>
        <v>女</v>
      </c>
    </row>
    <row r="208" spans="1:5" s="3" customFormat="1" ht="19.5" customHeight="1">
      <c r="A208" s="8">
        <v>206</v>
      </c>
      <c r="B208" s="8" t="str">
        <f>"21902020071623090629288"</f>
        <v>21902020071623090629288</v>
      </c>
      <c r="C208" s="8" t="s">
        <v>7</v>
      </c>
      <c r="D208" s="8" t="str">
        <f>"符芳珍"</f>
        <v>符芳珍</v>
      </c>
      <c r="E208" s="8" t="str">
        <f t="shared" si="43"/>
        <v>女</v>
      </c>
    </row>
    <row r="209" spans="1:5" s="3" customFormat="1" ht="19.5" customHeight="1">
      <c r="A209" s="8">
        <v>207</v>
      </c>
      <c r="B209" s="8" t="str">
        <f>"21902020071702513529314"</f>
        <v>21902020071702513529314</v>
      </c>
      <c r="C209" s="8" t="s">
        <v>7</v>
      </c>
      <c r="D209" s="8" t="str">
        <f>"陈泽"</f>
        <v>陈泽</v>
      </c>
      <c r="E209" s="8" t="str">
        <f aca="true" t="shared" si="45" ref="E209:E211">"男"</f>
        <v>男</v>
      </c>
    </row>
    <row r="210" spans="1:5" s="3" customFormat="1" ht="19.5" customHeight="1">
      <c r="A210" s="8">
        <v>208</v>
      </c>
      <c r="B210" s="8" t="str">
        <f>"21902020071709173329359"</f>
        <v>21902020071709173329359</v>
      </c>
      <c r="C210" s="8" t="s">
        <v>7</v>
      </c>
      <c r="D210" s="8" t="str">
        <f>"林于雀"</f>
        <v>林于雀</v>
      </c>
      <c r="E210" s="8" t="str">
        <f t="shared" si="45"/>
        <v>男</v>
      </c>
    </row>
    <row r="211" spans="1:5" s="3" customFormat="1" ht="19.5" customHeight="1">
      <c r="A211" s="8">
        <v>209</v>
      </c>
      <c r="B211" s="8" t="str">
        <f>"21902020071709561529385"</f>
        <v>21902020071709561529385</v>
      </c>
      <c r="C211" s="8" t="s">
        <v>7</v>
      </c>
      <c r="D211" s="8" t="str">
        <f>"林报龙"</f>
        <v>林报龙</v>
      </c>
      <c r="E211" s="8" t="str">
        <f t="shared" si="45"/>
        <v>男</v>
      </c>
    </row>
    <row r="212" spans="1:5" s="3" customFormat="1" ht="19.5" customHeight="1">
      <c r="A212" s="8">
        <v>210</v>
      </c>
      <c r="B212" s="8" t="str">
        <f>"21902020071710013829390"</f>
        <v>21902020071710013829390</v>
      </c>
      <c r="C212" s="8" t="s">
        <v>7</v>
      </c>
      <c r="D212" s="8" t="str">
        <f>"王海珠"</f>
        <v>王海珠</v>
      </c>
      <c r="E212" s="8" t="str">
        <f>"女"</f>
        <v>女</v>
      </c>
    </row>
    <row r="213" spans="1:5" s="3" customFormat="1" ht="19.5" customHeight="1">
      <c r="A213" s="8">
        <v>211</v>
      </c>
      <c r="B213" s="8" t="str">
        <f>"21902020071711185429448"</f>
        <v>21902020071711185429448</v>
      </c>
      <c r="C213" s="8" t="s">
        <v>7</v>
      </c>
      <c r="D213" s="8" t="str">
        <f>"张贵玲"</f>
        <v>张贵玲</v>
      </c>
      <c r="E213" s="8" t="str">
        <f>"女"</f>
        <v>女</v>
      </c>
    </row>
    <row r="214" spans="1:5" s="3" customFormat="1" ht="19.5" customHeight="1">
      <c r="A214" s="8">
        <v>212</v>
      </c>
      <c r="B214" s="8" t="str">
        <f>"21902020071714525929567"</f>
        <v>21902020071714525929567</v>
      </c>
      <c r="C214" s="8" t="s">
        <v>7</v>
      </c>
      <c r="D214" s="8" t="str">
        <f>"陈灵"</f>
        <v>陈灵</v>
      </c>
      <c r="E214" s="8" t="str">
        <f aca="true" t="shared" si="46" ref="E214:E219">"男"</f>
        <v>男</v>
      </c>
    </row>
    <row r="215" spans="1:5" s="3" customFormat="1" ht="19.5" customHeight="1">
      <c r="A215" s="8">
        <v>213</v>
      </c>
      <c r="B215" s="8" t="str">
        <f>"21902020071714551929569"</f>
        <v>21902020071714551929569</v>
      </c>
      <c r="C215" s="8" t="s">
        <v>7</v>
      </c>
      <c r="D215" s="8" t="str">
        <f>"林礼旺"</f>
        <v>林礼旺</v>
      </c>
      <c r="E215" s="8" t="str">
        <f t="shared" si="46"/>
        <v>男</v>
      </c>
    </row>
    <row r="216" spans="1:5" s="3" customFormat="1" ht="19.5" customHeight="1">
      <c r="A216" s="8">
        <v>214</v>
      </c>
      <c r="B216" s="8" t="str">
        <f>"21902020071716201529634"</f>
        <v>21902020071716201529634</v>
      </c>
      <c r="C216" s="8" t="s">
        <v>7</v>
      </c>
      <c r="D216" s="8" t="str">
        <f>"吴建政"</f>
        <v>吴建政</v>
      </c>
      <c r="E216" s="8" t="str">
        <f t="shared" si="46"/>
        <v>男</v>
      </c>
    </row>
    <row r="217" spans="1:5" s="3" customFormat="1" ht="19.5" customHeight="1">
      <c r="A217" s="8">
        <v>215</v>
      </c>
      <c r="B217" s="8" t="str">
        <f>"21902020071720151629732"</f>
        <v>21902020071720151629732</v>
      </c>
      <c r="C217" s="8" t="s">
        <v>7</v>
      </c>
      <c r="D217" s="8" t="str">
        <f>"邢诒斌"</f>
        <v>邢诒斌</v>
      </c>
      <c r="E217" s="8" t="str">
        <f t="shared" si="46"/>
        <v>男</v>
      </c>
    </row>
    <row r="218" spans="1:5" s="3" customFormat="1" ht="19.5" customHeight="1">
      <c r="A218" s="8">
        <v>216</v>
      </c>
      <c r="B218" s="8" t="str">
        <f>"21902020071720550829742"</f>
        <v>21902020071720550829742</v>
      </c>
      <c r="C218" s="8" t="s">
        <v>7</v>
      </c>
      <c r="D218" s="8" t="str">
        <f>"许为圣"</f>
        <v>许为圣</v>
      </c>
      <c r="E218" s="8" t="str">
        <f t="shared" si="46"/>
        <v>男</v>
      </c>
    </row>
    <row r="219" spans="1:5" s="3" customFormat="1" ht="19.5" customHeight="1">
      <c r="A219" s="8">
        <v>217</v>
      </c>
      <c r="B219" s="8" t="str">
        <f>"21902020071722175329778"</f>
        <v>21902020071722175329778</v>
      </c>
      <c r="C219" s="8" t="s">
        <v>7</v>
      </c>
      <c r="D219" s="8" t="str">
        <f>"陈秋"</f>
        <v>陈秋</v>
      </c>
      <c r="E219" s="8" t="str">
        <f t="shared" si="46"/>
        <v>男</v>
      </c>
    </row>
    <row r="220" spans="1:5" s="3" customFormat="1" ht="19.5" customHeight="1">
      <c r="A220" s="8">
        <v>218</v>
      </c>
      <c r="B220" s="8" t="str">
        <f>"21902020071807541929809"</f>
        <v>21902020071807541929809</v>
      </c>
      <c r="C220" s="8" t="s">
        <v>7</v>
      </c>
      <c r="D220" s="8" t="str">
        <f>"吴琼花"</f>
        <v>吴琼花</v>
      </c>
      <c r="E220" s="8" t="str">
        <f>"女"</f>
        <v>女</v>
      </c>
    </row>
    <row r="221" spans="1:5" s="3" customFormat="1" ht="19.5" customHeight="1">
      <c r="A221" s="8">
        <v>219</v>
      </c>
      <c r="B221" s="8" t="str">
        <f>"21902020071812155929883"</f>
        <v>21902020071812155929883</v>
      </c>
      <c r="C221" s="8" t="s">
        <v>7</v>
      </c>
      <c r="D221" s="8" t="str">
        <f>"吴生伟"</f>
        <v>吴生伟</v>
      </c>
      <c r="E221" s="8" t="str">
        <f aca="true" t="shared" si="47" ref="E221:E225">"男"</f>
        <v>男</v>
      </c>
    </row>
    <row r="222" spans="1:5" s="3" customFormat="1" ht="19.5" customHeight="1">
      <c r="A222" s="8">
        <v>220</v>
      </c>
      <c r="B222" s="8" t="str">
        <f>"21902020071813414229918"</f>
        <v>21902020071813414229918</v>
      </c>
      <c r="C222" s="8" t="s">
        <v>7</v>
      </c>
      <c r="D222" s="8" t="str">
        <f>"林若梅"</f>
        <v>林若梅</v>
      </c>
      <c r="E222" s="8" t="str">
        <f>"女"</f>
        <v>女</v>
      </c>
    </row>
    <row r="223" spans="1:5" s="3" customFormat="1" ht="19.5" customHeight="1">
      <c r="A223" s="8">
        <v>221</v>
      </c>
      <c r="B223" s="8" t="str">
        <f>"21902020071815352429952"</f>
        <v>21902020071815352429952</v>
      </c>
      <c r="C223" s="8" t="s">
        <v>7</v>
      </c>
      <c r="D223" s="8" t="str">
        <f>"蔡鸿涛"</f>
        <v>蔡鸿涛</v>
      </c>
      <c r="E223" s="8" t="str">
        <f t="shared" si="47"/>
        <v>男</v>
      </c>
    </row>
    <row r="224" spans="1:5" s="3" customFormat="1" ht="19.5" customHeight="1">
      <c r="A224" s="8">
        <v>222</v>
      </c>
      <c r="B224" s="8" t="str">
        <f>"21902020071815455529958"</f>
        <v>21902020071815455529958</v>
      </c>
      <c r="C224" s="8" t="s">
        <v>7</v>
      </c>
      <c r="D224" s="8" t="str">
        <f>"曾维民"</f>
        <v>曾维民</v>
      </c>
      <c r="E224" s="8" t="str">
        <f t="shared" si="47"/>
        <v>男</v>
      </c>
    </row>
    <row r="225" spans="1:5" s="3" customFormat="1" ht="19.5" customHeight="1">
      <c r="A225" s="8">
        <v>223</v>
      </c>
      <c r="B225" s="8" t="str">
        <f>"21902020071817085829982"</f>
        <v>21902020071817085829982</v>
      </c>
      <c r="C225" s="8" t="s">
        <v>7</v>
      </c>
      <c r="D225" s="8" t="str">
        <f>"潘健"</f>
        <v>潘健</v>
      </c>
      <c r="E225" s="8" t="str">
        <f t="shared" si="47"/>
        <v>男</v>
      </c>
    </row>
    <row r="226" spans="1:5" s="3" customFormat="1" ht="19.5" customHeight="1">
      <c r="A226" s="8">
        <v>224</v>
      </c>
      <c r="B226" s="8" t="str">
        <f>"21902020071820103230029"</f>
        <v>21902020071820103230029</v>
      </c>
      <c r="C226" s="8" t="s">
        <v>7</v>
      </c>
      <c r="D226" s="8" t="str">
        <f>"赵丽芳"</f>
        <v>赵丽芳</v>
      </c>
      <c r="E226" s="8" t="str">
        <f>"女"</f>
        <v>女</v>
      </c>
    </row>
    <row r="227" spans="1:5" s="3" customFormat="1" ht="19.5" customHeight="1">
      <c r="A227" s="8">
        <v>225</v>
      </c>
      <c r="B227" s="8" t="str">
        <f>"21902020071821132530043"</f>
        <v>21902020071821132530043</v>
      </c>
      <c r="C227" s="8" t="s">
        <v>7</v>
      </c>
      <c r="D227" s="8" t="str">
        <f>"韩华畴"</f>
        <v>韩华畴</v>
      </c>
      <c r="E227" s="8" t="str">
        <f aca="true" t="shared" si="48" ref="E227:E229">"男"</f>
        <v>男</v>
      </c>
    </row>
    <row r="228" spans="1:5" s="3" customFormat="1" ht="19.5" customHeight="1">
      <c r="A228" s="8">
        <v>226</v>
      </c>
      <c r="B228" s="8" t="str">
        <f>"21902020071822551230068"</f>
        <v>21902020071822551230068</v>
      </c>
      <c r="C228" s="8" t="s">
        <v>7</v>
      </c>
      <c r="D228" s="8" t="str">
        <f>"羊传博"</f>
        <v>羊传博</v>
      </c>
      <c r="E228" s="8" t="str">
        <f t="shared" si="48"/>
        <v>男</v>
      </c>
    </row>
    <row r="229" spans="1:5" s="3" customFormat="1" ht="19.5" customHeight="1">
      <c r="A229" s="8">
        <v>227</v>
      </c>
      <c r="B229" s="8" t="str">
        <f>"21902020071900333330080"</f>
        <v>21902020071900333330080</v>
      </c>
      <c r="C229" s="8" t="s">
        <v>7</v>
      </c>
      <c r="D229" s="8" t="str">
        <f>"钟俊民"</f>
        <v>钟俊民</v>
      </c>
      <c r="E229" s="8" t="str">
        <f t="shared" si="48"/>
        <v>男</v>
      </c>
    </row>
    <row r="230" spans="1:5" s="3" customFormat="1" ht="19.5" customHeight="1">
      <c r="A230" s="8">
        <v>228</v>
      </c>
      <c r="B230" s="8" t="str">
        <f>"21902020071901120430084"</f>
        <v>21902020071901120430084</v>
      </c>
      <c r="C230" s="8" t="s">
        <v>7</v>
      </c>
      <c r="D230" s="8" t="str">
        <f>"洪婷"</f>
        <v>洪婷</v>
      </c>
      <c r="E230" s="8" t="str">
        <f>"女"</f>
        <v>女</v>
      </c>
    </row>
    <row r="231" spans="1:5" s="3" customFormat="1" ht="19.5" customHeight="1">
      <c r="A231" s="8">
        <v>229</v>
      </c>
      <c r="B231" s="8" t="str">
        <f>"21902020071907314930092"</f>
        <v>21902020071907314930092</v>
      </c>
      <c r="C231" s="8" t="s">
        <v>7</v>
      </c>
      <c r="D231" s="8" t="str">
        <f>"符盛宇"</f>
        <v>符盛宇</v>
      </c>
      <c r="E231" s="8" t="str">
        <f aca="true" t="shared" si="49" ref="E231:E236">"男"</f>
        <v>男</v>
      </c>
    </row>
    <row r="232" spans="1:5" s="3" customFormat="1" ht="19.5" customHeight="1">
      <c r="A232" s="8">
        <v>230</v>
      </c>
      <c r="B232" s="8" t="str">
        <f>"21902020071912564930173"</f>
        <v>21902020071912564930173</v>
      </c>
      <c r="C232" s="8" t="s">
        <v>7</v>
      </c>
      <c r="D232" s="8" t="str">
        <f>"郭庆菊"</f>
        <v>郭庆菊</v>
      </c>
      <c r="E232" s="8" t="str">
        <f>"女"</f>
        <v>女</v>
      </c>
    </row>
    <row r="233" spans="1:5" s="3" customFormat="1" ht="19.5" customHeight="1">
      <c r="A233" s="8">
        <v>231</v>
      </c>
      <c r="B233" s="8" t="str">
        <f>"21902020071913035830177"</f>
        <v>21902020071913035830177</v>
      </c>
      <c r="C233" s="8" t="s">
        <v>7</v>
      </c>
      <c r="D233" s="8" t="str">
        <f>"符振卿"</f>
        <v>符振卿</v>
      </c>
      <c r="E233" s="8" t="str">
        <f t="shared" si="49"/>
        <v>男</v>
      </c>
    </row>
    <row r="234" spans="1:5" s="3" customFormat="1" ht="19.5" customHeight="1">
      <c r="A234" s="8">
        <v>232</v>
      </c>
      <c r="B234" s="8" t="str">
        <f>"21902020071913571630198"</f>
        <v>21902020071913571630198</v>
      </c>
      <c r="C234" s="8" t="s">
        <v>7</v>
      </c>
      <c r="D234" s="8" t="str">
        <f>"王冠学"</f>
        <v>王冠学</v>
      </c>
      <c r="E234" s="8" t="str">
        <f t="shared" si="49"/>
        <v>男</v>
      </c>
    </row>
    <row r="235" spans="1:5" s="3" customFormat="1" ht="19.5" customHeight="1">
      <c r="A235" s="8">
        <v>233</v>
      </c>
      <c r="B235" s="8" t="str">
        <f>"21902020071918151330293"</f>
        <v>21902020071918151330293</v>
      </c>
      <c r="C235" s="8" t="s">
        <v>7</v>
      </c>
      <c r="D235" s="8" t="str">
        <f>"陈家跃"</f>
        <v>陈家跃</v>
      </c>
      <c r="E235" s="8" t="str">
        <f t="shared" si="49"/>
        <v>男</v>
      </c>
    </row>
    <row r="236" spans="1:5" s="3" customFormat="1" ht="19.5" customHeight="1">
      <c r="A236" s="8">
        <v>234</v>
      </c>
      <c r="B236" s="8" t="str">
        <f>"21902020071918550730305"</f>
        <v>21902020071918550730305</v>
      </c>
      <c r="C236" s="8" t="s">
        <v>7</v>
      </c>
      <c r="D236" s="8" t="str">
        <f>"钟若健"</f>
        <v>钟若健</v>
      </c>
      <c r="E236" s="8" t="str">
        <f t="shared" si="49"/>
        <v>男</v>
      </c>
    </row>
    <row r="237" spans="1:5" s="3" customFormat="1" ht="19.5" customHeight="1">
      <c r="A237" s="8">
        <v>235</v>
      </c>
      <c r="B237" s="8" t="str">
        <f>"21902020071922443630377"</f>
        <v>21902020071922443630377</v>
      </c>
      <c r="C237" s="8" t="s">
        <v>7</v>
      </c>
      <c r="D237" s="8" t="str">
        <f>"李景雨"</f>
        <v>李景雨</v>
      </c>
      <c r="E237" s="8" t="str">
        <f aca="true" t="shared" si="50" ref="E237:E242">"女"</f>
        <v>女</v>
      </c>
    </row>
    <row r="238" spans="1:5" s="3" customFormat="1" ht="19.5" customHeight="1">
      <c r="A238" s="8">
        <v>236</v>
      </c>
      <c r="B238" s="8" t="str">
        <f>"21902020071922470030378"</f>
        <v>21902020071922470030378</v>
      </c>
      <c r="C238" s="8" t="s">
        <v>7</v>
      </c>
      <c r="D238" s="8" t="str">
        <f>"李绍年"</f>
        <v>李绍年</v>
      </c>
      <c r="E238" s="8" t="str">
        <f aca="true" t="shared" si="51" ref="E238:E243">"男"</f>
        <v>男</v>
      </c>
    </row>
    <row r="239" spans="1:5" s="3" customFormat="1" ht="19.5" customHeight="1">
      <c r="A239" s="8">
        <v>237</v>
      </c>
      <c r="B239" s="8" t="str">
        <f>"21902020071923291830398"</f>
        <v>21902020071923291830398</v>
      </c>
      <c r="C239" s="8" t="s">
        <v>7</v>
      </c>
      <c r="D239" s="8" t="str">
        <f>"陈惠音"</f>
        <v>陈惠音</v>
      </c>
      <c r="E239" s="8" t="str">
        <f t="shared" si="50"/>
        <v>女</v>
      </c>
    </row>
    <row r="240" spans="1:5" s="3" customFormat="1" ht="19.5" customHeight="1">
      <c r="A240" s="8">
        <v>238</v>
      </c>
      <c r="B240" s="8" t="str">
        <f>"21902020072003033430424"</f>
        <v>21902020072003033430424</v>
      </c>
      <c r="C240" s="8" t="s">
        <v>7</v>
      </c>
      <c r="D240" s="8" t="str">
        <f>"符伟安"</f>
        <v>符伟安</v>
      </c>
      <c r="E240" s="8" t="str">
        <f t="shared" si="51"/>
        <v>男</v>
      </c>
    </row>
    <row r="241" spans="1:5" s="3" customFormat="1" ht="19.5" customHeight="1">
      <c r="A241" s="8">
        <v>239</v>
      </c>
      <c r="B241" s="8" t="str">
        <f>"21902020072007432830427"</f>
        <v>21902020072007432830427</v>
      </c>
      <c r="C241" s="8" t="s">
        <v>7</v>
      </c>
      <c r="D241" s="8" t="str">
        <f>"薛石金"</f>
        <v>薛石金</v>
      </c>
      <c r="E241" s="8" t="str">
        <f t="shared" si="50"/>
        <v>女</v>
      </c>
    </row>
    <row r="242" spans="1:5" s="3" customFormat="1" ht="19.5" customHeight="1">
      <c r="A242" s="8">
        <v>240</v>
      </c>
      <c r="B242" s="8" t="str">
        <f>"21902020072010010830509"</f>
        <v>21902020072010010830509</v>
      </c>
      <c r="C242" s="8" t="s">
        <v>7</v>
      </c>
      <c r="D242" s="8" t="str">
        <f>"邢贞姻"</f>
        <v>邢贞姻</v>
      </c>
      <c r="E242" s="8" t="str">
        <f t="shared" si="50"/>
        <v>女</v>
      </c>
    </row>
    <row r="243" spans="1:5" s="3" customFormat="1" ht="19.5" customHeight="1">
      <c r="A243" s="8">
        <v>241</v>
      </c>
      <c r="B243" s="8" t="str">
        <f>"21902020072011591130594"</f>
        <v>21902020072011591130594</v>
      </c>
      <c r="C243" s="8" t="s">
        <v>7</v>
      </c>
      <c r="D243" s="8" t="str">
        <f>"谭庆如"</f>
        <v>谭庆如</v>
      </c>
      <c r="E243" s="8" t="str">
        <f t="shared" si="51"/>
        <v>男</v>
      </c>
    </row>
    <row r="244" spans="1:5" s="3" customFormat="1" ht="19.5" customHeight="1">
      <c r="A244" s="8">
        <v>242</v>
      </c>
      <c r="B244" s="8" t="str">
        <f>"21902020072013240130652"</f>
        <v>21902020072013240130652</v>
      </c>
      <c r="C244" s="8" t="s">
        <v>7</v>
      </c>
      <c r="D244" s="8" t="str">
        <f>"王册"</f>
        <v>王册</v>
      </c>
      <c r="E244" s="8" t="str">
        <f aca="true" t="shared" si="52" ref="E244:E251">"女"</f>
        <v>女</v>
      </c>
    </row>
    <row r="245" spans="1:5" s="3" customFormat="1" ht="19.5" customHeight="1">
      <c r="A245" s="8">
        <v>243</v>
      </c>
      <c r="B245" s="8" t="str">
        <f>"21902020072014402930690"</f>
        <v>21902020072014402930690</v>
      </c>
      <c r="C245" s="8" t="s">
        <v>7</v>
      </c>
      <c r="D245" s="8" t="str">
        <f>"王身宝"</f>
        <v>王身宝</v>
      </c>
      <c r="E245" s="8" t="str">
        <f aca="true" t="shared" si="53" ref="E245:E248">"男"</f>
        <v>男</v>
      </c>
    </row>
    <row r="246" spans="1:5" s="3" customFormat="1" ht="19.5" customHeight="1">
      <c r="A246" s="8">
        <v>244</v>
      </c>
      <c r="B246" s="8" t="str">
        <f>"21902020072014510330699"</f>
        <v>21902020072014510330699</v>
      </c>
      <c r="C246" s="8" t="s">
        <v>7</v>
      </c>
      <c r="D246" s="8" t="str">
        <f>"柯妹"</f>
        <v>柯妹</v>
      </c>
      <c r="E246" s="8" t="str">
        <f t="shared" si="52"/>
        <v>女</v>
      </c>
    </row>
    <row r="247" spans="1:5" s="3" customFormat="1" ht="19.5" customHeight="1">
      <c r="A247" s="8">
        <v>245</v>
      </c>
      <c r="B247" s="8" t="str">
        <f>"21902020072015372330738"</f>
        <v>21902020072015372330738</v>
      </c>
      <c r="C247" s="8" t="s">
        <v>7</v>
      </c>
      <c r="D247" s="8" t="str">
        <f>"翁良庆"</f>
        <v>翁良庆</v>
      </c>
      <c r="E247" s="8" t="str">
        <f t="shared" si="53"/>
        <v>男</v>
      </c>
    </row>
    <row r="248" spans="1:5" s="3" customFormat="1" ht="19.5" customHeight="1">
      <c r="A248" s="8">
        <v>246</v>
      </c>
      <c r="B248" s="8" t="str">
        <f>"21902020072015534230750"</f>
        <v>21902020072015534230750</v>
      </c>
      <c r="C248" s="8" t="s">
        <v>7</v>
      </c>
      <c r="D248" s="8" t="str">
        <f>"吴育帅"</f>
        <v>吴育帅</v>
      </c>
      <c r="E248" s="8" t="str">
        <f t="shared" si="53"/>
        <v>男</v>
      </c>
    </row>
    <row r="249" spans="1:5" s="3" customFormat="1" ht="19.5" customHeight="1">
      <c r="A249" s="8">
        <v>247</v>
      </c>
      <c r="B249" s="8" t="str">
        <f>"21902020072015551830753"</f>
        <v>21902020072015551830753</v>
      </c>
      <c r="C249" s="8" t="s">
        <v>7</v>
      </c>
      <c r="D249" s="8" t="str">
        <f>"李雪梅"</f>
        <v>李雪梅</v>
      </c>
      <c r="E249" s="8" t="str">
        <f t="shared" si="52"/>
        <v>女</v>
      </c>
    </row>
    <row r="250" spans="1:5" s="3" customFormat="1" ht="19.5" customHeight="1">
      <c r="A250" s="8">
        <v>248</v>
      </c>
      <c r="B250" s="8" t="str">
        <f>"21902020072016334530775"</f>
        <v>21902020072016334530775</v>
      </c>
      <c r="C250" s="8" t="s">
        <v>7</v>
      </c>
      <c r="D250" s="8" t="str">
        <f>"陈元求"</f>
        <v>陈元求</v>
      </c>
      <c r="E250" s="8" t="str">
        <f t="shared" si="52"/>
        <v>女</v>
      </c>
    </row>
    <row r="251" spans="1:5" s="3" customFormat="1" ht="19.5" customHeight="1">
      <c r="A251" s="8">
        <v>249</v>
      </c>
      <c r="B251" s="8" t="str">
        <f>"21902020071409012225933"</f>
        <v>21902020071409012225933</v>
      </c>
      <c r="C251" s="8" t="s">
        <v>8</v>
      </c>
      <c r="D251" s="8" t="str">
        <f>"赵金玲"</f>
        <v>赵金玲</v>
      </c>
      <c r="E251" s="8" t="str">
        <f t="shared" si="52"/>
        <v>女</v>
      </c>
    </row>
    <row r="252" spans="1:5" s="3" customFormat="1" ht="19.5" customHeight="1">
      <c r="A252" s="8">
        <v>250</v>
      </c>
      <c r="B252" s="8" t="str">
        <f>"21902020071409030725948"</f>
        <v>21902020071409030725948</v>
      </c>
      <c r="C252" s="8" t="s">
        <v>8</v>
      </c>
      <c r="D252" s="8" t="str">
        <f>"李常"</f>
        <v>李常</v>
      </c>
      <c r="E252" s="8" t="str">
        <f aca="true" t="shared" si="54" ref="E252:E257">"男"</f>
        <v>男</v>
      </c>
    </row>
    <row r="253" spans="1:5" s="3" customFormat="1" ht="19.5" customHeight="1">
      <c r="A253" s="8">
        <v>251</v>
      </c>
      <c r="B253" s="8" t="str">
        <f>"21902020071409103126005"</f>
        <v>21902020071409103126005</v>
      </c>
      <c r="C253" s="8" t="s">
        <v>8</v>
      </c>
      <c r="D253" s="8" t="str">
        <f>"符小莉"</f>
        <v>符小莉</v>
      </c>
      <c r="E253" s="8" t="str">
        <f aca="true" t="shared" si="55" ref="E253:E256">"女"</f>
        <v>女</v>
      </c>
    </row>
    <row r="254" spans="1:5" s="3" customFormat="1" ht="19.5" customHeight="1">
      <c r="A254" s="8">
        <v>252</v>
      </c>
      <c r="B254" s="8" t="str">
        <f>"21902020071409123326021"</f>
        <v>21902020071409123326021</v>
      </c>
      <c r="C254" s="8" t="s">
        <v>8</v>
      </c>
      <c r="D254" s="8" t="str">
        <f>"符掌民"</f>
        <v>符掌民</v>
      </c>
      <c r="E254" s="8" t="str">
        <f t="shared" si="54"/>
        <v>男</v>
      </c>
    </row>
    <row r="255" spans="1:5" s="3" customFormat="1" ht="19.5" customHeight="1">
      <c r="A255" s="8">
        <v>253</v>
      </c>
      <c r="B255" s="8" t="str">
        <f>"21902020071409143326035"</f>
        <v>21902020071409143326035</v>
      </c>
      <c r="C255" s="8" t="s">
        <v>8</v>
      </c>
      <c r="D255" s="8" t="str">
        <f>"朱玲"</f>
        <v>朱玲</v>
      </c>
      <c r="E255" s="8" t="str">
        <f t="shared" si="55"/>
        <v>女</v>
      </c>
    </row>
    <row r="256" spans="1:5" s="3" customFormat="1" ht="19.5" customHeight="1">
      <c r="A256" s="8">
        <v>254</v>
      </c>
      <c r="B256" s="8" t="str">
        <f>"21902020071409174426052"</f>
        <v>21902020071409174426052</v>
      </c>
      <c r="C256" s="8" t="s">
        <v>8</v>
      </c>
      <c r="D256" s="8" t="str">
        <f>"李孟丽"</f>
        <v>李孟丽</v>
      </c>
      <c r="E256" s="8" t="str">
        <f t="shared" si="55"/>
        <v>女</v>
      </c>
    </row>
    <row r="257" spans="1:5" s="3" customFormat="1" ht="19.5" customHeight="1">
      <c r="A257" s="8">
        <v>255</v>
      </c>
      <c r="B257" s="8" t="str">
        <f>"21902020071409251126095"</f>
        <v>21902020071409251126095</v>
      </c>
      <c r="C257" s="8" t="s">
        <v>8</v>
      </c>
      <c r="D257" s="8" t="str">
        <f>"陈多勤"</f>
        <v>陈多勤</v>
      </c>
      <c r="E257" s="8" t="str">
        <f t="shared" si="54"/>
        <v>男</v>
      </c>
    </row>
    <row r="258" spans="1:5" s="3" customFormat="1" ht="19.5" customHeight="1">
      <c r="A258" s="8">
        <v>256</v>
      </c>
      <c r="B258" s="8" t="str">
        <f>"21902020071409540926218"</f>
        <v>21902020071409540926218</v>
      </c>
      <c r="C258" s="8" t="s">
        <v>8</v>
      </c>
      <c r="D258" s="8" t="str">
        <f>"张引瑞"</f>
        <v>张引瑞</v>
      </c>
      <c r="E258" s="8" t="str">
        <f>"女"</f>
        <v>女</v>
      </c>
    </row>
    <row r="259" spans="1:5" s="3" customFormat="1" ht="19.5" customHeight="1">
      <c r="A259" s="8">
        <v>257</v>
      </c>
      <c r="B259" s="8" t="str">
        <f>"21902020071409542326220"</f>
        <v>21902020071409542326220</v>
      </c>
      <c r="C259" s="8" t="s">
        <v>8</v>
      </c>
      <c r="D259" s="8" t="str">
        <f>"冯东拿"</f>
        <v>冯东拿</v>
      </c>
      <c r="E259" s="8" t="str">
        <f>"女"</f>
        <v>女</v>
      </c>
    </row>
    <row r="260" spans="1:5" s="3" customFormat="1" ht="19.5" customHeight="1">
      <c r="A260" s="8">
        <v>258</v>
      </c>
      <c r="B260" s="8" t="str">
        <f>"21902020071409554526224"</f>
        <v>21902020071409554526224</v>
      </c>
      <c r="C260" s="8" t="s">
        <v>8</v>
      </c>
      <c r="D260" s="8" t="str">
        <f>"张福磊"</f>
        <v>张福磊</v>
      </c>
      <c r="E260" s="8" t="str">
        <f aca="true" t="shared" si="56" ref="E260:E263">"男"</f>
        <v>男</v>
      </c>
    </row>
    <row r="261" spans="1:5" s="3" customFormat="1" ht="19.5" customHeight="1">
      <c r="A261" s="8">
        <v>259</v>
      </c>
      <c r="B261" s="8" t="str">
        <f>"21902020071409592026234"</f>
        <v>21902020071409592026234</v>
      </c>
      <c r="C261" s="8" t="s">
        <v>8</v>
      </c>
      <c r="D261" s="8" t="str">
        <f>"何应京"</f>
        <v>何应京</v>
      </c>
      <c r="E261" s="8" t="str">
        <f t="shared" si="56"/>
        <v>男</v>
      </c>
    </row>
    <row r="262" spans="1:5" s="3" customFormat="1" ht="19.5" customHeight="1">
      <c r="A262" s="8">
        <v>260</v>
      </c>
      <c r="B262" s="8" t="str">
        <f>"21902020071409594126237"</f>
        <v>21902020071409594126237</v>
      </c>
      <c r="C262" s="8" t="s">
        <v>8</v>
      </c>
      <c r="D262" s="8" t="str">
        <f>"苏仕伟"</f>
        <v>苏仕伟</v>
      </c>
      <c r="E262" s="8" t="str">
        <f t="shared" si="56"/>
        <v>男</v>
      </c>
    </row>
    <row r="263" spans="1:5" s="3" customFormat="1" ht="19.5" customHeight="1">
      <c r="A263" s="8">
        <v>261</v>
      </c>
      <c r="B263" s="8" t="str">
        <f>"21902020071410012226242"</f>
        <v>21902020071410012226242</v>
      </c>
      <c r="C263" s="8" t="s">
        <v>8</v>
      </c>
      <c r="D263" s="8" t="str">
        <f>"许光慧"</f>
        <v>许光慧</v>
      </c>
      <c r="E263" s="8" t="str">
        <f t="shared" si="56"/>
        <v>男</v>
      </c>
    </row>
    <row r="264" spans="1:5" s="3" customFormat="1" ht="19.5" customHeight="1">
      <c r="A264" s="8">
        <v>262</v>
      </c>
      <c r="B264" s="8" t="str">
        <f>"21902020071410141726317"</f>
        <v>21902020071410141726317</v>
      </c>
      <c r="C264" s="8" t="s">
        <v>8</v>
      </c>
      <c r="D264" s="8" t="str">
        <f>"张海花"</f>
        <v>张海花</v>
      </c>
      <c r="E264" s="8" t="str">
        <f aca="true" t="shared" si="57" ref="E264:E269">"女"</f>
        <v>女</v>
      </c>
    </row>
    <row r="265" spans="1:5" s="3" customFormat="1" ht="19.5" customHeight="1">
      <c r="A265" s="8">
        <v>263</v>
      </c>
      <c r="B265" s="8" t="str">
        <f>"21902020071410165326322"</f>
        <v>21902020071410165326322</v>
      </c>
      <c r="C265" s="8" t="s">
        <v>8</v>
      </c>
      <c r="D265" s="8" t="str">
        <f>"陈福道"</f>
        <v>陈福道</v>
      </c>
      <c r="E265" s="8" t="str">
        <f aca="true" t="shared" si="58" ref="E265:E268">"男"</f>
        <v>男</v>
      </c>
    </row>
    <row r="266" spans="1:5" s="3" customFormat="1" ht="19.5" customHeight="1">
      <c r="A266" s="8">
        <v>264</v>
      </c>
      <c r="B266" s="8" t="str">
        <f>"21902020071410381626402"</f>
        <v>21902020071410381626402</v>
      </c>
      <c r="C266" s="8" t="s">
        <v>8</v>
      </c>
      <c r="D266" s="8" t="str">
        <f>"黎寿昀"</f>
        <v>黎寿昀</v>
      </c>
      <c r="E266" s="8" t="str">
        <f t="shared" si="58"/>
        <v>男</v>
      </c>
    </row>
    <row r="267" spans="1:5" s="3" customFormat="1" ht="19.5" customHeight="1">
      <c r="A267" s="8">
        <v>265</v>
      </c>
      <c r="B267" s="8" t="str">
        <f>"21902020071410403926409"</f>
        <v>21902020071410403926409</v>
      </c>
      <c r="C267" s="8" t="s">
        <v>8</v>
      </c>
      <c r="D267" s="8" t="str">
        <f>"李媛媛"</f>
        <v>李媛媛</v>
      </c>
      <c r="E267" s="8" t="str">
        <f t="shared" si="57"/>
        <v>女</v>
      </c>
    </row>
    <row r="268" spans="1:5" s="3" customFormat="1" ht="19.5" customHeight="1">
      <c r="A268" s="8">
        <v>266</v>
      </c>
      <c r="B268" s="8" t="str">
        <f>"21902020071410503726449"</f>
        <v>21902020071410503726449</v>
      </c>
      <c r="C268" s="8" t="s">
        <v>8</v>
      </c>
      <c r="D268" s="8" t="str">
        <f>"陈选忠"</f>
        <v>陈选忠</v>
      </c>
      <c r="E268" s="8" t="str">
        <f t="shared" si="58"/>
        <v>男</v>
      </c>
    </row>
    <row r="269" spans="1:5" s="3" customFormat="1" ht="19.5" customHeight="1">
      <c r="A269" s="8">
        <v>267</v>
      </c>
      <c r="B269" s="8" t="str">
        <f>"21902020071411121226520"</f>
        <v>21902020071411121226520</v>
      </c>
      <c r="C269" s="8" t="s">
        <v>8</v>
      </c>
      <c r="D269" s="8" t="str">
        <f>"李尾莲"</f>
        <v>李尾莲</v>
      </c>
      <c r="E269" s="8" t="str">
        <f t="shared" si="57"/>
        <v>女</v>
      </c>
    </row>
    <row r="270" spans="1:5" s="3" customFormat="1" ht="19.5" customHeight="1">
      <c r="A270" s="8">
        <v>268</v>
      </c>
      <c r="B270" s="8" t="str">
        <f>"21902020071411302226559"</f>
        <v>21902020071411302226559</v>
      </c>
      <c r="C270" s="8" t="s">
        <v>8</v>
      </c>
      <c r="D270" s="8" t="str">
        <f>"吴敏"</f>
        <v>吴敏</v>
      </c>
      <c r="E270" s="8" t="str">
        <f aca="true" t="shared" si="59" ref="E270:E276">"男"</f>
        <v>男</v>
      </c>
    </row>
    <row r="271" spans="1:5" s="3" customFormat="1" ht="19.5" customHeight="1">
      <c r="A271" s="8">
        <v>269</v>
      </c>
      <c r="B271" s="8" t="str">
        <f>"21902020071411401026579"</f>
        <v>21902020071411401026579</v>
      </c>
      <c r="C271" s="8" t="s">
        <v>8</v>
      </c>
      <c r="D271" s="8" t="str">
        <f>"蔡培"</f>
        <v>蔡培</v>
      </c>
      <c r="E271" s="8" t="str">
        <f t="shared" si="59"/>
        <v>男</v>
      </c>
    </row>
    <row r="272" spans="1:5" s="3" customFormat="1" ht="19.5" customHeight="1">
      <c r="A272" s="8">
        <v>270</v>
      </c>
      <c r="B272" s="8" t="str">
        <f>"21902020071411445826598"</f>
        <v>21902020071411445826598</v>
      </c>
      <c r="C272" s="8" t="s">
        <v>8</v>
      </c>
      <c r="D272" s="8" t="str">
        <f>"张石桃"</f>
        <v>张石桃</v>
      </c>
      <c r="E272" s="8" t="str">
        <f>"女"</f>
        <v>女</v>
      </c>
    </row>
    <row r="273" spans="1:5" s="3" customFormat="1" ht="19.5" customHeight="1">
      <c r="A273" s="8">
        <v>271</v>
      </c>
      <c r="B273" s="8" t="str">
        <f>"21902020071411475026603"</f>
        <v>21902020071411475026603</v>
      </c>
      <c r="C273" s="8" t="s">
        <v>8</v>
      </c>
      <c r="D273" s="8" t="str">
        <f>"羊后忠"</f>
        <v>羊后忠</v>
      </c>
      <c r="E273" s="8" t="str">
        <f t="shared" si="59"/>
        <v>男</v>
      </c>
    </row>
    <row r="274" spans="1:5" s="3" customFormat="1" ht="19.5" customHeight="1">
      <c r="A274" s="8">
        <v>272</v>
      </c>
      <c r="B274" s="8" t="str">
        <f>"21902020071411494126607"</f>
        <v>21902020071411494126607</v>
      </c>
      <c r="C274" s="8" t="s">
        <v>8</v>
      </c>
      <c r="D274" s="8" t="str">
        <f>"金龙"</f>
        <v>金龙</v>
      </c>
      <c r="E274" s="8" t="str">
        <f t="shared" si="59"/>
        <v>男</v>
      </c>
    </row>
    <row r="275" spans="1:5" s="3" customFormat="1" ht="19.5" customHeight="1">
      <c r="A275" s="8">
        <v>273</v>
      </c>
      <c r="B275" s="8" t="str">
        <f>"21902020071411504526611"</f>
        <v>21902020071411504526611</v>
      </c>
      <c r="C275" s="8" t="s">
        <v>8</v>
      </c>
      <c r="D275" s="8" t="str">
        <f>"林先祺"</f>
        <v>林先祺</v>
      </c>
      <c r="E275" s="8" t="str">
        <f t="shared" si="59"/>
        <v>男</v>
      </c>
    </row>
    <row r="276" spans="1:5" s="3" customFormat="1" ht="19.5" customHeight="1">
      <c r="A276" s="8">
        <v>274</v>
      </c>
      <c r="B276" s="8" t="str">
        <f>"21902020071411541726622"</f>
        <v>21902020071411541726622</v>
      </c>
      <c r="C276" s="8" t="s">
        <v>8</v>
      </c>
      <c r="D276" s="8" t="str">
        <f>"王焱"</f>
        <v>王焱</v>
      </c>
      <c r="E276" s="8" t="str">
        <f t="shared" si="59"/>
        <v>男</v>
      </c>
    </row>
    <row r="277" spans="1:5" s="3" customFormat="1" ht="19.5" customHeight="1">
      <c r="A277" s="8">
        <v>275</v>
      </c>
      <c r="B277" s="8" t="str">
        <f>"21902020071412010126636"</f>
        <v>21902020071412010126636</v>
      </c>
      <c r="C277" s="8" t="s">
        <v>8</v>
      </c>
      <c r="D277" s="8" t="str">
        <f>"王美琼"</f>
        <v>王美琼</v>
      </c>
      <c r="E277" s="8" t="str">
        <f>"女"</f>
        <v>女</v>
      </c>
    </row>
    <row r="278" spans="1:5" s="3" customFormat="1" ht="19.5" customHeight="1">
      <c r="A278" s="8">
        <v>276</v>
      </c>
      <c r="B278" s="8" t="str">
        <f>"21902020071412220526668"</f>
        <v>21902020071412220526668</v>
      </c>
      <c r="C278" s="8" t="s">
        <v>8</v>
      </c>
      <c r="D278" s="8" t="str">
        <f>"杨成翔"</f>
        <v>杨成翔</v>
      </c>
      <c r="E278" s="8" t="str">
        <f aca="true" t="shared" si="60" ref="E278:E285">"男"</f>
        <v>男</v>
      </c>
    </row>
    <row r="279" spans="1:5" s="3" customFormat="1" ht="19.5" customHeight="1">
      <c r="A279" s="8">
        <v>277</v>
      </c>
      <c r="B279" s="8" t="str">
        <f>"21902020071412300526682"</f>
        <v>21902020071412300526682</v>
      </c>
      <c r="C279" s="8" t="s">
        <v>8</v>
      </c>
      <c r="D279" s="8" t="str">
        <f>"林拥书"</f>
        <v>林拥书</v>
      </c>
      <c r="E279" s="8" t="str">
        <f t="shared" si="60"/>
        <v>男</v>
      </c>
    </row>
    <row r="280" spans="1:5" s="3" customFormat="1" ht="19.5" customHeight="1">
      <c r="A280" s="8">
        <v>278</v>
      </c>
      <c r="B280" s="8" t="str">
        <f>"21902020071413094426747"</f>
        <v>21902020071413094426747</v>
      </c>
      <c r="C280" s="8" t="s">
        <v>8</v>
      </c>
      <c r="D280" s="8" t="str">
        <f>"梁其政"</f>
        <v>梁其政</v>
      </c>
      <c r="E280" s="8" t="str">
        <f t="shared" si="60"/>
        <v>男</v>
      </c>
    </row>
    <row r="281" spans="1:5" s="3" customFormat="1" ht="19.5" customHeight="1">
      <c r="A281" s="8">
        <v>279</v>
      </c>
      <c r="B281" s="8" t="str">
        <f>"21902020071413102026748"</f>
        <v>21902020071413102026748</v>
      </c>
      <c r="C281" s="8" t="s">
        <v>8</v>
      </c>
      <c r="D281" s="8" t="str">
        <f>"吕伟器"</f>
        <v>吕伟器</v>
      </c>
      <c r="E281" s="8" t="str">
        <f t="shared" si="60"/>
        <v>男</v>
      </c>
    </row>
    <row r="282" spans="1:5" s="3" customFormat="1" ht="19.5" customHeight="1">
      <c r="A282" s="8">
        <v>280</v>
      </c>
      <c r="B282" s="8" t="str">
        <f>"21902020071413113526751"</f>
        <v>21902020071413113526751</v>
      </c>
      <c r="C282" s="8" t="s">
        <v>8</v>
      </c>
      <c r="D282" s="8" t="str">
        <f>"罗玉军"</f>
        <v>罗玉军</v>
      </c>
      <c r="E282" s="8" t="str">
        <f t="shared" si="60"/>
        <v>男</v>
      </c>
    </row>
    <row r="283" spans="1:5" s="3" customFormat="1" ht="19.5" customHeight="1">
      <c r="A283" s="8">
        <v>281</v>
      </c>
      <c r="B283" s="8" t="str">
        <f>"21902020071413212926770"</f>
        <v>21902020071413212926770</v>
      </c>
      <c r="C283" s="8" t="s">
        <v>8</v>
      </c>
      <c r="D283" s="8" t="str">
        <f>"周振长"</f>
        <v>周振长</v>
      </c>
      <c r="E283" s="8" t="str">
        <f t="shared" si="60"/>
        <v>男</v>
      </c>
    </row>
    <row r="284" spans="1:5" s="3" customFormat="1" ht="19.5" customHeight="1">
      <c r="A284" s="8">
        <v>282</v>
      </c>
      <c r="B284" s="8" t="str">
        <f>"21902020071413311926783"</f>
        <v>21902020071413311926783</v>
      </c>
      <c r="C284" s="8" t="s">
        <v>8</v>
      </c>
      <c r="D284" s="8" t="str">
        <f>"赵晋峰"</f>
        <v>赵晋峰</v>
      </c>
      <c r="E284" s="8" t="str">
        <f t="shared" si="60"/>
        <v>男</v>
      </c>
    </row>
    <row r="285" spans="1:5" s="3" customFormat="1" ht="19.5" customHeight="1">
      <c r="A285" s="8">
        <v>283</v>
      </c>
      <c r="B285" s="8" t="str">
        <f>"21902020071414284026850"</f>
        <v>21902020071414284026850</v>
      </c>
      <c r="C285" s="8" t="s">
        <v>8</v>
      </c>
      <c r="D285" s="8" t="str">
        <f>"梁定铖"</f>
        <v>梁定铖</v>
      </c>
      <c r="E285" s="8" t="str">
        <f t="shared" si="60"/>
        <v>男</v>
      </c>
    </row>
    <row r="286" spans="1:5" s="3" customFormat="1" ht="19.5" customHeight="1">
      <c r="A286" s="8">
        <v>284</v>
      </c>
      <c r="B286" s="8" t="str">
        <f>"21902020071414325326858"</f>
        <v>21902020071414325326858</v>
      </c>
      <c r="C286" s="8" t="s">
        <v>8</v>
      </c>
      <c r="D286" s="8" t="str">
        <f>"张庆花"</f>
        <v>张庆花</v>
      </c>
      <c r="E286" s="8" t="str">
        <f aca="true" t="shared" si="61" ref="E286:E290">"女"</f>
        <v>女</v>
      </c>
    </row>
    <row r="287" spans="1:5" s="3" customFormat="1" ht="19.5" customHeight="1">
      <c r="A287" s="8">
        <v>285</v>
      </c>
      <c r="B287" s="8" t="str">
        <f>"21902020071415032026918"</f>
        <v>21902020071415032026918</v>
      </c>
      <c r="C287" s="8" t="s">
        <v>8</v>
      </c>
      <c r="D287" s="8" t="str">
        <f>"何步刚"</f>
        <v>何步刚</v>
      </c>
      <c r="E287" s="8" t="str">
        <f aca="true" t="shared" si="62" ref="E287:E296">"男"</f>
        <v>男</v>
      </c>
    </row>
    <row r="288" spans="1:5" s="3" customFormat="1" ht="19.5" customHeight="1">
      <c r="A288" s="8">
        <v>286</v>
      </c>
      <c r="B288" s="8" t="str">
        <f>"21902020071415335926965"</f>
        <v>21902020071415335926965</v>
      </c>
      <c r="C288" s="8" t="s">
        <v>8</v>
      </c>
      <c r="D288" s="8" t="str">
        <f>"楼端芬"</f>
        <v>楼端芬</v>
      </c>
      <c r="E288" s="8" t="str">
        <f t="shared" si="61"/>
        <v>女</v>
      </c>
    </row>
    <row r="289" spans="1:5" s="3" customFormat="1" ht="19.5" customHeight="1">
      <c r="A289" s="8">
        <v>287</v>
      </c>
      <c r="B289" s="8" t="str">
        <f>"21902020071415455126980"</f>
        <v>21902020071415455126980</v>
      </c>
      <c r="C289" s="8" t="s">
        <v>8</v>
      </c>
      <c r="D289" s="8" t="str">
        <f>"黎源秀"</f>
        <v>黎源秀</v>
      </c>
      <c r="E289" s="8" t="str">
        <f t="shared" si="61"/>
        <v>女</v>
      </c>
    </row>
    <row r="290" spans="1:5" s="3" customFormat="1" ht="19.5" customHeight="1">
      <c r="A290" s="8">
        <v>288</v>
      </c>
      <c r="B290" s="8" t="str">
        <f>"21902020071415493026987"</f>
        <v>21902020071415493026987</v>
      </c>
      <c r="C290" s="8" t="s">
        <v>8</v>
      </c>
      <c r="D290" s="8" t="str">
        <f>"邢晶"</f>
        <v>邢晶</v>
      </c>
      <c r="E290" s="8" t="str">
        <f t="shared" si="61"/>
        <v>女</v>
      </c>
    </row>
    <row r="291" spans="1:5" s="3" customFormat="1" ht="19.5" customHeight="1">
      <c r="A291" s="8">
        <v>289</v>
      </c>
      <c r="B291" s="8" t="str">
        <f>"21902020071416194827039"</f>
        <v>21902020071416194827039</v>
      </c>
      <c r="C291" s="8" t="s">
        <v>8</v>
      </c>
      <c r="D291" s="8" t="str">
        <f>"邓政源"</f>
        <v>邓政源</v>
      </c>
      <c r="E291" s="8" t="str">
        <f t="shared" si="62"/>
        <v>男</v>
      </c>
    </row>
    <row r="292" spans="1:5" s="3" customFormat="1" ht="19.5" customHeight="1">
      <c r="A292" s="8">
        <v>290</v>
      </c>
      <c r="B292" s="8" t="str">
        <f>"21902020071416271327060"</f>
        <v>21902020071416271327060</v>
      </c>
      <c r="C292" s="8" t="s">
        <v>8</v>
      </c>
      <c r="D292" s="8" t="str">
        <f>"吴仕刚"</f>
        <v>吴仕刚</v>
      </c>
      <c r="E292" s="8" t="str">
        <f t="shared" si="62"/>
        <v>男</v>
      </c>
    </row>
    <row r="293" spans="1:5" s="3" customFormat="1" ht="19.5" customHeight="1">
      <c r="A293" s="8">
        <v>291</v>
      </c>
      <c r="B293" s="8" t="str">
        <f>"21902020071416341027072"</f>
        <v>21902020071416341027072</v>
      </c>
      <c r="C293" s="8" t="s">
        <v>8</v>
      </c>
      <c r="D293" s="8" t="str">
        <f>"王厚超"</f>
        <v>王厚超</v>
      </c>
      <c r="E293" s="8" t="str">
        <f t="shared" si="62"/>
        <v>男</v>
      </c>
    </row>
    <row r="294" spans="1:5" s="3" customFormat="1" ht="19.5" customHeight="1">
      <c r="A294" s="8">
        <v>292</v>
      </c>
      <c r="B294" s="8" t="str">
        <f>"21902020071416413027088"</f>
        <v>21902020071416413027088</v>
      </c>
      <c r="C294" s="8" t="s">
        <v>8</v>
      </c>
      <c r="D294" s="8" t="str">
        <f>"唐永创"</f>
        <v>唐永创</v>
      </c>
      <c r="E294" s="8" t="str">
        <f t="shared" si="62"/>
        <v>男</v>
      </c>
    </row>
    <row r="295" spans="1:5" s="3" customFormat="1" ht="19.5" customHeight="1">
      <c r="A295" s="8">
        <v>293</v>
      </c>
      <c r="B295" s="8" t="str">
        <f>"21902020071416525427111"</f>
        <v>21902020071416525427111</v>
      </c>
      <c r="C295" s="8" t="s">
        <v>8</v>
      </c>
      <c r="D295" s="8" t="str">
        <f>"陈冬讯"</f>
        <v>陈冬讯</v>
      </c>
      <c r="E295" s="8" t="str">
        <f t="shared" si="62"/>
        <v>男</v>
      </c>
    </row>
    <row r="296" spans="1:5" s="3" customFormat="1" ht="19.5" customHeight="1">
      <c r="A296" s="8">
        <v>294</v>
      </c>
      <c r="B296" s="8" t="str">
        <f>"21902020071417153627149"</f>
        <v>21902020071417153627149</v>
      </c>
      <c r="C296" s="8" t="s">
        <v>8</v>
      </c>
      <c r="D296" s="8" t="str">
        <f>"邱对欢"</f>
        <v>邱对欢</v>
      </c>
      <c r="E296" s="8" t="str">
        <f t="shared" si="62"/>
        <v>男</v>
      </c>
    </row>
    <row r="297" spans="1:5" s="3" customFormat="1" ht="19.5" customHeight="1">
      <c r="A297" s="8">
        <v>295</v>
      </c>
      <c r="B297" s="8" t="str">
        <f>"21902020071418002427216"</f>
        <v>21902020071418002427216</v>
      </c>
      <c r="C297" s="8" t="s">
        <v>8</v>
      </c>
      <c r="D297" s="8" t="str">
        <f>"符月芬"</f>
        <v>符月芬</v>
      </c>
      <c r="E297" s="8" t="str">
        <f aca="true" t="shared" si="63" ref="E297:E302">"女"</f>
        <v>女</v>
      </c>
    </row>
    <row r="298" spans="1:5" s="3" customFormat="1" ht="19.5" customHeight="1">
      <c r="A298" s="8">
        <v>296</v>
      </c>
      <c r="B298" s="8" t="str">
        <f>"21902020071419364227343"</f>
        <v>21902020071419364227343</v>
      </c>
      <c r="C298" s="8" t="s">
        <v>8</v>
      </c>
      <c r="D298" s="8" t="str">
        <f>"羊锦瑶"</f>
        <v>羊锦瑶</v>
      </c>
      <c r="E298" s="8" t="str">
        <f aca="true" t="shared" si="64" ref="E298:E300">"男"</f>
        <v>男</v>
      </c>
    </row>
    <row r="299" spans="1:5" s="3" customFormat="1" ht="19.5" customHeight="1">
      <c r="A299" s="8">
        <v>297</v>
      </c>
      <c r="B299" s="8" t="str">
        <f>"21902020071421100327451"</f>
        <v>21902020071421100327451</v>
      </c>
      <c r="C299" s="8" t="s">
        <v>8</v>
      </c>
      <c r="D299" s="8" t="str">
        <f>" 陈广亮"</f>
        <v> 陈广亮</v>
      </c>
      <c r="E299" s="8" t="str">
        <f t="shared" si="64"/>
        <v>男</v>
      </c>
    </row>
    <row r="300" spans="1:5" s="3" customFormat="1" ht="19.5" customHeight="1">
      <c r="A300" s="8">
        <v>298</v>
      </c>
      <c r="B300" s="8" t="str">
        <f>"21902020071422073327504"</f>
        <v>21902020071422073327504</v>
      </c>
      <c r="C300" s="8" t="s">
        <v>8</v>
      </c>
      <c r="D300" s="8" t="str">
        <f>"陆新风"</f>
        <v>陆新风</v>
      </c>
      <c r="E300" s="8" t="str">
        <f t="shared" si="64"/>
        <v>男</v>
      </c>
    </row>
    <row r="301" spans="1:5" s="3" customFormat="1" ht="19.5" customHeight="1">
      <c r="A301" s="8">
        <v>299</v>
      </c>
      <c r="B301" s="8" t="str">
        <f>"21902020071422081127507"</f>
        <v>21902020071422081127507</v>
      </c>
      <c r="C301" s="8" t="s">
        <v>8</v>
      </c>
      <c r="D301" s="8" t="str">
        <f>"郑雄月"</f>
        <v>郑雄月</v>
      </c>
      <c r="E301" s="8" t="str">
        <f t="shared" si="63"/>
        <v>女</v>
      </c>
    </row>
    <row r="302" spans="1:5" s="3" customFormat="1" ht="19.5" customHeight="1">
      <c r="A302" s="8">
        <v>300</v>
      </c>
      <c r="B302" s="8" t="str">
        <f>"21902020071422114927518"</f>
        <v>21902020071422114927518</v>
      </c>
      <c r="C302" s="8" t="s">
        <v>8</v>
      </c>
      <c r="D302" s="8" t="str">
        <f>"陈雅"</f>
        <v>陈雅</v>
      </c>
      <c r="E302" s="8" t="str">
        <f t="shared" si="63"/>
        <v>女</v>
      </c>
    </row>
    <row r="303" spans="1:5" s="3" customFormat="1" ht="19.5" customHeight="1">
      <c r="A303" s="8">
        <v>301</v>
      </c>
      <c r="B303" s="8" t="str">
        <f>"21902020071422252627537"</f>
        <v>21902020071422252627537</v>
      </c>
      <c r="C303" s="8" t="s">
        <v>8</v>
      </c>
      <c r="D303" s="8" t="str">
        <f>"李珍峰"</f>
        <v>李珍峰</v>
      </c>
      <c r="E303" s="8" t="str">
        <f aca="true" t="shared" si="65" ref="E303:E306">"男"</f>
        <v>男</v>
      </c>
    </row>
    <row r="304" spans="1:5" s="3" customFormat="1" ht="19.5" customHeight="1">
      <c r="A304" s="8">
        <v>302</v>
      </c>
      <c r="B304" s="8" t="str">
        <f>"21902020071423291527616"</f>
        <v>21902020071423291527616</v>
      </c>
      <c r="C304" s="8" t="s">
        <v>8</v>
      </c>
      <c r="D304" s="8" t="str">
        <f>"吴造喜"</f>
        <v>吴造喜</v>
      </c>
      <c r="E304" s="8" t="str">
        <f t="shared" si="65"/>
        <v>男</v>
      </c>
    </row>
    <row r="305" spans="1:5" s="3" customFormat="1" ht="19.5" customHeight="1">
      <c r="A305" s="8">
        <v>303</v>
      </c>
      <c r="B305" s="8" t="str">
        <f>"21902020071501125727652"</f>
        <v>21902020071501125727652</v>
      </c>
      <c r="C305" s="8" t="s">
        <v>8</v>
      </c>
      <c r="D305" s="8" t="str">
        <f>"苏定民"</f>
        <v>苏定民</v>
      </c>
      <c r="E305" s="8" t="str">
        <f t="shared" si="65"/>
        <v>男</v>
      </c>
    </row>
    <row r="306" spans="1:5" s="3" customFormat="1" ht="19.5" customHeight="1">
      <c r="A306" s="8">
        <v>304</v>
      </c>
      <c r="B306" s="8" t="str">
        <f>"21902020071509201727767"</f>
        <v>21902020071509201727767</v>
      </c>
      <c r="C306" s="8" t="s">
        <v>8</v>
      </c>
      <c r="D306" s="8" t="str">
        <f>"谭德周"</f>
        <v>谭德周</v>
      </c>
      <c r="E306" s="8" t="str">
        <f t="shared" si="65"/>
        <v>男</v>
      </c>
    </row>
    <row r="307" spans="1:5" s="3" customFormat="1" ht="19.5" customHeight="1">
      <c r="A307" s="8">
        <v>305</v>
      </c>
      <c r="B307" s="8" t="str">
        <f>"21902020071509384027790"</f>
        <v>21902020071509384027790</v>
      </c>
      <c r="C307" s="8" t="s">
        <v>8</v>
      </c>
      <c r="D307" s="8" t="str">
        <f>"黄渊"</f>
        <v>黄渊</v>
      </c>
      <c r="E307" s="8" t="str">
        <f aca="true" t="shared" si="66" ref="E307:E310">"女"</f>
        <v>女</v>
      </c>
    </row>
    <row r="308" spans="1:5" s="3" customFormat="1" ht="19.5" customHeight="1">
      <c r="A308" s="8">
        <v>306</v>
      </c>
      <c r="B308" s="8" t="str">
        <f>"21902020071511105827938"</f>
        <v>21902020071511105827938</v>
      </c>
      <c r="C308" s="8" t="s">
        <v>8</v>
      </c>
      <c r="D308" s="8" t="str">
        <f>"羊顺球"</f>
        <v>羊顺球</v>
      </c>
      <c r="E308" s="8" t="str">
        <f t="shared" si="66"/>
        <v>女</v>
      </c>
    </row>
    <row r="309" spans="1:5" s="3" customFormat="1" ht="19.5" customHeight="1">
      <c r="A309" s="8">
        <v>307</v>
      </c>
      <c r="B309" s="8" t="str">
        <f>"21902020071511155427941"</f>
        <v>21902020071511155427941</v>
      </c>
      <c r="C309" s="8" t="s">
        <v>8</v>
      </c>
      <c r="D309" s="8" t="str">
        <f>"黄顺珍"</f>
        <v>黄顺珍</v>
      </c>
      <c r="E309" s="8" t="str">
        <f t="shared" si="66"/>
        <v>女</v>
      </c>
    </row>
    <row r="310" spans="1:5" s="3" customFormat="1" ht="19.5" customHeight="1">
      <c r="A310" s="8">
        <v>308</v>
      </c>
      <c r="B310" s="8" t="str">
        <f>"21902020071511323627965"</f>
        <v>21902020071511323627965</v>
      </c>
      <c r="C310" s="8" t="s">
        <v>8</v>
      </c>
      <c r="D310" s="8" t="str">
        <f>"肖方兰"</f>
        <v>肖方兰</v>
      </c>
      <c r="E310" s="8" t="str">
        <f t="shared" si="66"/>
        <v>女</v>
      </c>
    </row>
    <row r="311" spans="1:5" s="3" customFormat="1" ht="19.5" customHeight="1">
      <c r="A311" s="8">
        <v>309</v>
      </c>
      <c r="B311" s="8" t="str">
        <f>"21902020071511503027991"</f>
        <v>21902020071511503027991</v>
      </c>
      <c r="C311" s="8" t="s">
        <v>8</v>
      </c>
      <c r="D311" s="8" t="str">
        <f>"洪典安"</f>
        <v>洪典安</v>
      </c>
      <c r="E311" s="8" t="str">
        <f aca="true" t="shared" si="67" ref="E311:E315">"男"</f>
        <v>男</v>
      </c>
    </row>
    <row r="312" spans="1:5" s="3" customFormat="1" ht="19.5" customHeight="1">
      <c r="A312" s="8">
        <v>310</v>
      </c>
      <c r="B312" s="8" t="str">
        <f>"21902020071514150328109"</f>
        <v>21902020071514150328109</v>
      </c>
      <c r="C312" s="8" t="s">
        <v>8</v>
      </c>
      <c r="D312" s="8" t="str">
        <f>"何承良"</f>
        <v>何承良</v>
      </c>
      <c r="E312" s="8" t="str">
        <f t="shared" si="67"/>
        <v>男</v>
      </c>
    </row>
    <row r="313" spans="1:5" s="3" customFormat="1" ht="19.5" customHeight="1">
      <c r="A313" s="8">
        <v>311</v>
      </c>
      <c r="B313" s="8" t="str">
        <f>"21902020071514340128120"</f>
        <v>21902020071514340128120</v>
      </c>
      <c r="C313" s="8" t="s">
        <v>8</v>
      </c>
      <c r="D313" s="8" t="str">
        <f>"符喜琛"</f>
        <v>符喜琛</v>
      </c>
      <c r="E313" s="8" t="str">
        <f t="shared" si="67"/>
        <v>男</v>
      </c>
    </row>
    <row r="314" spans="1:5" s="3" customFormat="1" ht="19.5" customHeight="1">
      <c r="A314" s="8">
        <v>312</v>
      </c>
      <c r="B314" s="8" t="str">
        <f>"21902020071515232228169"</f>
        <v>21902020071515232228169</v>
      </c>
      <c r="C314" s="8" t="s">
        <v>8</v>
      </c>
      <c r="D314" s="8" t="str">
        <f>"钱光耀"</f>
        <v>钱光耀</v>
      </c>
      <c r="E314" s="8" t="str">
        <f t="shared" si="67"/>
        <v>男</v>
      </c>
    </row>
    <row r="315" spans="1:5" s="3" customFormat="1" ht="19.5" customHeight="1">
      <c r="A315" s="8">
        <v>313</v>
      </c>
      <c r="B315" s="8" t="str">
        <f>"21902020071516450028275"</f>
        <v>21902020071516450028275</v>
      </c>
      <c r="C315" s="8" t="s">
        <v>8</v>
      </c>
      <c r="D315" s="8" t="str">
        <f>"陈文书"</f>
        <v>陈文书</v>
      </c>
      <c r="E315" s="8" t="str">
        <f t="shared" si="67"/>
        <v>男</v>
      </c>
    </row>
    <row r="316" spans="1:5" s="3" customFormat="1" ht="19.5" customHeight="1">
      <c r="A316" s="8">
        <v>314</v>
      </c>
      <c r="B316" s="8" t="str">
        <f>"21902020071516544728287"</f>
        <v>21902020071516544728287</v>
      </c>
      <c r="C316" s="8" t="s">
        <v>8</v>
      </c>
      <c r="D316" s="8" t="str">
        <f>"陈燕燕"</f>
        <v>陈燕燕</v>
      </c>
      <c r="E316" s="8" t="str">
        <f aca="true" t="shared" si="68" ref="E316:E318">"女"</f>
        <v>女</v>
      </c>
    </row>
    <row r="317" spans="1:5" s="3" customFormat="1" ht="19.5" customHeight="1">
      <c r="A317" s="8">
        <v>315</v>
      </c>
      <c r="B317" s="8" t="str">
        <f>"21902020071517332728330"</f>
        <v>21902020071517332728330</v>
      </c>
      <c r="C317" s="8" t="s">
        <v>8</v>
      </c>
      <c r="D317" s="8" t="str">
        <f>"何美秀"</f>
        <v>何美秀</v>
      </c>
      <c r="E317" s="8" t="str">
        <f t="shared" si="68"/>
        <v>女</v>
      </c>
    </row>
    <row r="318" spans="1:5" s="3" customFormat="1" ht="19.5" customHeight="1">
      <c r="A318" s="8">
        <v>316</v>
      </c>
      <c r="B318" s="8" t="str">
        <f>"21902020071518170428366"</f>
        <v>21902020071518170428366</v>
      </c>
      <c r="C318" s="8" t="s">
        <v>8</v>
      </c>
      <c r="D318" s="8" t="str">
        <f>"符欣"</f>
        <v>符欣</v>
      </c>
      <c r="E318" s="8" t="str">
        <f t="shared" si="68"/>
        <v>女</v>
      </c>
    </row>
    <row r="319" spans="1:5" s="3" customFormat="1" ht="19.5" customHeight="1">
      <c r="A319" s="8">
        <v>317</v>
      </c>
      <c r="B319" s="8" t="str">
        <f>"21902020071519151828409"</f>
        <v>21902020071519151828409</v>
      </c>
      <c r="C319" s="8" t="s">
        <v>8</v>
      </c>
      <c r="D319" s="8" t="str">
        <f>"高元兴"</f>
        <v>高元兴</v>
      </c>
      <c r="E319" s="8" t="str">
        <f aca="true" t="shared" si="69" ref="E319:E330">"男"</f>
        <v>男</v>
      </c>
    </row>
    <row r="320" spans="1:5" s="3" customFormat="1" ht="19.5" customHeight="1">
      <c r="A320" s="8">
        <v>318</v>
      </c>
      <c r="B320" s="8" t="str">
        <f>"21902020071519292628417"</f>
        <v>21902020071519292628417</v>
      </c>
      <c r="C320" s="8" t="s">
        <v>8</v>
      </c>
      <c r="D320" s="8" t="str">
        <f>"谢怡"</f>
        <v>谢怡</v>
      </c>
      <c r="E320" s="8" t="str">
        <f t="shared" si="69"/>
        <v>男</v>
      </c>
    </row>
    <row r="321" spans="1:5" s="3" customFormat="1" ht="19.5" customHeight="1">
      <c r="A321" s="8">
        <v>319</v>
      </c>
      <c r="B321" s="8" t="str">
        <f>"21902020071519363428422"</f>
        <v>21902020071519363428422</v>
      </c>
      <c r="C321" s="8" t="s">
        <v>8</v>
      </c>
      <c r="D321" s="8" t="str">
        <f>"李乃果"</f>
        <v>李乃果</v>
      </c>
      <c r="E321" s="8" t="str">
        <f t="shared" si="69"/>
        <v>男</v>
      </c>
    </row>
    <row r="322" spans="1:5" s="3" customFormat="1" ht="19.5" customHeight="1">
      <c r="A322" s="8">
        <v>320</v>
      </c>
      <c r="B322" s="8" t="str">
        <f>"21902020071520571228493"</f>
        <v>21902020071520571228493</v>
      </c>
      <c r="C322" s="8" t="s">
        <v>8</v>
      </c>
      <c r="D322" s="8" t="str">
        <f>"黄权圣"</f>
        <v>黄权圣</v>
      </c>
      <c r="E322" s="8" t="str">
        <f t="shared" si="69"/>
        <v>男</v>
      </c>
    </row>
    <row r="323" spans="1:5" s="3" customFormat="1" ht="19.5" customHeight="1">
      <c r="A323" s="8">
        <v>321</v>
      </c>
      <c r="B323" s="8" t="str">
        <f>"21902020071521085628504"</f>
        <v>21902020071521085628504</v>
      </c>
      <c r="C323" s="8" t="s">
        <v>8</v>
      </c>
      <c r="D323" s="8" t="str">
        <f>"黄杰帅"</f>
        <v>黄杰帅</v>
      </c>
      <c r="E323" s="8" t="str">
        <f t="shared" si="69"/>
        <v>男</v>
      </c>
    </row>
    <row r="324" spans="1:5" s="3" customFormat="1" ht="19.5" customHeight="1">
      <c r="A324" s="8">
        <v>322</v>
      </c>
      <c r="B324" s="8" t="str">
        <f>"21902020071521203828512"</f>
        <v>21902020071521203828512</v>
      </c>
      <c r="C324" s="8" t="s">
        <v>8</v>
      </c>
      <c r="D324" s="8" t="str">
        <f>"邓秀金"</f>
        <v>邓秀金</v>
      </c>
      <c r="E324" s="8" t="str">
        <f t="shared" si="69"/>
        <v>男</v>
      </c>
    </row>
    <row r="325" spans="1:5" s="3" customFormat="1" ht="19.5" customHeight="1">
      <c r="A325" s="8">
        <v>323</v>
      </c>
      <c r="B325" s="8" t="str">
        <f>"21902020071521573928540"</f>
        <v>21902020071521573928540</v>
      </c>
      <c r="C325" s="8" t="s">
        <v>8</v>
      </c>
      <c r="D325" s="8" t="str">
        <f>"薛公祝"</f>
        <v>薛公祝</v>
      </c>
      <c r="E325" s="8" t="str">
        <f t="shared" si="69"/>
        <v>男</v>
      </c>
    </row>
    <row r="326" spans="1:5" s="3" customFormat="1" ht="19.5" customHeight="1">
      <c r="A326" s="8">
        <v>324</v>
      </c>
      <c r="B326" s="8" t="str">
        <f>"21902020071522241028570"</f>
        <v>21902020071522241028570</v>
      </c>
      <c r="C326" s="8" t="s">
        <v>8</v>
      </c>
      <c r="D326" s="8" t="str">
        <f>"谭德福"</f>
        <v>谭德福</v>
      </c>
      <c r="E326" s="8" t="str">
        <f t="shared" si="69"/>
        <v>男</v>
      </c>
    </row>
    <row r="327" spans="1:5" s="3" customFormat="1" ht="19.5" customHeight="1">
      <c r="A327" s="8">
        <v>325</v>
      </c>
      <c r="B327" s="8" t="str">
        <f>"21902020071522263928573"</f>
        <v>21902020071522263928573</v>
      </c>
      <c r="C327" s="8" t="s">
        <v>8</v>
      </c>
      <c r="D327" s="8" t="str">
        <f>"符建颖"</f>
        <v>符建颖</v>
      </c>
      <c r="E327" s="8" t="str">
        <f t="shared" si="69"/>
        <v>男</v>
      </c>
    </row>
    <row r="328" spans="1:5" s="3" customFormat="1" ht="19.5" customHeight="1">
      <c r="A328" s="8">
        <v>326</v>
      </c>
      <c r="B328" s="8" t="str">
        <f>"21902020071522391628587"</f>
        <v>21902020071522391628587</v>
      </c>
      <c r="C328" s="8" t="s">
        <v>8</v>
      </c>
      <c r="D328" s="8" t="str">
        <f>"黄东梁"</f>
        <v>黄东梁</v>
      </c>
      <c r="E328" s="8" t="str">
        <f t="shared" si="69"/>
        <v>男</v>
      </c>
    </row>
    <row r="329" spans="1:5" s="3" customFormat="1" ht="19.5" customHeight="1">
      <c r="A329" s="8">
        <v>327</v>
      </c>
      <c r="B329" s="8" t="str">
        <f>"21902020071608383228684"</f>
        <v>21902020071608383228684</v>
      </c>
      <c r="C329" s="8" t="s">
        <v>8</v>
      </c>
      <c r="D329" s="8" t="str">
        <f>"赵运阳"</f>
        <v>赵运阳</v>
      </c>
      <c r="E329" s="8" t="str">
        <f t="shared" si="69"/>
        <v>男</v>
      </c>
    </row>
    <row r="330" spans="1:5" s="3" customFormat="1" ht="19.5" customHeight="1">
      <c r="A330" s="8">
        <v>328</v>
      </c>
      <c r="B330" s="8" t="str">
        <f>"21902020071609265428722"</f>
        <v>21902020071609265428722</v>
      </c>
      <c r="C330" s="8" t="s">
        <v>8</v>
      </c>
      <c r="D330" s="8" t="str">
        <f>"朱洺利"</f>
        <v>朱洺利</v>
      </c>
      <c r="E330" s="8" t="str">
        <f t="shared" si="69"/>
        <v>男</v>
      </c>
    </row>
    <row r="331" spans="1:5" s="3" customFormat="1" ht="19.5" customHeight="1">
      <c r="A331" s="8">
        <v>329</v>
      </c>
      <c r="B331" s="8" t="str">
        <f>"21902020071614423728955"</f>
        <v>21902020071614423728955</v>
      </c>
      <c r="C331" s="8" t="s">
        <v>8</v>
      </c>
      <c r="D331" s="8" t="str">
        <f>"黄钰"</f>
        <v>黄钰</v>
      </c>
      <c r="E331" s="8" t="str">
        <f>"女"</f>
        <v>女</v>
      </c>
    </row>
    <row r="332" spans="1:5" s="3" customFormat="1" ht="19.5" customHeight="1">
      <c r="A332" s="8">
        <v>330</v>
      </c>
      <c r="B332" s="8" t="str">
        <f>"21902020071616353729061"</f>
        <v>21902020071616353729061</v>
      </c>
      <c r="C332" s="8" t="s">
        <v>8</v>
      </c>
      <c r="D332" s="8" t="str">
        <f>"陈步贵"</f>
        <v>陈步贵</v>
      </c>
      <c r="E332" s="8" t="str">
        <f aca="true" t="shared" si="70" ref="E332:E336">"男"</f>
        <v>男</v>
      </c>
    </row>
    <row r="333" spans="1:5" s="3" customFormat="1" ht="19.5" customHeight="1">
      <c r="A333" s="8">
        <v>331</v>
      </c>
      <c r="B333" s="8" t="str">
        <f>"21902020071617381729118"</f>
        <v>21902020071617381729118</v>
      </c>
      <c r="C333" s="8" t="s">
        <v>8</v>
      </c>
      <c r="D333" s="8" t="str">
        <f>"林鸿新"</f>
        <v>林鸿新</v>
      </c>
      <c r="E333" s="8" t="str">
        <f t="shared" si="70"/>
        <v>男</v>
      </c>
    </row>
    <row r="334" spans="1:5" s="3" customFormat="1" ht="19.5" customHeight="1">
      <c r="A334" s="8">
        <v>332</v>
      </c>
      <c r="B334" s="8" t="str">
        <f>"21902020071617483629124"</f>
        <v>21902020071617483629124</v>
      </c>
      <c r="C334" s="8" t="s">
        <v>8</v>
      </c>
      <c r="D334" s="8" t="str">
        <f>"庄光鸿"</f>
        <v>庄光鸿</v>
      </c>
      <c r="E334" s="8" t="str">
        <f t="shared" si="70"/>
        <v>男</v>
      </c>
    </row>
    <row r="335" spans="1:5" s="3" customFormat="1" ht="19.5" customHeight="1">
      <c r="A335" s="8">
        <v>333</v>
      </c>
      <c r="B335" s="8" t="str">
        <f>"21902020071618342729146"</f>
        <v>21902020071618342729146</v>
      </c>
      <c r="C335" s="8" t="s">
        <v>8</v>
      </c>
      <c r="D335" s="8" t="str">
        <f>"刘佳奇"</f>
        <v>刘佳奇</v>
      </c>
      <c r="E335" s="8" t="str">
        <f t="shared" si="70"/>
        <v>男</v>
      </c>
    </row>
    <row r="336" spans="1:5" s="3" customFormat="1" ht="19.5" customHeight="1">
      <c r="A336" s="8">
        <v>334</v>
      </c>
      <c r="B336" s="8" t="str">
        <f>"21902020071619191729164"</f>
        <v>21902020071619191729164</v>
      </c>
      <c r="C336" s="8" t="s">
        <v>8</v>
      </c>
      <c r="D336" s="8" t="str">
        <f>"吴林贤"</f>
        <v>吴林贤</v>
      </c>
      <c r="E336" s="8" t="str">
        <f t="shared" si="70"/>
        <v>男</v>
      </c>
    </row>
    <row r="337" spans="1:5" s="3" customFormat="1" ht="19.5" customHeight="1">
      <c r="A337" s="8">
        <v>335</v>
      </c>
      <c r="B337" s="8" t="str">
        <f>"21902020071620434029207"</f>
        <v>21902020071620434029207</v>
      </c>
      <c r="C337" s="8" t="s">
        <v>8</v>
      </c>
      <c r="D337" s="8" t="str">
        <f>"童玄"</f>
        <v>童玄</v>
      </c>
      <c r="E337" s="8" t="str">
        <f>"女"</f>
        <v>女</v>
      </c>
    </row>
    <row r="338" spans="1:5" s="3" customFormat="1" ht="19.5" customHeight="1">
      <c r="A338" s="8">
        <v>336</v>
      </c>
      <c r="B338" s="8" t="str">
        <f>"21902020071622194629257"</f>
        <v>21902020071622194629257</v>
      </c>
      <c r="C338" s="8" t="s">
        <v>8</v>
      </c>
      <c r="D338" s="8" t="str">
        <f>"蒋荣宣"</f>
        <v>蒋荣宣</v>
      </c>
      <c r="E338" s="8" t="str">
        <f aca="true" t="shared" si="71" ref="E338:E341">"男"</f>
        <v>男</v>
      </c>
    </row>
    <row r="339" spans="1:5" s="3" customFormat="1" ht="19.5" customHeight="1">
      <c r="A339" s="8">
        <v>337</v>
      </c>
      <c r="B339" s="8" t="str">
        <f>"21902020071622491429273"</f>
        <v>21902020071622491429273</v>
      </c>
      <c r="C339" s="8" t="s">
        <v>8</v>
      </c>
      <c r="D339" s="8" t="str">
        <f>"陈宣"</f>
        <v>陈宣</v>
      </c>
      <c r="E339" s="8" t="str">
        <f t="shared" si="71"/>
        <v>男</v>
      </c>
    </row>
    <row r="340" spans="1:5" s="3" customFormat="1" ht="19.5" customHeight="1">
      <c r="A340" s="8">
        <v>338</v>
      </c>
      <c r="B340" s="8" t="str">
        <f>"21902020071622593829277"</f>
        <v>21902020071622593829277</v>
      </c>
      <c r="C340" s="8" t="s">
        <v>8</v>
      </c>
      <c r="D340" s="8" t="str">
        <f>"陈强"</f>
        <v>陈强</v>
      </c>
      <c r="E340" s="8" t="str">
        <f t="shared" si="71"/>
        <v>男</v>
      </c>
    </row>
    <row r="341" spans="1:5" s="3" customFormat="1" ht="19.5" customHeight="1">
      <c r="A341" s="8">
        <v>339</v>
      </c>
      <c r="B341" s="8" t="str">
        <f>"21902020071623484729301"</f>
        <v>21902020071623484729301</v>
      </c>
      <c r="C341" s="8" t="s">
        <v>8</v>
      </c>
      <c r="D341" s="8" t="str">
        <f>"符洛珍"</f>
        <v>符洛珍</v>
      </c>
      <c r="E341" s="8" t="str">
        <f t="shared" si="71"/>
        <v>男</v>
      </c>
    </row>
    <row r="342" spans="1:5" s="3" customFormat="1" ht="19.5" customHeight="1">
      <c r="A342" s="8">
        <v>340</v>
      </c>
      <c r="B342" s="8" t="str">
        <f>"21902020071708230529328"</f>
        <v>21902020071708230529328</v>
      </c>
      <c r="C342" s="8" t="s">
        <v>8</v>
      </c>
      <c r="D342" s="8" t="str">
        <f>"刘燕达"</f>
        <v>刘燕达</v>
      </c>
      <c r="E342" s="8" t="str">
        <f aca="true" t="shared" si="72" ref="E342:E348">"女"</f>
        <v>女</v>
      </c>
    </row>
    <row r="343" spans="1:5" s="3" customFormat="1" ht="19.5" customHeight="1">
      <c r="A343" s="8">
        <v>341</v>
      </c>
      <c r="B343" s="8" t="str">
        <f>"21902020071708435429337"</f>
        <v>21902020071708435429337</v>
      </c>
      <c r="C343" s="8" t="s">
        <v>8</v>
      </c>
      <c r="D343" s="8" t="str">
        <f>"符少婷"</f>
        <v>符少婷</v>
      </c>
      <c r="E343" s="8" t="str">
        <f t="shared" si="72"/>
        <v>女</v>
      </c>
    </row>
    <row r="344" spans="1:5" s="3" customFormat="1" ht="19.5" customHeight="1">
      <c r="A344" s="8">
        <v>342</v>
      </c>
      <c r="B344" s="8" t="str">
        <f>"21902020071710285329408"</f>
        <v>21902020071710285329408</v>
      </c>
      <c r="C344" s="8" t="s">
        <v>8</v>
      </c>
      <c r="D344" s="8" t="str">
        <f>"万雄博"</f>
        <v>万雄博</v>
      </c>
      <c r="E344" s="8" t="str">
        <f aca="true" t="shared" si="73" ref="E344:E351">"男"</f>
        <v>男</v>
      </c>
    </row>
    <row r="345" spans="1:5" s="3" customFormat="1" ht="19.5" customHeight="1">
      <c r="A345" s="8">
        <v>343</v>
      </c>
      <c r="B345" s="8" t="str">
        <f>"21902020071710364929413"</f>
        <v>21902020071710364929413</v>
      </c>
      <c r="C345" s="8" t="s">
        <v>8</v>
      </c>
      <c r="D345" s="8" t="str">
        <f>"黄世明"</f>
        <v>黄世明</v>
      </c>
      <c r="E345" s="8" t="str">
        <f t="shared" si="73"/>
        <v>男</v>
      </c>
    </row>
    <row r="346" spans="1:5" s="3" customFormat="1" ht="19.5" customHeight="1">
      <c r="A346" s="8">
        <v>344</v>
      </c>
      <c r="B346" s="8" t="str">
        <f>"21902020071711022129434"</f>
        <v>21902020071711022129434</v>
      </c>
      <c r="C346" s="8" t="s">
        <v>8</v>
      </c>
      <c r="D346" s="8" t="str">
        <f>"符丽佩"</f>
        <v>符丽佩</v>
      </c>
      <c r="E346" s="8" t="str">
        <f t="shared" si="72"/>
        <v>女</v>
      </c>
    </row>
    <row r="347" spans="1:5" s="3" customFormat="1" ht="19.5" customHeight="1">
      <c r="A347" s="8">
        <v>345</v>
      </c>
      <c r="B347" s="8" t="str">
        <f>"21902020071711412429463"</f>
        <v>21902020071711412429463</v>
      </c>
      <c r="C347" s="8" t="s">
        <v>8</v>
      </c>
      <c r="D347" s="8" t="str">
        <f>"廖琼青"</f>
        <v>廖琼青</v>
      </c>
      <c r="E347" s="8" t="str">
        <f t="shared" si="72"/>
        <v>女</v>
      </c>
    </row>
    <row r="348" spans="1:5" s="3" customFormat="1" ht="19.5" customHeight="1">
      <c r="A348" s="8">
        <v>346</v>
      </c>
      <c r="B348" s="8" t="str">
        <f>"21902020071713104229516"</f>
        <v>21902020071713104229516</v>
      </c>
      <c r="C348" s="8" t="s">
        <v>8</v>
      </c>
      <c r="D348" s="8" t="str">
        <f>"陈菊香"</f>
        <v>陈菊香</v>
      </c>
      <c r="E348" s="8" t="str">
        <f t="shared" si="72"/>
        <v>女</v>
      </c>
    </row>
    <row r="349" spans="1:5" s="3" customFormat="1" ht="19.5" customHeight="1">
      <c r="A349" s="8">
        <v>347</v>
      </c>
      <c r="B349" s="8" t="str">
        <f>"21902020071714124429543"</f>
        <v>21902020071714124429543</v>
      </c>
      <c r="C349" s="8" t="s">
        <v>8</v>
      </c>
      <c r="D349" s="8" t="str">
        <f>"郑承永"</f>
        <v>郑承永</v>
      </c>
      <c r="E349" s="8" t="str">
        <f t="shared" si="73"/>
        <v>男</v>
      </c>
    </row>
    <row r="350" spans="1:5" s="3" customFormat="1" ht="19.5" customHeight="1">
      <c r="A350" s="8">
        <v>348</v>
      </c>
      <c r="B350" s="8" t="str">
        <f>"21902020071716533429656"</f>
        <v>21902020071716533429656</v>
      </c>
      <c r="C350" s="8" t="s">
        <v>8</v>
      </c>
      <c r="D350" s="8" t="str">
        <f>"彭国东"</f>
        <v>彭国东</v>
      </c>
      <c r="E350" s="8" t="str">
        <f t="shared" si="73"/>
        <v>男</v>
      </c>
    </row>
    <row r="351" spans="1:5" s="3" customFormat="1" ht="19.5" customHeight="1">
      <c r="A351" s="8">
        <v>349</v>
      </c>
      <c r="B351" s="8" t="str">
        <f>"21902020071716573929660"</f>
        <v>21902020071716573929660</v>
      </c>
      <c r="C351" s="8" t="s">
        <v>8</v>
      </c>
      <c r="D351" s="8" t="str">
        <f>"江信泉"</f>
        <v>江信泉</v>
      </c>
      <c r="E351" s="8" t="str">
        <f t="shared" si="73"/>
        <v>男</v>
      </c>
    </row>
    <row r="352" spans="1:5" s="3" customFormat="1" ht="19.5" customHeight="1">
      <c r="A352" s="8">
        <v>350</v>
      </c>
      <c r="B352" s="8" t="str">
        <f>"21902020071721261529752"</f>
        <v>21902020071721261529752</v>
      </c>
      <c r="C352" s="8" t="s">
        <v>8</v>
      </c>
      <c r="D352" s="8" t="str">
        <f>"林玲玉"</f>
        <v>林玲玉</v>
      </c>
      <c r="E352" s="8" t="str">
        <f aca="true" t="shared" si="74" ref="E352:E357">"女"</f>
        <v>女</v>
      </c>
    </row>
    <row r="353" spans="1:5" s="3" customFormat="1" ht="19.5" customHeight="1">
      <c r="A353" s="8">
        <v>351</v>
      </c>
      <c r="B353" s="8" t="str">
        <f>"21902020071722505029788"</f>
        <v>21902020071722505029788</v>
      </c>
      <c r="C353" s="8" t="s">
        <v>8</v>
      </c>
      <c r="D353" s="8" t="str">
        <f>"谢李蓉"</f>
        <v>谢李蓉</v>
      </c>
      <c r="E353" s="8" t="str">
        <f t="shared" si="74"/>
        <v>女</v>
      </c>
    </row>
    <row r="354" spans="1:5" s="3" customFormat="1" ht="19.5" customHeight="1">
      <c r="A354" s="8">
        <v>352</v>
      </c>
      <c r="B354" s="8" t="str">
        <f>"21902020071812344329892"</f>
        <v>21902020071812344329892</v>
      </c>
      <c r="C354" s="8" t="s">
        <v>8</v>
      </c>
      <c r="D354" s="8" t="str">
        <f>"王明和"</f>
        <v>王明和</v>
      </c>
      <c r="E354" s="8" t="str">
        <f aca="true" t="shared" si="75" ref="E354:E356">"男"</f>
        <v>男</v>
      </c>
    </row>
    <row r="355" spans="1:5" s="3" customFormat="1" ht="19.5" customHeight="1">
      <c r="A355" s="8">
        <v>353</v>
      </c>
      <c r="B355" s="8" t="str">
        <f>"21902020071813135129909"</f>
        <v>21902020071813135129909</v>
      </c>
      <c r="C355" s="8" t="s">
        <v>8</v>
      </c>
      <c r="D355" s="8" t="str">
        <f>"许玮伯"</f>
        <v>许玮伯</v>
      </c>
      <c r="E355" s="8" t="str">
        <f t="shared" si="75"/>
        <v>男</v>
      </c>
    </row>
    <row r="356" spans="1:5" s="3" customFormat="1" ht="19.5" customHeight="1">
      <c r="A356" s="8">
        <v>354</v>
      </c>
      <c r="B356" s="8" t="str">
        <f>"21902020071815570829965"</f>
        <v>21902020071815570829965</v>
      </c>
      <c r="C356" s="8" t="s">
        <v>8</v>
      </c>
      <c r="D356" s="8" t="str">
        <f>"陈敏聪"</f>
        <v>陈敏聪</v>
      </c>
      <c r="E356" s="8" t="str">
        <f t="shared" si="75"/>
        <v>男</v>
      </c>
    </row>
    <row r="357" spans="1:5" s="3" customFormat="1" ht="19.5" customHeight="1">
      <c r="A357" s="8">
        <v>355</v>
      </c>
      <c r="B357" s="8" t="str">
        <f>"21902020071912082730155"</f>
        <v>21902020071912082730155</v>
      </c>
      <c r="C357" s="8" t="s">
        <v>8</v>
      </c>
      <c r="D357" s="8" t="str">
        <f>"潘秋妹"</f>
        <v>潘秋妹</v>
      </c>
      <c r="E357" s="8" t="str">
        <f t="shared" si="74"/>
        <v>女</v>
      </c>
    </row>
    <row r="358" spans="1:5" s="3" customFormat="1" ht="19.5" customHeight="1">
      <c r="A358" s="8">
        <v>356</v>
      </c>
      <c r="B358" s="8" t="str">
        <f>"21902020071920482930336"</f>
        <v>21902020071920482930336</v>
      </c>
      <c r="C358" s="8" t="s">
        <v>8</v>
      </c>
      <c r="D358" s="8" t="str">
        <f>"林大旺"</f>
        <v>林大旺</v>
      </c>
      <c r="E358" s="8" t="str">
        <f aca="true" t="shared" si="76" ref="E358:E363">"男"</f>
        <v>男</v>
      </c>
    </row>
    <row r="359" spans="1:5" s="3" customFormat="1" ht="19.5" customHeight="1">
      <c r="A359" s="8">
        <v>357</v>
      </c>
      <c r="B359" s="8" t="str">
        <f>"21902020071922143530367"</f>
        <v>21902020071922143530367</v>
      </c>
      <c r="C359" s="8" t="s">
        <v>8</v>
      </c>
      <c r="D359" s="8" t="str">
        <f>"陈壮兰"</f>
        <v>陈壮兰</v>
      </c>
      <c r="E359" s="8" t="str">
        <f aca="true" t="shared" si="77" ref="E359:E361">"女"</f>
        <v>女</v>
      </c>
    </row>
    <row r="360" spans="1:5" s="3" customFormat="1" ht="19.5" customHeight="1">
      <c r="A360" s="8">
        <v>358</v>
      </c>
      <c r="B360" s="8" t="str">
        <f>"21902020071923191230395"</f>
        <v>21902020071923191230395</v>
      </c>
      <c r="C360" s="8" t="s">
        <v>8</v>
      </c>
      <c r="D360" s="8" t="str">
        <f>"李米"</f>
        <v>李米</v>
      </c>
      <c r="E360" s="8" t="str">
        <f t="shared" si="77"/>
        <v>女</v>
      </c>
    </row>
    <row r="361" spans="1:5" s="3" customFormat="1" ht="19.5" customHeight="1">
      <c r="A361" s="8">
        <v>359</v>
      </c>
      <c r="B361" s="8" t="str">
        <f>"21902020072008333130442"</f>
        <v>21902020072008333130442</v>
      </c>
      <c r="C361" s="8" t="s">
        <v>8</v>
      </c>
      <c r="D361" s="8" t="str">
        <f>"葛仙梅"</f>
        <v>葛仙梅</v>
      </c>
      <c r="E361" s="8" t="str">
        <f t="shared" si="77"/>
        <v>女</v>
      </c>
    </row>
    <row r="362" spans="1:5" s="3" customFormat="1" ht="19.5" customHeight="1">
      <c r="A362" s="8">
        <v>360</v>
      </c>
      <c r="B362" s="8" t="str">
        <f>"21902020072009001330451"</f>
        <v>21902020072009001330451</v>
      </c>
      <c r="C362" s="8" t="s">
        <v>8</v>
      </c>
      <c r="D362" s="8" t="str">
        <f>"李国栋"</f>
        <v>李国栋</v>
      </c>
      <c r="E362" s="8" t="str">
        <f t="shared" si="76"/>
        <v>男</v>
      </c>
    </row>
    <row r="363" spans="1:5" s="3" customFormat="1" ht="19.5" customHeight="1">
      <c r="A363" s="8">
        <v>361</v>
      </c>
      <c r="B363" s="8" t="str">
        <f>"21902020072009033830453"</f>
        <v>21902020072009033830453</v>
      </c>
      <c r="C363" s="8" t="s">
        <v>8</v>
      </c>
      <c r="D363" s="8" t="str">
        <f>"麦贤才"</f>
        <v>麦贤才</v>
      </c>
      <c r="E363" s="8" t="str">
        <f t="shared" si="76"/>
        <v>男</v>
      </c>
    </row>
    <row r="364" spans="1:5" s="3" customFormat="1" ht="19.5" customHeight="1">
      <c r="A364" s="8">
        <v>362</v>
      </c>
      <c r="B364" s="8" t="str">
        <f>"21902020072009444330497"</f>
        <v>21902020072009444330497</v>
      </c>
      <c r="C364" s="8" t="s">
        <v>8</v>
      </c>
      <c r="D364" s="8" t="str">
        <f>"吴娇琴"</f>
        <v>吴娇琴</v>
      </c>
      <c r="E364" s="8" t="str">
        <f>"女"</f>
        <v>女</v>
      </c>
    </row>
    <row r="365" spans="1:5" s="3" customFormat="1" ht="19.5" customHeight="1">
      <c r="A365" s="8">
        <v>363</v>
      </c>
      <c r="B365" s="8" t="str">
        <f>"21902020072009564530505"</f>
        <v>21902020072009564530505</v>
      </c>
      <c r="C365" s="8" t="s">
        <v>8</v>
      </c>
      <c r="D365" s="8" t="str">
        <f>"陈海洋"</f>
        <v>陈海洋</v>
      </c>
      <c r="E365" s="8" t="str">
        <f aca="true" t="shared" si="78" ref="E365:E369">"男"</f>
        <v>男</v>
      </c>
    </row>
    <row r="366" spans="1:5" s="3" customFormat="1" ht="19.5" customHeight="1">
      <c r="A366" s="8">
        <v>364</v>
      </c>
      <c r="B366" s="8" t="str">
        <f>"21902020072010114330517"</f>
        <v>21902020072010114330517</v>
      </c>
      <c r="C366" s="8" t="s">
        <v>8</v>
      </c>
      <c r="D366" s="8" t="str">
        <f>"郭占伟"</f>
        <v>郭占伟</v>
      </c>
      <c r="E366" s="8" t="str">
        <f t="shared" si="78"/>
        <v>男</v>
      </c>
    </row>
    <row r="367" spans="1:5" s="3" customFormat="1" ht="19.5" customHeight="1">
      <c r="A367" s="8">
        <v>365</v>
      </c>
      <c r="B367" s="8" t="str">
        <f>"21902020072012490630627"</f>
        <v>21902020072012490630627</v>
      </c>
      <c r="C367" s="8" t="s">
        <v>8</v>
      </c>
      <c r="D367" s="8" t="str">
        <f>"王明贤"</f>
        <v>王明贤</v>
      </c>
      <c r="E367" s="8" t="str">
        <f t="shared" si="78"/>
        <v>男</v>
      </c>
    </row>
    <row r="368" spans="1:5" s="4" customFormat="1" ht="19.5" customHeight="1">
      <c r="A368" s="8">
        <v>366</v>
      </c>
      <c r="B368" s="9" t="str">
        <f>"21902020071409014425938"</f>
        <v>21902020071409014425938</v>
      </c>
      <c r="C368" s="9" t="s">
        <v>9</v>
      </c>
      <c r="D368" s="9" t="str">
        <f>"黄明天"</f>
        <v>黄明天</v>
      </c>
      <c r="E368" s="9" t="str">
        <f t="shared" si="78"/>
        <v>男</v>
      </c>
    </row>
    <row r="369" spans="1:5" s="4" customFormat="1" ht="19.5" customHeight="1">
      <c r="A369" s="8">
        <v>367</v>
      </c>
      <c r="B369" s="9" t="str">
        <f>"21902020071409014825939"</f>
        <v>21902020071409014825939</v>
      </c>
      <c r="C369" s="9" t="s">
        <v>9</v>
      </c>
      <c r="D369" s="9" t="str">
        <f>"王文斌"</f>
        <v>王文斌</v>
      </c>
      <c r="E369" s="9" t="str">
        <f t="shared" si="78"/>
        <v>男</v>
      </c>
    </row>
    <row r="370" spans="1:5" s="4" customFormat="1" ht="19.5" customHeight="1">
      <c r="A370" s="8">
        <v>368</v>
      </c>
      <c r="B370" s="9" t="str">
        <f>"21902020071409034425953"</f>
        <v>21902020071409034425953</v>
      </c>
      <c r="C370" s="9" t="s">
        <v>9</v>
      </c>
      <c r="D370" s="9" t="str">
        <f>"许水珍"</f>
        <v>许水珍</v>
      </c>
      <c r="E370" s="9" t="str">
        <f aca="true" t="shared" si="79" ref="E370:E373">"女"</f>
        <v>女</v>
      </c>
    </row>
    <row r="371" spans="1:5" s="4" customFormat="1" ht="19.5" customHeight="1">
      <c r="A371" s="8">
        <v>369</v>
      </c>
      <c r="B371" s="9" t="str">
        <f>"21902020071409035125955"</f>
        <v>21902020071409035125955</v>
      </c>
      <c r="C371" s="9" t="s">
        <v>9</v>
      </c>
      <c r="D371" s="9" t="str">
        <f>"叶伟作"</f>
        <v>叶伟作</v>
      </c>
      <c r="E371" s="9" t="str">
        <f aca="true" t="shared" si="80" ref="E371:E379">"男"</f>
        <v>男</v>
      </c>
    </row>
    <row r="372" spans="1:5" s="4" customFormat="1" ht="19.5" customHeight="1">
      <c r="A372" s="8">
        <v>370</v>
      </c>
      <c r="B372" s="9" t="str">
        <f>"21902020071409074225989"</f>
        <v>21902020071409074225989</v>
      </c>
      <c r="C372" s="9" t="s">
        <v>9</v>
      </c>
      <c r="D372" s="9" t="str">
        <f>"翁秋菊"</f>
        <v>翁秋菊</v>
      </c>
      <c r="E372" s="9" t="str">
        <f t="shared" si="79"/>
        <v>女</v>
      </c>
    </row>
    <row r="373" spans="1:5" s="4" customFormat="1" ht="19.5" customHeight="1">
      <c r="A373" s="8">
        <v>371</v>
      </c>
      <c r="B373" s="9" t="str">
        <f>"21902020071409144726037"</f>
        <v>21902020071409144726037</v>
      </c>
      <c r="C373" s="9" t="s">
        <v>9</v>
      </c>
      <c r="D373" s="9" t="str">
        <f>"黄梅"</f>
        <v>黄梅</v>
      </c>
      <c r="E373" s="9" t="str">
        <f t="shared" si="79"/>
        <v>女</v>
      </c>
    </row>
    <row r="374" spans="1:5" s="4" customFormat="1" ht="19.5" customHeight="1">
      <c r="A374" s="8">
        <v>372</v>
      </c>
      <c r="B374" s="9" t="str">
        <f>"21902020071409151326039"</f>
        <v>21902020071409151326039</v>
      </c>
      <c r="C374" s="9" t="s">
        <v>9</v>
      </c>
      <c r="D374" s="9" t="str">
        <f>"何秀波"</f>
        <v>何秀波</v>
      </c>
      <c r="E374" s="9" t="str">
        <f t="shared" si="80"/>
        <v>男</v>
      </c>
    </row>
    <row r="375" spans="1:5" s="4" customFormat="1" ht="19.5" customHeight="1">
      <c r="A375" s="8">
        <v>373</v>
      </c>
      <c r="B375" s="9" t="str">
        <f>"21902020071409210126073"</f>
        <v>21902020071409210126073</v>
      </c>
      <c r="C375" s="9" t="s">
        <v>9</v>
      </c>
      <c r="D375" s="9" t="str">
        <f>"苏荣聪"</f>
        <v>苏荣聪</v>
      </c>
      <c r="E375" s="9" t="str">
        <f t="shared" si="80"/>
        <v>男</v>
      </c>
    </row>
    <row r="376" spans="1:5" s="4" customFormat="1" ht="19.5" customHeight="1">
      <c r="A376" s="8">
        <v>374</v>
      </c>
      <c r="B376" s="9" t="str">
        <f>"21902020071409232526087"</f>
        <v>21902020071409232526087</v>
      </c>
      <c r="C376" s="9" t="s">
        <v>9</v>
      </c>
      <c r="D376" s="9" t="str">
        <f>"邱进达"</f>
        <v>邱进达</v>
      </c>
      <c r="E376" s="9" t="str">
        <f t="shared" si="80"/>
        <v>男</v>
      </c>
    </row>
    <row r="377" spans="1:5" s="4" customFormat="1" ht="19.5" customHeight="1">
      <c r="A377" s="8">
        <v>375</v>
      </c>
      <c r="B377" s="9" t="str">
        <f>"21902020071409281026110"</f>
        <v>21902020071409281026110</v>
      </c>
      <c r="C377" s="9" t="s">
        <v>9</v>
      </c>
      <c r="D377" s="9" t="str">
        <f>"全钦"</f>
        <v>全钦</v>
      </c>
      <c r="E377" s="9" t="str">
        <f t="shared" si="80"/>
        <v>男</v>
      </c>
    </row>
    <row r="378" spans="1:5" s="4" customFormat="1" ht="19.5" customHeight="1">
      <c r="A378" s="8">
        <v>376</v>
      </c>
      <c r="B378" s="9" t="str">
        <f>"21902020071409342026132"</f>
        <v>21902020071409342026132</v>
      </c>
      <c r="C378" s="9" t="s">
        <v>9</v>
      </c>
      <c r="D378" s="9" t="str">
        <f>" 符志伟"</f>
        <v> 符志伟</v>
      </c>
      <c r="E378" s="9" t="str">
        <f t="shared" si="80"/>
        <v>男</v>
      </c>
    </row>
    <row r="379" spans="1:5" s="4" customFormat="1" ht="19.5" customHeight="1">
      <c r="A379" s="8">
        <v>377</v>
      </c>
      <c r="B379" s="9" t="str">
        <f>"21902020071409351726140"</f>
        <v>21902020071409351726140</v>
      </c>
      <c r="C379" s="9" t="s">
        <v>9</v>
      </c>
      <c r="D379" s="9" t="str">
        <f>"陈俊志"</f>
        <v>陈俊志</v>
      </c>
      <c r="E379" s="9" t="str">
        <f t="shared" si="80"/>
        <v>男</v>
      </c>
    </row>
    <row r="380" spans="1:5" s="4" customFormat="1" ht="19.5" customHeight="1">
      <c r="A380" s="8">
        <v>378</v>
      </c>
      <c r="B380" s="9" t="str">
        <f>"21902020071409352026141"</f>
        <v>21902020071409352026141</v>
      </c>
      <c r="C380" s="9" t="s">
        <v>9</v>
      </c>
      <c r="D380" s="9" t="str">
        <f>"万琼"</f>
        <v>万琼</v>
      </c>
      <c r="E380" s="9" t="str">
        <f>"女"</f>
        <v>女</v>
      </c>
    </row>
    <row r="381" spans="1:5" s="4" customFormat="1" ht="19.5" customHeight="1">
      <c r="A381" s="8">
        <v>379</v>
      </c>
      <c r="B381" s="9" t="str">
        <f>"21902020071409371526150"</f>
        <v>21902020071409371526150</v>
      </c>
      <c r="C381" s="9" t="s">
        <v>9</v>
      </c>
      <c r="D381" s="9" t="str">
        <f>"苏才生"</f>
        <v>苏才生</v>
      </c>
      <c r="E381" s="9" t="str">
        <f aca="true" t="shared" si="81" ref="E381:E383">"男"</f>
        <v>男</v>
      </c>
    </row>
    <row r="382" spans="1:5" s="4" customFormat="1" ht="19.5" customHeight="1">
      <c r="A382" s="8">
        <v>380</v>
      </c>
      <c r="B382" s="9" t="str">
        <f>"21902020071409463026184"</f>
        <v>21902020071409463026184</v>
      </c>
      <c r="C382" s="9" t="s">
        <v>9</v>
      </c>
      <c r="D382" s="9" t="str">
        <f>"黎俊宇"</f>
        <v>黎俊宇</v>
      </c>
      <c r="E382" s="9" t="str">
        <f t="shared" si="81"/>
        <v>男</v>
      </c>
    </row>
    <row r="383" spans="1:5" s="4" customFormat="1" ht="19.5" customHeight="1">
      <c r="A383" s="8">
        <v>381</v>
      </c>
      <c r="B383" s="9" t="str">
        <f>"21902020071409501226197"</f>
        <v>21902020071409501226197</v>
      </c>
      <c r="C383" s="9" t="s">
        <v>9</v>
      </c>
      <c r="D383" s="9" t="str">
        <f>"符学鹏"</f>
        <v>符学鹏</v>
      </c>
      <c r="E383" s="9" t="str">
        <f t="shared" si="81"/>
        <v>男</v>
      </c>
    </row>
    <row r="384" spans="1:5" s="4" customFormat="1" ht="19.5" customHeight="1">
      <c r="A384" s="8">
        <v>382</v>
      </c>
      <c r="B384" s="9" t="str">
        <f>"21902020071409544326222"</f>
        <v>21902020071409544326222</v>
      </c>
      <c r="C384" s="9" t="s">
        <v>9</v>
      </c>
      <c r="D384" s="9" t="str">
        <f>"黎明兰"</f>
        <v>黎明兰</v>
      </c>
      <c r="E384" s="9" t="str">
        <f aca="true" t="shared" si="82" ref="E384:E389">"女"</f>
        <v>女</v>
      </c>
    </row>
    <row r="385" spans="1:5" s="4" customFormat="1" ht="19.5" customHeight="1">
      <c r="A385" s="8">
        <v>383</v>
      </c>
      <c r="B385" s="9" t="str">
        <f>"21902020071409592526235"</f>
        <v>21902020071409592526235</v>
      </c>
      <c r="C385" s="9" t="s">
        <v>9</v>
      </c>
      <c r="D385" s="9" t="str">
        <f>"梁如士"</f>
        <v>梁如士</v>
      </c>
      <c r="E385" s="9" t="str">
        <f aca="true" t="shared" si="83" ref="E385:E394">"男"</f>
        <v>男</v>
      </c>
    </row>
    <row r="386" spans="1:5" s="4" customFormat="1" ht="19.5" customHeight="1">
      <c r="A386" s="8">
        <v>384</v>
      </c>
      <c r="B386" s="9" t="str">
        <f>"21902020071410055026268"</f>
        <v>21902020071410055026268</v>
      </c>
      <c r="C386" s="9" t="s">
        <v>9</v>
      </c>
      <c r="D386" s="9" t="str">
        <f>"王子芯"</f>
        <v>王子芯</v>
      </c>
      <c r="E386" s="9" t="str">
        <f t="shared" si="82"/>
        <v>女</v>
      </c>
    </row>
    <row r="387" spans="1:5" s="4" customFormat="1" ht="19.5" customHeight="1">
      <c r="A387" s="8">
        <v>385</v>
      </c>
      <c r="B387" s="9" t="str">
        <f>"21902020071410103426291"</f>
        <v>21902020071410103426291</v>
      </c>
      <c r="C387" s="9" t="s">
        <v>9</v>
      </c>
      <c r="D387" s="9" t="str">
        <f>"王强"</f>
        <v>王强</v>
      </c>
      <c r="E387" s="9" t="str">
        <f t="shared" si="83"/>
        <v>男</v>
      </c>
    </row>
    <row r="388" spans="1:5" s="4" customFormat="1" ht="19.5" customHeight="1">
      <c r="A388" s="8">
        <v>386</v>
      </c>
      <c r="B388" s="9" t="str">
        <f>"21902020071410114526299"</f>
        <v>21902020071410114526299</v>
      </c>
      <c r="C388" s="9" t="s">
        <v>9</v>
      </c>
      <c r="D388" s="9" t="str">
        <f>"吴珍"</f>
        <v>吴珍</v>
      </c>
      <c r="E388" s="9" t="str">
        <f t="shared" si="82"/>
        <v>女</v>
      </c>
    </row>
    <row r="389" spans="1:5" s="4" customFormat="1" ht="19.5" customHeight="1">
      <c r="A389" s="8">
        <v>387</v>
      </c>
      <c r="B389" s="9" t="str">
        <f>"21902020071410141926318"</f>
        <v>21902020071410141926318</v>
      </c>
      <c r="C389" s="9" t="s">
        <v>9</v>
      </c>
      <c r="D389" s="9" t="str">
        <f>"周冰冰"</f>
        <v>周冰冰</v>
      </c>
      <c r="E389" s="9" t="str">
        <f t="shared" si="82"/>
        <v>女</v>
      </c>
    </row>
    <row r="390" spans="1:5" s="4" customFormat="1" ht="19.5" customHeight="1">
      <c r="A390" s="8">
        <v>388</v>
      </c>
      <c r="B390" s="9" t="str">
        <f>"21902020071411034626482"</f>
        <v>21902020071411034626482</v>
      </c>
      <c r="C390" s="9" t="s">
        <v>9</v>
      </c>
      <c r="D390" s="9" t="str">
        <f>"黄海雄"</f>
        <v>黄海雄</v>
      </c>
      <c r="E390" s="9" t="str">
        <f t="shared" si="83"/>
        <v>男</v>
      </c>
    </row>
    <row r="391" spans="1:5" s="4" customFormat="1" ht="19.5" customHeight="1">
      <c r="A391" s="8">
        <v>389</v>
      </c>
      <c r="B391" s="9" t="str">
        <f>"21902020071411111326513"</f>
        <v>21902020071411111326513</v>
      </c>
      <c r="C391" s="9" t="s">
        <v>9</v>
      </c>
      <c r="D391" s="9" t="str">
        <f>"邢孔港"</f>
        <v>邢孔港</v>
      </c>
      <c r="E391" s="9" t="str">
        <f t="shared" si="83"/>
        <v>男</v>
      </c>
    </row>
    <row r="392" spans="1:5" s="4" customFormat="1" ht="19.5" customHeight="1">
      <c r="A392" s="8">
        <v>390</v>
      </c>
      <c r="B392" s="9" t="str">
        <f>"21902020071411133526527"</f>
        <v>21902020071411133526527</v>
      </c>
      <c r="C392" s="9" t="s">
        <v>9</v>
      </c>
      <c r="D392" s="9" t="str">
        <f>"王明亮"</f>
        <v>王明亮</v>
      </c>
      <c r="E392" s="9" t="str">
        <f t="shared" si="83"/>
        <v>男</v>
      </c>
    </row>
    <row r="393" spans="1:5" s="4" customFormat="1" ht="19.5" customHeight="1">
      <c r="A393" s="8">
        <v>391</v>
      </c>
      <c r="B393" s="9" t="str">
        <f>"21902020071411185326539"</f>
        <v>21902020071411185326539</v>
      </c>
      <c r="C393" s="9" t="s">
        <v>9</v>
      </c>
      <c r="D393" s="9" t="str">
        <f>"郑悦"</f>
        <v>郑悦</v>
      </c>
      <c r="E393" s="9" t="str">
        <f t="shared" si="83"/>
        <v>男</v>
      </c>
    </row>
    <row r="394" spans="1:5" s="4" customFormat="1" ht="19.5" customHeight="1">
      <c r="A394" s="8">
        <v>392</v>
      </c>
      <c r="B394" s="9" t="str">
        <f>"21902020071411293326557"</f>
        <v>21902020071411293326557</v>
      </c>
      <c r="C394" s="9" t="s">
        <v>9</v>
      </c>
      <c r="D394" s="9" t="str">
        <f>"羊兴敏"</f>
        <v>羊兴敏</v>
      </c>
      <c r="E394" s="9" t="str">
        <f t="shared" si="83"/>
        <v>男</v>
      </c>
    </row>
    <row r="395" spans="1:5" s="4" customFormat="1" ht="19.5" customHeight="1">
      <c r="A395" s="8">
        <v>393</v>
      </c>
      <c r="B395" s="9" t="str">
        <f>"21902020071411335026566"</f>
        <v>21902020071411335026566</v>
      </c>
      <c r="C395" s="9" t="s">
        <v>9</v>
      </c>
      <c r="D395" s="9" t="str">
        <f>"覃宁宁"</f>
        <v>覃宁宁</v>
      </c>
      <c r="E395" s="9" t="str">
        <f>"女"</f>
        <v>女</v>
      </c>
    </row>
    <row r="396" spans="1:5" s="4" customFormat="1" ht="19.5" customHeight="1">
      <c r="A396" s="8">
        <v>394</v>
      </c>
      <c r="B396" s="9" t="str">
        <f>"21902020071411343726569"</f>
        <v>21902020071411343726569</v>
      </c>
      <c r="C396" s="9" t="s">
        <v>9</v>
      </c>
      <c r="D396" s="9" t="str">
        <f>"王国胜"</f>
        <v>王国胜</v>
      </c>
      <c r="E396" s="9" t="str">
        <f aca="true" t="shared" si="84" ref="E396:E400">"男"</f>
        <v>男</v>
      </c>
    </row>
    <row r="397" spans="1:5" s="4" customFormat="1" ht="19.5" customHeight="1">
      <c r="A397" s="8">
        <v>395</v>
      </c>
      <c r="B397" s="9" t="str">
        <f>"21902020071411522826616"</f>
        <v>21902020071411522826616</v>
      </c>
      <c r="C397" s="9" t="s">
        <v>9</v>
      </c>
      <c r="D397" s="9" t="str">
        <f>"梁湘菲"</f>
        <v>梁湘菲</v>
      </c>
      <c r="E397" s="9" t="str">
        <f>"女"</f>
        <v>女</v>
      </c>
    </row>
    <row r="398" spans="1:5" s="4" customFormat="1" ht="19.5" customHeight="1">
      <c r="A398" s="8">
        <v>396</v>
      </c>
      <c r="B398" s="9" t="str">
        <f>"21902020071412170626659"</f>
        <v>21902020071412170626659</v>
      </c>
      <c r="C398" s="9" t="s">
        <v>9</v>
      </c>
      <c r="D398" s="9" t="str">
        <f>"王崇粲"</f>
        <v>王崇粲</v>
      </c>
      <c r="E398" s="9" t="str">
        <f t="shared" si="84"/>
        <v>男</v>
      </c>
    </row>
    <row r="399" spans="1:5" s="4" customFormat="1" ht="19.5" customHeight="1">
      <c r="A399" s="8">
        <v>397</v>
      </c>
      <c r="B399" s="9" t="str">
        <f>"21902020071412235926671"</f>
        <v>21902020071412235926671</v>
      </c>
      <c r="C399" s="9" t="s">
        <v>9</v>
      </c>
      <c r="D399" s="9" t="str">
        <f>"吴国邦"</f>
        <v>吴国邦</v>
      </c>
      <c r="E399" s="9" t="str">
        <f t="shared" si="84"/>
        <v>男</v>
      </c>
    </row>
    <row r="400" spans="1:5" s="4" customFormat="1" ht="19.5" customHeight="1">
      <c r="A400" s="8">
        <v>398</v>
      </c>
      <c r="B400" s="9" t="str">
        <f>"21902020071412350126691"</f>
        <v>21902020071412350126691</v>
      </c>
      <c r="C400" s="9" t="s">
        <v>9</v>
      </c>
      <c r="D400" s="9" t="str">
        <f>"张龙生"</f>
        <v>张龙生</v>
      </c>
      <c r="E400" s="9" t="str">
        <f t="shared" si="84"/>
        <v>男</v>
      </c>
    </row>
    <row r="401" spans="1:5" s="4" customFormat="1" ht="19.5" customHeight="1">
      <c r="A401" s="8">
        <v>399</v>
      </c>
      <c r="B401" s="9" t="str">
        <f>"21902020071412421126703"</f>
        <v>21902020071412421126703</v>
      </c>
      <c r="C401" s="9" t="s">
        <v>9</v>
      </c>
      <c r="D401" s="9" t="str">
        <f>"符应丹"</f>
        <v>符应丹</v>
      </c>
      <c r="E401" s="9" t="str">
        <f>"女"</f>
        <v>女</v>
      </c>
    </row>
    <row r="402" spans="1:5" s="4" customFormat="1" ht="19.5" customHeight="1">
      <c r="A402" s="8">
        <v>400</v>
      </c>
      <c r="B402" s="9" t="str">
        <f>"21902020071413291026780"</f>
        <v>21902020071413291026780</v>
      </c>
      <c r="C402" s="9" t="s">
        <v>9</v>
      </c>
      <c r="D402" s="9" t="str">
        <f>"黎正儒"</f>
        <v>黎正儒</v>
      </c>
      <c r="E402" s="9" t="str">
        <f aca="true" t="shared" si="85" ref="E402:E406">"男"</f>
        <v>男</v>
      </c>
    </row>
    <row r="403" spans="1:5" s="4" customFormat="1" ht="19.5" customHeight="1">
      <c r="A403" s="8">
        <v>401</v>
      </c>
      <c r="B403" s="9" t="str">
        <f>"21902020071413465826801"</f>
        <v>21902020071413465826801</v>
      </c>
      <c r="C403" s="9" t="s">
        <v>9</v>
      </c>
      <c r="D403" s="9" t="str">
        <f>"刘甲灿"</f>
        <v>刘甲灿</v>
      </c>
      <c r="E403" s="9" t="str">
        <f t="shared" si="85"/>
        <v>男</v>
      </c>
    </row>
    <row r="404" spans="1:5" s="4" customFormat="1" ht="19.5" customHeight="1">
      <c r="A404" s="8">
        <v>402</v>
      </c>
      <c r="B404" s="9" t="str">
        <f>"21902020071413521526807"</f>
        <v>21902020071413521526807</v>
      </c>
      <c r="C404" s="9" t="s">
        <v>9</v>
      </c>
      <c r="D404" s="9" t="str">
        <f>"蒙定煜"</f>
        <v>蒙定煜</v>
      </c>
      <c r="E404" s="9" t="str">
        <f t="shared" si="85"/>
        <v>男</v>
      </c>
    </row>
    <row r="405" spans="1:5" s="4" customFormat="1" ht="19.5" customHeight="1">
      <c r="A405" s="8">
        <v>403</v>
      </c>
      <c r="B405" s="9" t="str">
        <f>"21902020071414062126822"</f>
        <v>21902020071414062126822</v>
      </c>
      <c r="C405" s="9" t="s">
        <v>9</v>
      </c>
      <c r="D405" s="9" t="str">
        <f>"殷光畴"</f>
        <v>殷光畴</v>
      </c>
      <c r="E405" s="9" t="str">
        <f t="shared" si="85"/>
        <v>男</v>
      </c>
    </row>
    <row r="406" spans="1:5" s="4" customFormat="1" ht="19.5" customHeight="1">
      <c r="A406" s="8">
        <v>404</v>
      </c>
      <c r="B406" s="9" t="str">
        <f>"21902020071414215026841"</f>
        <v>21902020071414215026841</v>
      </c>
      <c r="C406" s="9" t="s">
        <v>9</v>
      </c>
      <c r="D406" s="9" t="str">
        <f>"羊兴泰"</f>
        <v>羊兴泰</v>
      </c>
      <c r="E406" s="9" t="str">
        <f t="shared" si="85"/>
        <v>男</v>
      </c>
    </row>
    <row r="407" spans="1:5" s="4" customFormat="1" ht="19.5" customHeight="1">
      <c r="A407" s="8">
        <v>405</v>
      </c>
      <c r="B407" s="9" t="str">
        <f>"21902020071414360126867"</f>
        <v>21902020071414360126867</v>
      </c>
      <c r="C407" s="9" t="s">
        <v>9</v>
      </c>
      <c r="D407" s="9" t="str">
        <f>"陈新爱"</f>
        <v>陈新爱</v>
      </c>
      <c r="E407" s="9" t="str">
        <f>"女"</f>
        <v>女</v>
      </c>
    </row>
    <row r="408" spans="1:5" s="4" customFormat="1" ht="19.5" customHeight="1">
      <c r="A408" s="8">
        <v>406</v>
      </c>
      <c r="B408" s="9" t="str">
        <f>"21902020071414584426909"</f>
        <v>21902020071414584426909</v>
      </c>
      <c r="C408" s="9" t="s">
        <v>9</v>
      </c>
      <c r="D408" s="9" t="str">
        <f>"张汉丰"</f>
        <v>张汉丰</v>
      </c>
      <c r="E408" s="9" t="str">
        <f aca="true" t="shared" si="86" ref="E408:E415">"男"</f>
        <v>男</v>
      </c>
    </row>
    <row r="409" spans="1:5" s="4" customFormat="1" ht="19.5" customHeight="1">
      <c r="A409" s="8">
        <v>407</v>
      </c>
      <c r="B409" s="9" t="str">
        <f>"21902020071415014326915"</f>
        <v>21902020071415014326915</v>
      </c>
      <c r="C409" s="9" t="s">
        <v>9</v>
      </c>
      <c r="D409" s="9" t="str">
        <f>"何定恒"</f>
        <v>何定恒</v>
      </c>
      <c r="E409" s="9" t="str">
        <f t="shared" si="86"/>
        <v>男</v>
      </c>
    </row>
    <row r="410" spans="1:5" s="4" customFormat="1" ht="19.5" customHeight="1">
      <c r="A410" s="8">
        <v>408</v>
      </c>
      <c r="B410" s="9" t="str">
        <f>"21902020071415134726931"</f>
        <v>21902020071415134726931</v>
      </c>
      <c r="C410" s="9" t="s">
        <v>9</v>
      </c>
      <c r="D410" s="9" t="str">
        <f>"黄钰婷"</f>
        <v>黄钰婷</v>
      </c>
      <c r="E410" s="9" t="str">
        <f>"女"</f>
        <v>女</v>
      </c>
    </row>
    <row r="411" spans="1:5" s="4" customFormat="1" ht="19.5" customHeight="1">
      <c r="A411" s="8">
        <v>409</v>
      </c>
      <c r="B411" s="9" t="str">
        <f>"21902020071415482526985"</f>
        <v>21902020071415482526985</v>
      </c>
      <c r="C411" s="9" t="s">
        <v>9</v>
      </c>
      <c r="D411" s="9" t="str">
        <f>"王伟标"</f>
        <v>王伟标</v>
      </c>
      <c r="E411" s="9" t="str">
        <f t="shared" si="86"/>
        <v>男</v>
      </c>
    </row>
    <row r="412" spans="1:5" s="4" customFormat="1" ht="19.5" customHeight="1">
      <c r="A412" s="8">
        <v>410</v>
      </c>
      <c r="B412" s="9" t="str">
        <f>"21902020071416353927077"</f>
        <v>21902020071416353927077</v>
      </c>
      <c r="C412" s="9" t="s">
        <v>9</v>
      </c>
      <c r="D412" s="9" t="str">
        <f>"薛来就"</f>
        <v>薛来就</v>
      </c>
      <c r="E412" s="9" t="str">
        <f t="shared" si="86"/>
        <v>男</v>
      </c>
    </row>
    <row r="413" spans="1:5" s="4" customFormat="1" ht="19.5" customHeight="1">
      <c r="A413" s="8">
        <v>411</v>
      </c>
      <c r="B413" s="9" t="str">
        <f>"21902020071417060627137"</f>
        <v>21902020071417060627137</v>
      </c>
      <c r="C413" s="9" t="s">
        <v>9</v>
      </c>
      <c r="D413" s="9" t="str">
        <f>"卢明学"</f>
        <v>卢明学</v>
      </c>
      <c r="E413" s="9" t="str">
        <f t="shared" si="86"/>
        <v>男</v>
      </c>
    </row>
    <row r="414" spans="1:5" s="4" customFormat="1" ht="19.5" customHeight="1">
      <c r="A414" s="8">
        <v>412</v>
      </c>
      <c r="B414" s="9" t="str">
        <f>"21902020071417321227178"</f>
        <v>21902020071417321227178</v>
      </c>
      <c r="C414" s="9" t="s">
        <v>9</v>
      </c>
      <c r="D414" s="9" t="str">
        <f>"黄煜"</f>
        <v>黄煜</v>
      </c>
      <c r="E414" s="9" t="str">
        <f t="shared" si="86"/>
        <v>男</v>
      </c>
    </row>
    <row r="415" spans="1:5" s="4" customFormat="1" ht="19.5" customHeight="1">
      <c r="A415" s="8">
        <v>413</v>
      </c>
      <c r="B415" s="9" t="str">
        <f>"21902020071417403227186"</f>
        <v>21902020071417403227186</v>
      </c>
      <c r="C415" s="9" t="s">
        <v>9</v>
      </c>
      <c r="D415" s="9" t="str">
        <f>"羊令珍"</f>
        <v>羊令珍</v>
      </c>
      <c r="E415" s="9" t="str">
        <f t="shared" si="86"/>
        <v>男</v>
      </c>
    </row>
    <row r="416" spans="1:5" s="4" customFormat="1" ht="19.5" customHeight="1">
      <c r="A416" s="8">
        <v>414</v>
      </c>
      <c r="B416" s="9" t="str">
        <f>"21902020071417515527205"</f>
        <v>21902020071417515527205</v>
      </c>
      <c r="C416" s="9" t="s">
        <v>9</v>
      </c>
      <c r="D416" s="9" t="str">
        <f>"符成香"</f>
        <v>符成香</v>
      </c>
      <c r="E416" s="9" t="str">
        <f aca="true" t="shared" si="87" ref="E416:E419">"女"</f>
        <v>女</v>
      </c>
    </row>
    <row r="417" spans="1:5" s="4" customFormat="1" ht="19.5" customHeight="1">
      <c r="A417" s="8">
        <v>415</v>
      </c>
      <c r="B417" s="9" t="str">
        <f>"21902020071417521027206"</f>
        <v>21902020071417521027206</v>
      </c>
      <c r="C417" s="9" t="s">
        <v>9</v>
      </c>
      <c r="D417" s="9" t="str">
        <f>"李正弘"</f>
        <v>李正弘</v>
      </c>
      <c r="E417" s="9" t="str">
        <f aca="true" t="shared" si="88" ref="E417:E432">"男"</f>
        <v>男</v>
      </c>
    </row>
    <row r="418" spans="1:5" s="4" customFormat="1" ht="19.5" customHeight="1">
      <c r="A418" s="8">
        <v>416</v>
      </c>
      <c r="B418" s="9" t="str">
        <f>"21902020071417564827212"</f>
        <v>21902020071417564827212</v>
      </c>
      <c r="C418" s="9" t="s">
        <v>9</v>
      </c>
      <c r="D418" s="9" t="str">
        <f>"吴秀思"</f>
        <v>吴秀思</v>
      </c>
      <c r="E418" s="9" t="str">
        <f t="shared" si="87"/>
        <v>女</v>
      </c>
    </row>
    <row r="419" spans="1:5" s="4" customFormat="1" ht="19.5" customHeight="1">
      <c r="A419" s="8">
        <v>417</v>
      </c>
      <c r="B419" s="9" t="str">
        <f>"21902020071418464427277"</f>
        <v>21902020071418464427277</v>
      </c>
      <c r="C419" s="9" t="s">
        <v>9</v>
      </c>
      <c r="D419" s="9" t="str">
        <f>"钟昕蕾"</f>
        <v>钟昕蕾</v>
      </c>
      <c r="E419" s="9" t="str">
        <f t="shared" si="87"/>
        <v>女</v>
      </c>
    </row>
    <row r="420" spans="1:5" s="4" customFormat="1" ht="19.5" customHeight="1">
      <c r="A420" s="8">
        <v>418</v>
      </c>
      <c r="B420" s="9" t="str">
        <f>"21902020071419021827298"</f>
        <v>21902020071419021827298</v>
      </c>
      <c r="C420" s="9" t="s">
        <v>9</v>
      </c>
      <c r="D420" s="9" t="str">
        <f>"魏铭云"</f>
        <v>魏铭云</v>
      </c>
      <c r="E420" s="9" t="str">
        <f t="shared" si="88"/>
        <v>男</v>
      </c>
    </row>
    <row r="421" spans="1:5" s="4" customFormat="1" ht="19.5" customHeight="1">
      <c r="A421" s="8">
        <v>419</v>
      </c>
      <c r="B421" s="9" t="str">
        <f>"21902020071420042127365"</f>
        <v>21902020071420042127365</v>
      </c>
      <c r="C421" s="9" t="s">
        <v>9</v>
      </c>
      <c r="D421" s="9" t="str">
        <f>"符敏传"</f>
        <v>符敏传</v>
      </c>
      <c r="E421" s="9" t="str">
        <f t="shared" si="88"/>
        <v>男</v>
      </c>
    </row>
    <row r="422" spans="1:5" s="4" customFormat="1" ht="19.5" customHeight="1">
      <c r="A422" s="8">
        <v>420</v>
      </c>
      <c r="B422" s="9" t="str">
        <f>"21902020071420333427403"</f>
        <v>21902020071420333427403</v>
      </c>
      <c r="C422" s="9" t="s">
        <v>9</v>
      </c>
      <c r="D422" s="9" t="str">
        <f>"陈壮彪"</f>
        <v>陈壮彪</v>
      </c>
      <c r="E422" s="9" t="str">
        <f t="shared" si="88"/>
        <v>男</v>
      </c>
    </row>
    <row r="423" spans="1:5" s="4" customFormat="1" ht="19.5" customHeight="1">
      <c r="A423" s="8">
        <v>421</v>
      </c>
      <c r="B423" s="9" t="str">
        <f>"21902020071421283127472"</f>
        <v>21902020071421283127472</v>
      </c>
      <c r="C423" s="9" t="s">
        <v>9</v>
      </c>
      <c r="D423" s="9" t="str">
        <f>"薛星位"</f>
        <v>薛星位</v>
      </c>
      <c r="E423" s="9" t="str">
        <f t="shared" si="88"/>
        <v>男</v>
      </c>
    </row>
    <row r="424" spans="1:5" s="4" customFormat="1" ht="19.5" customHeight="1">
      <c r="A424" s="8">
        <v>422</v>
      </c>
      <c r="B424" s="9" t="str">
        <f>"21902020071421485727485"</f>
        <v>21902020071421485727485</v>
      </c>
      <c r="C424" s="9" t="s">
        <v>9</v>
      </c>
      <c r="D424" s="9" t="str">
        <f>"王居鸿"</f>
        <v>王居鸿</v>
      </c>
      <c r="E424" s="9" t="str">
        <f t="shared" si="88"/>
        <v>男</v>
      </c>
    </row>
    <row r="425" spans="1:5" s="4" customFormat="1" ht="19.5" customHeight="1">
      <c r="A425" s="8">
        <v>423</v>
      </c>
      <c r="B425" s="9" t="str">
        <f>"21902020071422135427521"</f>
        <v>21902020071422135427521</v>
      </c>
      <c r="C425" s="9" t="s">
        <v>9</v>
      </c>
      <c r="D425" s="9" t="str">
        <f>"何以球"</f>
        <v>何以球</v>
      </c>
      <c r="E425" s="9" t="str">
        <f t="shared" si="88"/>
        <v>男</v>
      </c>
    </row>
    <row r="426" spans="1:5" s="4" customFormat="1" ht="19.5" customHeight="1">
      <c r="A426" s="8">
        <v>424</v>
      </c>
      <c r="B426" s="9" t="str">
        <f>"21902020071422283527543"</f>
        <v>21902020071422283527543</v>
      </c>
      <c r="C426" s="9" t="s">
        <v>9</v>
      </c>
      <c r="D426" s="9" t="str">
        <f>"郭衍国"</f>
        <v>郭衍国</v>
      </c>
      <c r="E426" s="9" t="str">
        <f t="shared" si="88"/>
        <v>男</v>
      </c>
    </row>
    <row r="427" spans="1:5" s="4" customFormat="1" ht="19.5" customHeight="1">
      <c r="A427" s="8">
        <v>425</v>
      </c>
      <c r="B427" s="9" t="str">
        <f>"21902020071422485827569"</f>
        <v>21902020071422485827569</v>
      </c>
      <c r="C427" s="9" t="s">
        <v>9</v>
      </c>
      <c r="D427" s="9" t="str">
        <f>"陈鼎龙"</f>
        <v>陈鼎龙</v>
      </c>
      <c r="E427" s="9" t="str">
        <f t="shared" si="88"/>
        <v>男</v>
      </c>
    </row>
    <row r="428" spans="1:5" s="4" customFormat="1" ht="19.5" customHeight="1">
      <c r="A428" s="8">
        <v>426</v>
      </c>
      <c r="B428" s="9" t="str">
        <f>"21902020071422590027578"</f>
        <v>21902020071422590027578</v>
      </c>
      <c r="C428" s="9" t="s">
        <v>9</v>
      </c>
      <c r="D428" s="9" t="str">
        <f>"张博云"</f>
        <v>张博云</v>
      </c>
      <c r="E428" s="9" t="str">
        <f t="shared" si="88"/>
        <v>男</v>
      </c>
    </row>
    <row r="429" spans="1:5" s="4" customFormat="1" ht="19.5" customHeight="1">
      <c r="A429" s="8">
        <v>427</v>
      </c>
      <c r="B429" s="9" t="str">
        <f>"21902020071423191327606"</f>
        <v>21902020071423191327606</v>
      </c>
      <c r="C429" s="9" t="s">
        <v>9</v>
      </c>
      <c r="D429" s="9" t="str">
        <f>"谢晋聪"</f>
        <v>谢晋聪</v>
      </c>
      <c r="E429" s="9" t="str">
        <f t="shared" si="88"/>
        <v>男</v>
      </c>
    </row>
    <row r="430" spans="1:5" s="4" customFormat="1" ht="19.5" customHeight="1">
      <c r="A430" s="8">
        <v>428</v>
      </c>
      <c r="B430" s="9" t="str">
        <f>"21902020071423392627619"</f>
        <v>21902020071423392627619</v>
      </c>
      <c r="C430" s="9" t="s">
        <v>9</v>
      </c>
      <c r="D430" s="9" t="str">
        <f>"郭红榜"</f>
        <v>郭红榜</v>
      </c>
      <c r="E430" s="9" t="str">
        <f t="shared" si="88"/>
        <v>男</v>
      </c>
    </row>
    <row r="431" spans="1:5" s="4" customFormat="1" ht="19.5" customHeight="1">
      <c r="A431" s="8">
        <v>429</v>
      </c>
      <c r="B431" s="9" t="str">
        <f>"21902020071504453927666"</f>
        <v>21902020071504453927666</v>
      </c>
      <c r="C431" s="9" t="s">
        <v>9</v>
      </c>
      <c r="D431" s="9" t="str">
        <f>"朱志就"</f>
        <v>朱志就</v>
      </c>
      <c r="E431" s="9" t="str">
        <f t="shared" si="88"/>
        <v>男</v>
      </c>
    </row>
    <row r="432" spans="1:5" s="4" customFormat="1" ht="19.5" customHeight="1">
      <c r="A432" s="8">
        <v>430</v>
      </c>
      <c r="B432" s="9" t="str">
        <f>"21902020071508484127705"</f>
        <v>21902020071508484127705</v>
      </c>
      <c r="C432" s="9" t="s">
        <v>9</v>
      </c>
      <c r="D432" s="9" t="str">
        <f>"王理宽"</f>
        <v>王理宽</v>
      </c>
      <c r="E432" s="9" t="str">
        <f t="shared" si="88"/>
        <v>男</v>
      </c>
    </row>
    <row r="433" spans="1:5" s="4" customFormat="1" ht="19.5" customHeight="1">
      <c r="A433" s="8">
        <v>431</v>
      </c>
      <c r="B433" s="9" t="str">
        <f>"21902020071508524227708"</f>
        <v>21902020071508524227708</v>
      </c>
      <c r="C433" s="9" t="s">
        <v>9</v>
      </c>
      <c r="D433" s="9" t="str">
        <f>"黄青霞"</f>
        <v>黄青霞</v>
      </c>
      <c r="E433" s="9" t="str">
        <f>"女"</f>
        <v>女</v>
      </c>
    </row>
    <row r="434" spans="1:5" s="4" customFormat="1" ht="19.5" customHeight="1">
      <c r="A434" s="8">
        <v>432</v>
      </c>
      <c r="B434" s="9" t="str">
        <f>"21902020071509053327738"</f>
        <v>21902020071509053327738</v>
      </c>
      <c r="C434" s="9" t="s">
        <v>9</v>
      </c>
      <c r="D434" s="9" t="str">
        <f>"王大迈"</f>
        <v>王大迈</v>
      </c>
      <c r="E434" s="9" t="str">
        <f aca="true" t="shared" si="89" ref="E434:E438">"男"</f>
        <v>男</v>
      </c>
    </row>
    <row r="435" spans="1:5" s="4" customFormat="1" ht="19.5" customHeight="1">
      <c r="A435" s="8">
        <v>433</v>
      </c>
      <c r="B435" s="9" t="str">
        <f>"21902020071509080227748"</f>
        <v>21902020071509080227748</v>
      </c>
      <c r="C435" s="9" t="s">
        <v>9</v>
      </c>
      <c r="D435" s="9" t="str">
        <f>"许林伟"</f>
        <v>许林伟</v>
      </c>
      <c r="E435" s="9" t="str">
        <f t="shared" si="89"/>
        <v>男</v>
      </c>
    </row>
    <row r="436" spans="1:5" s="4" customFormat="1" ht="19.5" customHeight="1">
      <c r="A436" s="8">
        <v>434</v>
      </c>
      <c r="B436" s="9" t="str">
        <f>"21902020071509131527756"</f>
        <v>21902020071509131527756</v>
      </c>
      <c r="C436" s="9" t="s">
        <v>9</v>
      </c>
      <c r="D436" s="9" t="str">
        <f>"王伟锋"</f>
        <v>王伟锋</v>
      </c>
      <c r="E436" s="9" t="str">
        <f t="shared" si="89"/>
        <v>男</v>
      </c>
    </row>
    <row r="437" spans="1:5" s="4" customFormat="1" ht="19.5" customHeight="1">
      <c r="A437" s="8">
        <v>435</v>
      </c>
      <c r="B437" s="9" t="str">
        <f>"21902020071509485327815"</f>
        <v>21902020071509485327815</v>
      </c>
      <c r="C437" s="9" t="s">
        <v>9</v>
      </c>
      <c r="D437" s="9" t="str">
        <f>"王龙"</f>
        <v>王龙</v>
      </c>
      <c r="E437" s="9" t="str">
        <f t="shared" si="89"/>
        <v>男</v>
      </c>
    </row>
    <row r="438" spans="1:5" s="4" customFormat="1" ht="19.5" customHeight="1">
      <c r="A438" s="8">
        <v>436</v>
      </c>
      <c r="B438" s="9" t="str">
        <f>"21902020071511322627964"</f>
        <v>21902020071511322627964</v>
      </c>
      <c r="C438" s="9" t="s">
        <v>9</v>
      </c>
      <c r="D438" s="9" t="str">
        <f>"王强"</f>
        <v>王强</v>
      </c>
      <c r="E438" s="9" t="str">
        <f t="shared" si="89"/>
        <v>男</v>
      </c>
    </row>
    <row r="439" spans="1:5" s="4" customFormat="1" ht="19.5" customHeight="1">
      <c r="A439" s="8">
        <v>437</v>
      </c>
      <c r="B439" s="9" t="str">
        <f>"21902020071511350427968"</f>
        <v>21902020071511350427968</v>
      </c>
      <c r="C439" s="9" t="s">
        <v>9</v>
      </c>
      <c r="D439" s="9" t="str">
        <f>"黎石荣"</f>
        <v>黎石荣</v>
      </c>
      <c r="E439" s="9" t="str">
        <f>"女"</f>
        <v>女</v>
      </c>
    </row>
    <row r="440" spans="1:5" s="4" customFormat="1" ht="19.5" customHeight="1">
      <c r="A440" s="8">
        <v>438</v>
      </c>
      <c r="B440" s="9" t="str">
        <f>"21902020071511462927984"</f>
        <v>21902020071511462927984</v>
      </c>
      <c r="C440" s="9" t="s">
        <v>9</v>
      </c>
      <c r="D440" s="9" t="str">
        <f>"曾繁华"</f>
        <v>曾繁华</v>
      </c>
      <c r="E440" s="9" t="str">
        <f aca="true" t="shared" si="90" ref="E440:E443">"男"</f>
        <v>男</v>
      </c>
    </row>
    <row r="441" spans="1:5" s="4" customFormat="1" ht="19.5" customHeight="1">
      <c r="A441" s="8">
        <v>439</v>
      </c>
      <c r="B441" s="9" t="str">
        <f>"21902020071512132628018"</f>
        <v>21902020071512132628018</v>
      </c>
      <c r="C441" s="9" t="s">
        <v>9</v>
      </c>
      <c r="D441" s="9" t="str">
        <f>"陈有安"</f>
        <v>陈有安</v>
      </c>
      <c r="E441" s="9" t="str">
        <f t="shared" si="90"/>
        <v>男</v>
      </c>
    </row>
    <row r="442" spans="1:5" s="4" customFormat="1" ht="19.5" customHeight="1">
      <c r="A442" s="8">
        <v>440</v>
      </c>
      <c r="B442" s="9" t="str">
        <f>"21902020071512210428021"</f>
        <v>21902020071512210428021</v>
      </c>
      <c r="C442" s="9" t="s">
        <v>9</v>
      </c>
      <c r="D442" s="9" t="str">
        <f>"王哲岳"</f>
        <v>王哲岳</v>
      </c>
      <c r="E442" s="9" t="str">
        <f t="shared" si="90"/>
        <v>男</v>
      </c>
    </row>
    <row r="443" spans="1:5" s="4" customFormat="1" ht="19.5" customHeight="1">
      <c r="A443" s="8">
        <v>441</v>
      </c>
      <c r="B443" s="9" t="str">
        <f>"21902020071512310928034"</f>
        <v>21902020071512310928034</v>
      </c>
      <c r="C443" s="9" t="s">
        <v>9</v>
      </c>
      <c r="D443" s="9" t="str">
        <f>"李远安"</f>
        <v>李远安</v>
      </c>
      <c r="E443" s="9" t="str">
        <f t="shared" si="90"/>
        <v>男</v>
      </c>
    </row>
    <row r="444" spans="1:5" s="4" customFormat="1" ht="19.5" customHeight="1">
      <c r="A444" s="8">
        <v>442</v>
      </c>
      <c r="B444" s="9" t="str">
        <f>"21902020071512430428043"</f>
        <v>21902020071512430428043</v>
      </c>
      <c r="C444" s="9" t="s">
        <v>9</v>
      </c>
      <c r="D444" s="9" t="str">
        <f>"谢桃兑"</f>
        <v>谢桃兑</v>
      </c>
      <c r="E444" s="9" t="str">
        <f>"女"</f>
        <v>女</v>
      </c>
    </row>
    <row r="445" spans="1:5" s="4" customFormat="1" ht="19.5" customHeight="1">
      <c r="A445" s="8">
        <v>443</v>
      </c>
      <c r="B445" s="9" t="str">
        <f>"21902020071513104128066"</f>
        <v>21902020071513104128066</v>
      </c>
      <c r="C445" s="9" t="s">
        <v>9</v>
      </c>
      <c r="D445" s="9" t="str">
        <f>"吴淑忠"</f>
        <v>吴淑忠</v>
      </c>
      <c r="E445" s="9" t="str">
        <f aca="true" t="shared" si="91" ref="E445:E450">"男"</f>
        <v>男</v>
      </c>
    </row>
    <row r="446" spans="1:5" s="4" customFormat="1" ht="19.5" customHeight="1">
      <c r="A446" s="8">
        <v>444</v>
      </c>
      <c r="B446" s="9" t="str">
        <f>"21902020071513241928072"</f>
        <v>21902020071513241928072</v>
      </c>
      <c r="C446" s="9" t="s">
        <v>9</v>
      </c>
      <c r="D446" s="9" t="str">
        <f>"古丽玲"</f>
        <v>古丽玲</v>
      </c>
      <c r="E446" s="9" t="str">
        <f>"女"</f>
        <v>女</v>
      </c>
    </row>
    <row r="447" spans="1:5" s="4" customFormat="1" ht="19.5" customHeight="1">
      <c r="A447" s="8">
        <v>445</v>
      </c>
      <c r="B447" s="9" t="str">
        <f>"21902020071513262528075"</f>
        <v>21902020071513262528075</v>
      </c>
      <c r="C447" s="9" t="s">
        <v>9</v>
      </c>
      <c r="D447" s="9" t="str">
        <f>"李正浩"</f>
        <v>李正浩</v>
      </c>
      <c r="E447" s="9" t="str">
        <f t="shared" si="91"/>
        <v>男</v>
      </c>
    </row>
    <row r="448" spans="1:5" s="4" customFormat="1" ht="19.5" customHeight="1">
      <c r="A448" s="8">
        <v>446</v>
      </c>
      <c r="B448" s="9" t="str">
        <f>"21902020071514472628136"</f>
        <v>21902020071514472628136</v>
      </c>
      <c r="C448" s="9" t="s">
        <v>9</v>
      </c>
      <c r="D448" s="9" t="str">
        <f>"邓明生"</f>
        <v>邓明生</v>
      </c>
      <c r="E448" s="9" t="str">
        <f t="shared" si="91"/>
        <v>男</v>
      </c>
    </row>
    <row r="449" spans="1:5" s="4" customFormat="1" ht="19.5" customHeight="1">
      <c r="A449" s="8">
        <v>447</v>
      </c>
      <c r="B449" s="9" t="str">
        <f>"21902020071515331428182"</f>
        <v>21902020071515331428182</v>
      </c>
      <c r="C449" s="9" t="s">
        <v>9</v>
      </c>
      <c r="D449" s="9" t="str">
        <f>"陈泉浩"</f>
        <v>陈泉浩</v>
      </c>
      <c r="E449" s="9" t="str">
        <f t="shared" si="91"/>
        <v>男</v>
      </c>
    </row>
    <row r="450" spans="1:5" s="4" customFormat="1" ht="19.5" customHeight="1">
      <c r="A450" s="8">
        <v>448</v>
      </c>
      <c r="B450" s="9" t="str">
        <f>"21902020071515513828203"</f>
        <v>21902020071515513828203</v>
      </c>
      <c r="C450" s="9" t="s">
        <v>9</v>
      </c>
      <c r="D450" s="9" t="str">
        <f>"谭孟涛"</f>
        <v>谭孟涛</v>
      </c>
      <c r="E450" s="9" t="str">
        <f t="shared" si="91"/>
        <v>男</v>
      </c>
    </row>
    <row r="451" spans="1:5" s="4" customFormat="1" ht="19.5" customHeight="1">
      <c r="A451" s="8">
        <v>449</v>
      </c>
      <c r="B451" s="9" t="str">
        <f>"21902020071516014828220"</f>
        <v>21902020071516014828220</v>
      </c>
      <c r="C451" s="9" t="s">
        <v>9</v>
      </c>
      <c r="D451" s="9" t="str">
        <f>"曾冬雪"</f>
        <v>曾冬雪</v>
      </c>
      <c r="E451" s="9" t="str">
        <f>"女"</f>
        <v>女</v>
      </c>
    </row>
    <row r="452" spans="1:5" s="4" customFormat="1" ht="19.5" customHeight="1">
      <c r="A452" s="8">
        <v>450</v>
      </c>
      <c r="B452" s="9" t="str">
        <f>"21902020071516341428260"</f>
        <v>21902020071516341428260</v>
      </c>
      <c r="C452" s="9" t="s">
        <v>9</v>
      </c>
      <c r="D452" s="9" t="str">
        <f>"陈文宏"</f>
        <v>陈文宏</v>
      </c>
      <c r="E452" s="9" t="str">
        <f aca="true" t="shared" si="92" ref="E452:E457">"男"</f>
        <v>男</v>
      </c>
    </row>
    <row r="453" spans="1:5" s="4" customFormat="1" ht="19.5" customHeight="1">
      <c r="A453" s="8">
        <v>451</v>
      </c>
      <c r="B453" s="9" t="str">
        <f>"21902020071516400628267"</f>
        <v>21902020071516400628267</v>
      </c>
      <c r="C453" s="9" t="s">
        <v>9</v>
      </c>
      <c r="D453" s="9" t="str">
        <f>"许勤宇"</f>
        <v>许勤宇</v>
      </c>
      <c r="E453" s="9" t="str">
        <f t="shared" si="92"/>
        <v>男</v>
      </c>
    </row>
    <row r="454" spans="1:5" s="4" customFormat="1" ht="19.5" customHeight="1">
      <c r="A454" s="8">
        <v>452</v>
      </c>
      <c r="B454" s="9" t="str">
        <f>"21902020071516544228285"</f>
        <v>21902020071516544228285</v>
      </c>
      <c r="C454" s="9" t="s">
        <v>9</v>
      </c>
      <c r="D454" s="9" t="str">
        <f>"王鹤锦"</f>
        <v>王鹤锦</v>
      </c>
      <c r="E454" s="9" t="str">
        <f t="shared" si="92"/>
        <v>男</v>
      </c>
    </row>
    <row r="455" spans="1:5" s="4" customFormat="1" ht="19.5" customHeight="1">
      <c r="A455" s="8">
        <v>453</v>
      </c>
      <c r="B455" s="9" t="str">
        <f>"21902020071517225628320"</f>
        <v>21902020071517225628320</v>
      </c>
      <c r="C455" s="9" t="s">
        <v>9</v>
      </c>
      <c r="D455" s="9" t="str">
        <f>"林传诗"</f>
        <v>林传诗</v>
      </c>
      <c r="E455" s="9" t="str">
        <f t="shared" si="92"/>
        <v>男</v>
      </c>
    </row>
    <row r="456" spans="1:5" s="4" customFormat="1" ht="19.5" customHeight="1">
      <c r="A456" s="8">
        <v>454</v>
      </c>
      <c r="B456" s="9" t="str">
        <f>"21902020071518182728371"</f>
        <v>21902020071518182728371</v>
      </c>
      <c r="C456" s="9" t="s">
        <v>9</v>
      </c>
      <c r="D456" s="9" t="str">
        <f>"符永利"</f>
        <v>符永利</v>
      </c>
      <c r="E456" s="9" t="str">
        <f t="shared" si="92"/>
        <v>男</v>
      </c>
    </row>
    <row r="457" spans="1:5" s="4" customFormat="1" ht="19.5" customHeight="1">
      <c r="A457" s="8">
        <v>455</v>
      </c>
      <c r="B457" s="9" t="str">
        <f>"21902020071519231828413"</f>
        <v>21902020071519231828413</v>
      </c>
      <c r="C457" s="9" t="s">
        <v>9</v>
      </c>
      <c r="D457" s="9" t="str">
        <f>"周奠海"</f>
        <v>周奠海</v>
      </c>
      <c r="E457" s="9" t="str">
        <f t="shared" si="92"/>
        <v>男</v>
      </c>
    </row>
    <row r="458" spans="1:5" s="4" customFormat="1" ht="19.5" customHeight="1">
      <c r="A458" s="8">
        <v>456</v>
      </c>
      <c r="B458" s="9" t="str">
        <f>"21902020071519464528431"</f>
        <v>21902020071519464528431</v>
      </c>
      <c r="C458" s="9" t="s">
        <v>9</v>
      </c>
      <c r="D458" s="9" t="str">
        <f>"陈开美"</f>
        <v>陈开美</v>
      </c>
      <c r="E458" s="9" t="str">
        <f aca="true" t="shared" si="93" ref="E458:E462">"女"</f>
        <v>女</v>
      </c>
    </row>
    <row r="459" spans="1:5" s="4" customFormat="1" ht="19.5" customHeight="1">
      <c r="A459" s="8">
        <v>457</v>
      </c>
      <c r="B459" s="9" t="str">
        <f>"21902020071520020528445"</f>
        <v>21902020071520020528445</v>
      </c>
      <c r="C459" s="9" t="s">
        <v>9</v>
      </c>
      <c r="D459" s="9" t="str">
        <f>"黄升"</f>
        <v>黄升</v>
      </c>
      <c r="E459" s="9" t="str">
        <f aca="true" t="shared" si="94" ref="E459:E464">"男"</f>
        <v>男</v>
      </c>
    </row>
    <row r="460" spans="1:5" s="4" customFormat="1" ht="19.5" customHeight="1">
      <c r="A460" s="8">
        <v>458</v>
      </c>
      <c r="B460" s="9" t="str">
        <f>"21902020071520074328451"</f>
        <v>21902020071520074328451</v>
      </c>
      <c r="C460" s="9" t="s">
        <v>9</v>
      </c>
      <c r="D460" s="9" t="str">
        <f>"陈喜章"</f>
        <v>陈喜章</v>
      </c>
      <c r="E460" s="9" t="str">
        <f t="shared" si="93"/>
        <v>女</v>
      </c>
    </row>
    <row r="461" spans="1:5" s="4" customFormat="1" ht="19.5" customHeight="1">
      <c r="A461" s="8">
        <v>459</v>
      </c>
      <c r="B461" s="9" t="str">
        <f>"21902020071521063228501"</f>
        <v>21902020071521063228501</v>
      </c>
      <c r="C461" s="9" t="s">
        <v>9</v>
      </c>
      <c r="D461" s="9" t="str">
        <f>"陈壮学"</f>
        <v>陈壮学</v>
      </c>
      <c r="E461" s="9" t="str">
        <f t="shared" si="94"/>
        <v>男</v>
      </c>
    </row>
    <row r="462" spans="1:5" s="4" customFormat="1" ht="19.5" customHeight="1">
      <c r="A462" s="8">
        <v>460</v>
      </c>
      <c r="B462" s="9" t="str">
        <f>"21902020071521544228537"</f>
        <v>21902020071521544228537</v>
      </c>
      <c r="C462" s="9" t="s">
        <v>9</v>
      </c>
      <c r="D462" s="9" t="str">
        <f>"李冬艳"</f>
        <v>李冬艳</v>
      </c>
      <c r="E462" s="9" t="str">
        <f t="shared" si="93"/>
        <v>女</v>
      </c>
    </row>
    <row r="463" spans="1:5" s="4" customFormat="1" ht="19.5" customHeight="1">
      <c r="A463" s="8">
        <v>461</v>
      </c>
      <c r="B463" s="9" t="str">
        <f>"21902020071522441928590"</f>
        <v>21902020071522441928590</v>
      </c>
      <c r="C463" s="9" t="s">
        <v>9</v>
      </c>
      <c r="D463" s="9" t="str">
        <f>"王发龙"</f>
        <v>王发龙</v>
      </c>
      <c r="E463" s="9" t="str">
        <f t="shared" si="94"/>
        <v>男</v>
      </c>
    </row>
    <row r="464" spans="1:5" s="4" customFormat="1" ht="19.5" customHeight="1">
      <c r="A464" s="8">
        <v>462</v>
      </c>
      <c r="B464" s="9" t="str">
        <f>"21902020071522454428591"</f>
        <v>21902020071522454428591</v>
      </c>
      <c r="C464" s="9" t="s">
        <v>9</v>
      </c>
      <c r="D464" s="9" t="str">
        <f>"黎高扬"</f>
        <v>黎高扬</v>
      </c>
      <c r="E464" s="9" t="str">
        <f t="shared" si="94"/>
        <v>男</v>
      </c>
    </row>
    <row r="465" spans="1:5" s="4" customFormat="1" ht="19.5" customHeight="1">
      <c r="A465" s="8">
        <v>463</v>
      </c>
      <c r="B465" s="9" t="str">
        <f>"21902020071523433128628"</f>
        <v>21902020071523433128628</v>
      </c>
      <c r="C465" s="9" t="s">
        <v>9</v>
      </c>
      <c r="D465" s="9" t="str">
        <f>"肖雯"</f>
        <v>肖雯</v>
      </c>
      <c r="E465" s="9" t="str">
        <f>"女"</f>
        <v>女</v>
      </c>
    </row>
    <row r="466" spans="1:5" s="4" customFormat="1" ht="19.5" customHeight="1">
      <c r="A466" s="8">
        <v>464</v>
      </c>
      <c r="B466" s="9" t="str">
        <f>"21902020071600090828643"</f>
        <v>21902020071600090828643</v>
      </c>
      <c r="C466" s="9" t="s">
        <v>9</v>
      </c>
      <c r="D466" s="9" t="str">
        <f>"杨时鑫"</f>
        <v>杨时鑫</v>
      </c>
      <c r="E466" s="9" t="str">
        <f aca="true" t="shared" si="95" ref="E466:E470">"男"</f>
        <v>男</v>
      </c>
    </row>
    <row r="467" spans="1:5" s="4" customFormat="1" ht="19.5" customHeight="1">
      <c r="A467" s="8">
        <v>465</v>
      </c>
      <c r="B467" s="9" t="str">
        <f>"21902020071608495628694"</f>
        <v>21902020071608495628694</v>
      </c>
      <c r="C467" s="9" t="s">
        <v>9</v>
      </c>
      <c r="D467" s="9" t="str">
        <f>"吴乾斌"</f>
        <v>吴乾斌</v>
      </c>
      <c r="E467" s="9" t="str">
        <f t="shared" si="95"/>
        <v>男</v>
      </c>
    </row>
    <row r="468" spans="1:5" s="4" customFormat="1" ht="19.5" customHeight="1">
      <c r="A468" s="8">
        <v>466</v>
      </c>
      <c r="B468" s="9" t="str">
        <f>"21902020071610324028776"</f>
        <v>21902020071610324028776</v>
      </c>
      <c r="C468" s="9" t="s">
        <v>9</v>
      </c>
      <c r="D468" s="9" t="str">
        <f>"王紫萤"</f>
        <v>王紫萤</v>
      </c>
      <c r="E468" s="9" t="str">
        <f aca="true" t="shared" si="96" ref="E468:E473">"女"</f>
        <v>女</v>
      </c>
    </row>
    <row r="469" spans="1:5" s="4" customFormat="1" ht="19.5" customHeight="1">
      <c r="A469" s="8">
        <v>467</v>
      </c>
      <c r="B469" s="9" t="str">
        <f>"21902020071610571228799"</f>
        <v>21902020071610571228799</v>
      </c>
      <c r="C469" s="9" t="s">
        <v>9</v>
      </c>
      <c r="D469" s="9" t="str">
        <f>"王圣忠"</f>
        <v>王圣忠</v>
      </c>
      <c r="E469" s="9" t="str">
        <f t="shared" si="95"/>
        <v>男</v>
      </c>
    </row>
    <row r="470" spans="1:5" s="4" customFormat="1" ht="19.5" customHeight="1">
      <c r="A470" s="8">
        <v>468</v>
      </c>
      <c r="B470" s="9" t="str">
        <f>"21902020071611550328862"</f>
        <v>21902020071611550328862</v>
      </c>
      <c r="C470" s="9" t="s">
        <v>9</v>
      </c>
      <c r="D470" s="9" t="str">
        <f>"林艳功"</f>
        <v>林艳功</v>
      </c>
      <c r="E470" s="9" t="str">
        <f t="shared" si="95"/>
        <v>男</v>
      </c>
    </row>
    <row r="471" spans="1:5" s="4" customFormat="1" ht="19.5" customHeight="1">
      <c r="A471" s="8">
        <v>469</v>
      </c>
      <c r="B471" s="9" t="str">
        <f>"21902020071611551128863"</f>
        <v>21902020071611551128863</v>
      </c>
      <c r="C471" s="9" t="s">
        <v>9</v>
      </c>
      <c r="D471" s="9" t="str">
        <f>"薛桃丽"</f>
        <v>薛桃丽</v>
      </c>
      <c r="E471" s="9" t="str">
        <f t="shared" si="96"/>
        <v>女</v>
      </c>
    </row>
    <row r="472" spans="1:5" s="4" customFormat="1" ht="19.5" customHeight="1">
      <c r="A472" s="8">
        <v>470</v>
      </c>
      <c r="B472" s="9" t="str">
        <f>"21902020071612445928893"</f>
        <v>21902020071612445928893</v>
      </c>
      <c r="C472" s="9" t="s">
        <v>9</v>
      </c>
      <c r="D472" s="9" t="str">
        <f>"陈文丽"</f>
        <v>陈文丽</v>
      </c>
      <c r="E472" s="9" t="str">
        <f t="shared" si="96"/>
        <v>女</v>
      </c>
    </row>
    <row r="473" spans="1:5" s="4" customFormat="1" ht="19.5" customHeight="1">
      <c r="A473" s="8">
        <v>471</v>
      </c>
      <c r="B473" s="9" t="str">
        <f>"21902020071615542329025"</f>
        <v>21902020071615542329025</v>
      </c>
      <c r="C473" s="9" t="s">
        <v>9</v>
      </c>
      <c r="D473" s="9" t="str">
        <f>"尹春焱"</f>
        <v>尹春焱</v>
      </c>
      <c r="E473" s="9" t="str">
        <f t="shared" si="96"/>
        <v>女</v>
      </c>
    </row>
    <row r="474" spans="1:5" s="4" customFormat="1" ht="19.5" customHeight="1">
      <c r="A474" s="8">
        <v>472</v>
      </c>
      <c r="B474" s="9" t="str">
        <f>"21902020071617151429096"</f>
        <v>21902020071617151429096</v>
      </c>
      <c r="C474" s="9" t="s">
        <v>9</v>
      </c>
      <c r="D474" s="9" t="str">
        <f>"薛明厚"</f>
        <v>薛明厚</v>
      </c>
      <c r="E474" s="9" t="str">
        <f aca="true" t="shared" si="97" ref="E474:E479">"男"</f>
        <v>男</v>
      </c>
    </row>
    <row r="475" spans="1:5" s="4" customFormat="1" ht="19.5" customHeight="1">
      <c r="A475" s="8">
        <v>473</v>
      </c>
      <c r="B475" s="9" t="str">
        <f>"21902020071617294929110"</f>
        <v>21902020071617294929110</v>
      </c>
      <c r="C475" s="9" t="s">
        <v>9</v>
      </c>
      <c r="D475" s="9" t="str">
        <f>"符钊源"</f>
        <v>符钊源</v>
      </c>
      <c r="E475" s="9" t="str">
        <f t="shared" si="97"/>
        <v>男</v>
      </c>
    </row>
    <row r="476" spans="1:5" s="4" customFormat="1" ht="19.5" customHeight="1">
      <c r="A476" s="8">
        <v>474</v>
      </c>
      <c r="B476" s="9" t="str">
        <f>"21902020071618155529137"</f>
        <v>21902020071618155529137</v>
      </c>
      <c r="C476" s="9" t="s">
        <v>9</v>
      </c>
      <c r="D476" s="9" t="str">
        <f>"羊益仁"</f>
        <v>羊益仁</v>
      </c>
      <c r="E476" s="9" t="str">
        <f aca="true" t="shared" si="98" ref="E476:E481">"女"</f>
        <v>女</v>
      </c>
    </row>
    <row r="477" spans="1:5" s="4" customFormat="1" ht="19.5" customHeight="1">
      <c r="A477" s="8">
        <v>475</v>
      </c>
      <c r="B477" s="9" t="str">
        <f>"21902020071620284829200"</f>
        <v>21902020071620284829200</v>
      </c>
      <c r="C477" s="9" t="s">
        <v>9</v>
      </c>
      <c r="D477" s="9" t="str">
        <f>"严霞"</f>
        <v>严霞</v>
      </c>
      <c r="E477" s="9" t="str">
        <f t="shared" si="98"/>
        <v>女</v>
      </c>
    </row>
    <row r="478" spans="1:5" s="4" customFormat="1" ht="19.5" customHeight="1">
      <c r="A478" s="8">
        <v>476</v>
      </c>
      <c r="B478" s="9" t="str">
        <f>"21902020071622435529270"</f>
        <v>21902020071622435529270</v>
      </c>
      <c r="C478" s="9" t="s">
        <v>9</v>
      </c>
      <c r="D478" s="9" t="str">
        <f>"刘阳江"</f>
        <v>刘阳江</v>
      </c>
      <c r="E478" s="9" t="str">
        <f t="shared" si="97"/>
        <v>男</v>
      </c>
    </row>
    <row r="479" spans="1:5" s="4" customFormat="1" ht="19.5" customHeight="1">
      <c r="A479" s="8">
        <v>477</v>
      </c>
      <c r="B479" s="9" t="str">
        <f>"21902020071708460529338"</f>
        <v>21902020071708460529338</v>
      </c>
      <c r="C479" s="9" t="s">
        <v>9</v>
      </c>
      <c r="D479" s="9" t="str">
        <f>"陈壮慧"</f>
        <v>陈壮慧</v>
      </c>
      <c r="E479" s="9" t="str">
        <f t="shared" si="97"/>
        <v>男</v>
      </c>
    </row>
    <row r="480" spans="1:5" s="4" customFormat="1" ht="19.5" customHeight="1">
      <c r="A480" s="8">
        <v>478</v>
      </c>
      <c r="B480" s="9" t="str">
        <f>"21902020071708590329345"</f>
        <v>21902020071708590329345</v>
      </c>
      <c r="C480" s="9" t="s">
        <v>9</v>
      </c>
      <c r="D480" s="9" t="str">
        <f>"周霞"</f>
        <v>周霞</v>
      </c>
      <c r="E480" s="9" t="str">
        <f t="shared" si="98"/>
        <v>女</v>
      </c>
    </row>
    <row r="481" spans="1:5" s="4" customFormat="1" ht="19.5" customHeight="1">
      <c r="A481" s="8">
        <v>479</v>
      </c>
      <c r="B481" s="9" t="str">
        <f>"21902020071709023229346"</f>
        <v>21902020071709023229346</v>
      </c>
      <c r="C481" s="9" t="s">
        <v>9</v>
      </c>
      <c r="D481" s="9" t="str">
        <f>"吴燕婷"</f>
        <v>吴燕婷</v>
      </c>
      <c r="E481" s="9" t="str">
        <f t="shared" si="98"/>
        <v>女</v>
      </c>
    </row>
    <row r="482" spans="1:5" s="4" customFormat="1" ht="19.5" customHeight="1">
      <c r="A482" s="8">
        <v>480</v>
      </c>
      <c r="B482" s="9" t="str">
        <f>"21902020071710132229396"</f>
        <v>21902020071710132229396</v>
      </c>
      <c r="C482" s="9" t="s">
        <v>9</v>
      </c>
      <c r="D482" s="9" t="str">
        <f>"羊更卓"</f>
        <v>羊更卓</v>
      </c>
      <c r="E482" s="9" t="str">
        <f aca="true" t="shared" si="99" ref="E482:E489">"男"</f>
        <v>男</v>
      </c>
    </row>
    <row r="483" spans="1:5" s="4" customFormat="1" ht="19.5" customHeight="1">
      <c r="A483" s="8">
        <v>481</v>
      </c>
      <c r="B483" s="9" t="str">
        <f>"21902020071710564229427"</f>
        <v>21902020071710564229427</v>
      </c>
      <c r="C483" s="9" t="s">
        <v>9</v>
      </c>
      <c r="D483" s="9" t="str">
        <f>"唐小兰"</f>
        <v>唐小兰</v>
      </c>
      <c r="E483" s="9" t="str">
        <f>"女"</f>
        <v>女</v>
      </c>
    </row>
    <row r="484" spans="1:5" s="4" customFormat="1" ht="19.5" customHeight="1">
      <c r="A484" s="8">
        <v>482</v>
      </c>
      <c r="B484" s="9" t="str">
        <f>"21902020071711202729449"</f>
        <v>21902020071711202729449</v>
      </c>
      <c r="C484" s="9" t="s">
        <v>9</v>
      </c>
      <c r="D484" s="9" t="str">
        <f>"符在京"</f>
        <v>符在京</v>
      </c>
      <c r="E484" s="9" t="str">
        <f t="shared" si="99"/>
        <v>男</v>
      </c>
    </row>
    <row r="485" spans="1:5" s="4" customFormat="1" ht="19.5" customHeight="1">
      <c r="A485" s="8">
        <v>483</v>
      </c>
      <c r="B485" s="9" t="str">
        <f>"21902020071712080029487"</f>
        <v>21902020071712080029487</v>
      </c>
      <c r="C485" s="9" t="s">
        <v>9</v>
      </c>
      <c r="D485" s="9" t="str">
        <f>"何聪伟"</f>
        <v>何聪伟</v>
      </c>
      <c r="E485" s="9" t="str">
        <f t="shared" si="99"/>
        <v>男</v>
      </c>
    </row>
    <row r="486" spans="1:5" s="4" customFormat="1" ht="19.5" customHeight="1">
      <c r="A486" s="8">
        <v>484</v>
      </c>
      <c r="B486" s="9" t="str">
        <f>"21902020071714545229568"</f>
        <v>21902020071714545229568</v>
      </c>
      <c r="C486" s="9" t="s">
        <v>9</v>
      </c>
      <c r="D486" s="9" t="str">
        <f>"林树本"</f>
        <v>林树本</v>
      </c>
      <c r="E486" s="9" t="str">
        <f t="shared" si="99"/>
        <v>男</v>
      </c>
    </row>
    <row r="487" spans="1:5" s="4" customFormat="1" ht="19.5" customHeight="1">
      <c r="A487" s="8">
        <v>485</v>
      </c>
      <c r="B487" s="9" t="str">
        <f>"21902020071715245929590"</f>
        <v>21902020071715245929590</v>
      </c>
      <c r="C487" s="9" t="s">
        <v>9</v>
      </c>
      <c r="D487" s="9" t="str">
        <f>"王伟聪"</f>
        <v>王伟聪</v>
      </c>
      <c r="E487" s="9" t="str">
        <f t="shared" si="99"/>
        <v>男</v>
      </c>
    </row>
    <row r="488" spans="1:5" s="4" customFormat="1" ht="19.5" customHeight="1">
      <c r="A488" s="8">
        <v>486</v>
      </c>
      <c r="B488" s="9" t="str">
        <f>"21902020071715280929592"</f>
        <v>21902020071715280929592</v>
      </c>
      <c r="C488" s="9" t="s">
        <v>9</v>
      </c>
      <c r="D488" s="9" t="str">
        <f>"官建君"</f>
        <v>官建君</v>
      </c>
      <c r="E488" s="9" t="str">
        <f t="shared" si="99"/>
        <v>男</v>
      </c>
    </row>
    <row r="489" spans="1:5" s="4" customFormat="1" ht="19.5" customHeight="1">
      <c r="A489" s="8">
        <v>487</v>
      </c>
      <c r="B489" s="9" t="str">
        <f>"21902020071715342729599"</f>
        <v>21902020071715342729599</v>
      </c>
      <c r="C489" s="9" t="s">
        <v>9</v>
      </c>
      <c r="D489" s="9" t="str">
        <f>"李明保"</f>
        <v>李明保</v>
      </c>
      <c r="E489" s="9" t="str">
        <f t="shared" si="99"/>
        <v>男</v>
      </c>
    </row>
    <row r="490" spans="1:5" s="4" customFormat="1" ht="19.5" customHeight="1">
      <c r="A490" s="8">
        <v>488</v>
      </c>
      <c r="B490" s="9" t="str">
        <f>"21902020071716544429657"</f>
        <v>21902020071716544429657</v>
      </c>
      <c r="C490" s="9" t="s">
        <v>9</v>
      </c>
      <c r="D490" s="9" t="str">
        <f>"陈蔓"</f>
        <v>陈蔓</v>
      </c>
      <c r="E490" s="9" t="str">
        <f aca="true" t="shared" si="100" ref="E490:E495">"女"</f>
        <v>女</v>
      </c>
    </row>
    <row r="491" spans="1:5" s="4" customFormat="1" ht="19.5" customHeight="1">
      <c r="A491" s="8">
        <v>489</v>
      </c>
      <c r="B491" s="9" t="str">
        <f>"21902020071717403429682"</f>
        <v>21902020071717403429682</v>
      </c>
      <c r="C491" s="9" t="s">
        <v>9</v>
      </c>
      <c r="D491" s="9" t="str">
        <f>"王世优"</f>
        <v>王世优</v>
      </c>
      <c r="E491" s="9" t="str">
        <f aca="true" t="shared" si="101" ref="E491:E494">"男"</f>
        <v>男</v>
      </c>
    </row>
    <row r="492" spans="1:5" s="4" customFormat="1" ht="19.5" customHeight="1">
      <c r="A492" s="8">
        <v>490</v>
      </c>
      <c r="B492" s="9" t="str">
        <f>"21902020071717581629693"</f>
        <v>21902020071717581629693</v>
      </c>
      <c r="C492" s="9" t="s">
        <v>9</v>
      </c>
      <c r="D492" s="9" t="str">
        <f>"郑雨霖"</f>
        <v>郑雨霖</v>
      </c>
      <c r="E492" s="9" t="str">
        <f t="shared" si="101"/>
        <v>男</v>
      </c>
    </row>
    <row r="493" spans="1:5" s="4" customFormat="1" ht="19.5" customHeight="1">
      <c r="A493" s="8">
        <v>491</v>
      </c>
      <c r="B493" s="9" t="str">
        <f>"21902020071723425029796"</f>
        <v>21902020071723425029796</v>
      </c>
      <c r="C493" s="9" t="s">
        <v>9</v>
      </c>
      <c r="D493" s="9" t="str">
        <f>"朱含倩"</f>
        <v>朱含倩</v>
      </c>
      <c r="E493" s="9" t="str">
        <f t="shared" si="100"/>
        <v>女</v>
      </c>
    </row>
    <row r="494" spans="1:5" s="4" customFormat="1" ht="19.5" customHeight="1">
      <c r="A494" s="8">
        <v>492</v>
      </c>
      <c r="B494" s="9" t="str">
        <f>"21902020071810330529849"</f>
        <v>21902020071810330529849</v>
      </c>
      <c r="C494" s="9" t="s">
        <v>9</v>
      </c>
      <c r="D494" s="9" t="str">
        <f>"李德伟"</f>
        <v>李德伟</v>
      </c>
      <c r="E494" s="9" t="str">
        <f t="shared" si="101"/>
        <v>男</v>
      </c>
    </row>
    <row r="495" spans="1:5" s="4" customFormat="1" ht="19.5" customHeight="1">
      <c r="A495" s="8">
        <v>493</v>
      </c>
      <c r="B495" s="9" t="str">
        <f>"21902020071811214829873"</f>
        <v>21902020071811214829873</v>
      </c>
      <c r="C495" s="9" t="s">
        <v>9</v>
      </c>
      <c r="D495" s="9" t="str">
        <f>"何在丹"</f>
        <v>何在丹</v>
      </c>
      <c r="E495" s="9" t="str">
        <f t="shared" si="100"/>
        <v>女</v>
      </c>
    </row>
    <row r="496" spans="1:5" s="4" customFormat="1" ht="19.5" customHeight="1">
      <c r="A496" s="8">
        <v>494</v>
      </c>
      <c r="B496" s="9" t="str">
        <f>"21902020071811544429879"</f>
        <v>21902020071811544429879</v>
      </c>
      <c r="C496" s="9" t="s">
        <v>9</v>
      </c>
      <c r="D496" s="9" t="str">
        <f>"汤玉棋"</f>
        <v>汤玉棋</v>
      </c>
      <c r="E496" s="9" t="str">
        <f aca="true" t="shared" si="102" ref="E496:E498">"男"</f>
        <v>男</v>
      </c>
    </row>
    <row r="497" spans="1:5" s="4" customFormat="1" ht="19.5" customHeight="1">
      <c r="A497" s="8">
        <v>495</v>
      </c>
      <c r="B497" s="9" t="str">
        <f>"21902020071821154230044"</f>
        <v>21902020071821154230044</v>
      </c>
      <c r="C497" s="9" t="s">
        <v>9</v>
      </c>
      <c r="D497" s="9" t="str">
        <f>"林资杰"</f>
        <v>林资杰</v>
      </c>
      <c r="E497" s="9" t="str">
        <f t="shared" si="102"/>
        <v>男</v>
      </c>
    </row>
    <row r="498" spans="1:5" s="4" customFormat="1" ht="19.5" customHeight="1">
      <c r="A498" s="8">
        <v>496</v>
      </c>
      <c r="B498" s="9" t="str">
        <f>"21902020071821340330050"</f>
        <v>21902020071821340330050</v>
      </c>
      <c r="C498" s="9" t="s">
        <v>9</v>
      </c>
      <c r="D498" s="9" t="str">
        <f>"左代伟"</f>
        <v>左代伟</v>
      </c>
      <c r="E498" s="9" t="str">
        <f t="shared" si="102"/>
        <v>男</v>
      </c>
    </row>
    <row r="499" spans="1:5" s="4" customFormat="1" ht="19.5" customHeight="1">
      <c r="A499" s="8">
        <v>497</v>
      </c>
      <c r="B499" s="9" t="str">
        <f>"21902020071908501930096"</f>
        <v>21902020071908501930096</v>
      </c>
      <c r="C499" s="9" t="s">
        <v>9</v>
      </c>
      <c r="D499" s="9" t="str">
        <f>"谭琦航"</f>
        <v>谭琦航</v>
      </c>
      <c r="E499" s="9" t="str">
        <f aca="true" t="shared" si="103" ref="E499:E504">"女"</f>
        <v>女</v>
      </c>
    </row>
    <row r="500" spans="1:5" s="4" customFormat="1" ht="19.5" customHeight="1">
      <c r="A500" s="8">
        <v>498</v>
      </c>
      <c r="B500" s="9" t="str">
        <f>"21902020071912395430168"</f>
        <v>21902020071912395430168</v>
      </c>
      <c r="C500" s="9" t="s">
        <v>9</v>
      </c>
      <c r="D500" s="9" t="str">
        <f>"杨植森"</f>
        <v>杨植森</v>
      </c>
      <c r="E500" s="9" t="str">
        <f aca="true" t="shared" si="104" ref="E500:E505">"男"</f>
        <v>男</v>
      </c>
    </row>
    <row r="501" spans="1:5" s="4" customFormat="1" ht="19.5" customHeight="1">
      <c r="A501" s="8">
        <v>499</v>
      </c>
      <c r="B501" s="9" t="str">
        <f>"21902020071918121330291"</f>
        <v>21902020071918121330291</v>
      </c>
      <c r="C501" s="9" t="s">
        <v>9</v>
      </c>
      <c r="D501" s="9" t="str">
        <f>"甘婷"</f>
        <v>甘婷</v>
      </c>
      <c r="E501" s="9" t="str">
        <f t="shared" si="103"/>
        <v>女</v>
      </c>
    </row>
    <row r="502" spans="1:5" s="4" customFormat="1" ht="19.5" customHeight="1">
      <c r="A502" s="8">
        <v>500</v>
      </c>
      <c r="B502" s="9" t="str">
        <f>"21902020071919130930309"</f>
        <v>21902020071919130930309</v>
      </c>
      <c r="C502" s="9" t="s">
        <v>9</v>
      </c>
      <c r="D502" s="9" t="str">
        <f>"王明旺"</f>
        <v>王明旺</v>
      </c>
      <c r="E502" s="9" t="str">
        <f t="shared" si="104"/>
        <v>男</v>
      </c>
    </row>
    <row r="503" spans="1:5" s="4" customFormat="1" ht="19.5" customHeight="1">
      <c r="A503" s="8">
        <v>501</v>
      </c>
      <c r="B503" s="9" t="str">
        <f>"21902020071922291230369"</f>
        <v>21902020071922291230369</v>
      </c>
      <c r="C503" s="9" t="s">
        <v>9</v>
      </c>
      <c r="D503" s="9" t="str">
        <f>"潘月圆"</f>
        <v>潘月圆</v>
      </c>
      <c r="E503" s="9" t="str">
        <f t="shared" si="103"/>
        <v>女</v>
      </c>
    </row>
    <row r="504" spans="1:5" s="4" customFormat="1" ht="19.5" customHeight="1">
      <c r="A504" s="8">
        <v>502</v>
      </c>
      <c r="B504" s="9" t="str">
        <f>"21902020071922572530384"</f>
        <v>21902020071922572530384</v>
      </c>
      <c r="C504" s="9" t="s">
        <v>9</v>
      </c>
      <c r="D504" s="9" t="str">
        <f>"许海花"</f>
        <v>许海花</v>
      </c>
      <c r="E504" s="9" t="str">
        <f t="shared" si="103"/>
        <v>女</v>
      </c>
    </row>
    <row r="505" spans="1:5" s="4" customFormat="1" ht="19.5" customHeight="1">
      <c r="A505" s="8">
        <v>503</v>
      </c>
      <c r="B505" s="9" t="str">
        <f>"21902020072000203930411"</f>
        <v>21902020072000203930411</v>
      </c>
      <c r="C505" s="9" t="s">
        <v>9</v>
      </c>
      <c r="D505" s="9" t="str">
        <f>"张才容"</f>
        <v>张才容</v>
      </c>
      <c r="E505" s="9" t="str">
        <f t="shared" si="104"/>
        <v>男</v>
      </c>
    </row>
    <row r="506" spans="1:5" s="4" customFormat="1" ht="19.5" customHeight="1">
      <c r="A506" s="8">
        <v>504</v>
      </c>
      <c r="B506" s="9" t="str">
        <f>"21902020072000385030417"</f>
        <v>21902020072000385030417</v>
      </c>
      <c r="C506" s="9" t="s">
        <v>9</v>
      </c>
      <c r="D506" s="9" t="str">
        <f>"符永萍"</f>
        <v>符永萍</v>
      </c>
      <c r="E506" s="9" t="str">
        <f aca="true" t="shared" si="105" ref="E506:E510">"女"</f>
        <v>女</v>
      </c>
    </row>
    <row r="507" spans="1:5" s="4" customFormat="1" ht="19.5" customHeight="1">
      <c r="A507" s="8">
        <v>505</v>
      </c>
      <c r="B507" s="9" t="str">
        <f>"21902020072010161230518"</f>
        <v>21902020072010161230518</v>
      </c>
      <c r="C507" s="9" t="s">
        <v>9</v>
      </c>
      <c r="D507" s="9" t="str">
        <f>"羊丽妹"</f>
        <v>羊丽妹</v>
      </c>
      <c r="E507" s="9" t="str">
        <f t="shared" si="105"/>
        <v>女</v>
      </c>
    </row>
    <row r="508" spans="1:5" s="4" customFormat="1" ht="19.5" customHeight="1">
      <c r="A508" s="8">
        <v>506</v>
      </c>
      <c r="B508" s="9" t="str">
        <f>"21902020072012431930625"</f>
        <v>21902020072012431930625</v>
      </c>
      <c r="C508" s="9" t="s">
        <v>9</v>
      </c>
      <c r="D508" s="9" t="str">
        <f>"陈业寿"</f>
        <v>陈业寿</v>
      </c>
      <c r="E508" s="9" t="str">
        <f>"男"</f>
        <v>男</v>
      </c>
    </row>
    <row r="509" spans="1:5" s="4" customFormat="1" ht="19.5" customHeight="1">
      <c r="A509" s="8">
        <v>507</v>
      </c>
      <c r="B509" s="9" t="str">
        <f>"21902020072013063830639"</f>
        <v>21902020072013063830639</v>
      </c>
      <c r="C509" s="9" t="s">
        <v>9</v>
      </c>
      <c r="D509" s="9" t="str">
        <f>"朱厚旺"</f>
        <v>朱厚旺</v>
      </c>
      <c r="E509" s="9" t="str">
        <f>"男"</f>
        <v>男</v>
      </c>
    </row>
    <row r="510" spans="1:5" s="4" customFormat="1" ht="19.5" customHeight="1">
      <c r="A510" s="8">
        <v>508</v>
      </c>
      <c r="B510" s="9" t="str">
        <f>"21902020072014494330698"</f>
        <v>21902020072014494330698</v>
      </c>
      <c r="C510" s="9" t="s">
        <v>9</v>
      </c>
      <c r="D510" s="9" t="str">
        <f>"高卉"</f>
        <v>高卉</v>
      </c>
      <c r="E510" s="9" t="str">
        <f t="shared" si="105"/>
        <v>女</v>
      </c>
    </row>
    <row r="511" spans="1:5" ht="19.5" customHeight="1">
      <c r="A511" s="8">
        <v>509</v>
      </c>
      <c r="B511" s="8" t="str">
        <f>"21902020071409005725925"</f>
        <v>21902020071409005725925</v>
      </c>
      <c r="C511" s="8" t="s">
        <v>10</v>
      </c>
      <c r="D511" s="8" t="str">
        <f>"卢家涛"</f>
        <v>卢家涛</v>
      </c>
      <c r="E511" s="8" t="str">
        <f aca="true" t="shared" si="106" ref="E511:E517">"男"</f>
        <v>男</v>
      </c>
    </row>
    <row r="512" spans="1:5" ht="19.5" customHeight="1">
      <c r="A512" s="8">
        <v>510</v>
      </c>
      <c r="B512" s="8" t="str">
        <f>"21902020071409045525963"</f>
        <v>21902020071409045525963</v>
      </c>
      <c r="C512" s="8" t="s">
        <v>10</v>
      </c>
      <c r="D512" s="8" t="str">
        <f>"李贻平"</f>
        <v>李贻平</v>
      </c>
      <c r="E512" s="8" t="str">
        <f t="shared" si="106"/>
        <v>男</v>
      </c>
    </row>
    <row r="513" spans="1:5" ht="19.5" customHeight="1">
      <c r="A513" s="8">
        <v>511</v>
      </c>
      <c r="B513" s="8" t="str">
        <f>"21902020071409052825967"</f>
        <v>21902020071409052825967</v>
      </c>
      <c r="C513" s="8" t="s">
        <v>10</v>
      </c>
      <c r="D513" s="8" t="str">
        <f>"蔡玉彪"</f>
        <v>蔡玉彪</v>
      </c>
      <c r="E513" s="8" t="str">
        <f t="shared" si="106"/>
        <v>男</v>
      </c>
    </row>
    <row r="514" spans="1:5" ht="19.5" customHeight="1">
      <c r="A514" s="8">
        <v>512</v>
      </c>
      <c r="B514" s="8" t="str">
        <f>"21902020071409134726027"</f>
        <v>21902020071409134726027</v>
      </c>
      <c r="C514" s="8" t="s">
        <v>10</v>
      </c>
      <c r="D514" s="8" t="str">
        <f>"许禄德"</f>
        <v>许禄德</v>
      </c>
      <c r="E514" s="8" t="str">
        <f t="shared" si="106"/>
        <v>男</v>
      </c>
    </row>
    <row r="515" spans="1:5" ht="19.5" customHeight="1">
      <c r="A515" s="8">
        <v>513</v>
      </c>
      <c r="B515" s="8" t="str">
        <f>"21902020071409152526040"</f>
        <v>21902020071409152526040</v>
      </c>
      <c r="C515" s="8" t="s">
        <v>10</v>
      </c>
      <c r="D515" s="8" t="str">
        <f>"陈政论"</f>
        <v>陈政论</v>
      </c>
      <c r="E515" s="8" t="str">
        <f t="shared" si="106"/>
        <v>男</v>
      </c>
    </row>
    <row r="516" spans="1:5" ht="19.5" customHeight="1">
      <c r="A516" s="8">
        <v>514</v>
      </c>
      <c r="B516" s="8" t="str">
        <f>"21902020071409154226041"</f>
        <v>21902020071409154226041</v>
      </c>
      <c r="C516" s="8" t="s">
        <v>10</v>
      </c>
      <c r="D516" s="8" t="str">
        <f>"羊国强"</f>
        <v>羊国强</v>
      </c>
      <c r="E516" s="8" t="str">
        <f t="shared" si="106"/>
        <v>男</v>
      </c>
    </row>
    <row r="517" spans="1:5" ht="19.5" customHeight="1">
      <c r="A517" s="8">
        <v>515</v>
      </c>
      <c r="B517" s="8" t="str">
        <f>"21902020071409222026081"</f>
        <v>21902020071409222026081</v>
      </c>
      <c r="C517" s="8" t="s">
        <v>10</v>
      </c>
      <c r="D517" s="8" t="str">
        <f>"王俊强"</f>
        <v>王俊强</v>
      </c>
      <c r="E517" s="8" t="str">
        <f t="shared" si="106"/>
        <v>男</v>
      </c>
    </row>
    <row r="518" spans="1:5" ht="19.5" customHeight="1">
      <c r="A518" s="8">
        <v>516</v>
      </c>
      <c r="B518" s="8" t="str">
        <f>"21902020071409245726094"</f>
        <v>21902020071409245726094</v>
      </c>
      <c r="C518" s="8" t="s">
        <v>10</v>
      </c>
      <c r="D518" s="8" t="str">
        <f>"羊丽芳"</f>
        <v>羊丽芳</v>
      </c>
      <c r="E518" s="8" t="str">
        <f>"女"</f>
        <v>女</v>
      </c>
    </row>
    <row r="519" spans="1:5" ht="19.5" customHeight="1">
      <c r="A519" s="8">
        <v>517</v>
      </c>
      <c r="B519" s="8" t="str">
        <f>"21902020071409332426124"</f>
        <v>21902020071409332426124</v>
      </c>
      <c r="C519" s="8" t="s">
        <v>10</v>
      </c>
      <c r="D519" s="8" t="str">
        <f>"符克申"</f>
        <v>符克申</v>
      </c>
      <c r="E519" s="8" t="str">
        <f>"男"</f>
        <v>男</v>
      </c>
    </row>
    <row r="520" spans="1:5" ht="19.5" customHeight="1">
      <c r="A520" s="8">
        <v>518</v>
      </c>
      <c r="B520" s="8" t="str">
        <f>"21902020071409334826127"</f>
        <v>21902020071409334826127</v>
      </c>
      <c r="C520" s="8" t="s">
        <v>10</v>
      </c>
      <c r="D520" s="8" t="str">
        <f>"张曼"</f>
        <v>张曼</v>
      </c>
      <c r="E520" s="8" t="str">
        <f>"女"</f>
        <v>女</v>
      </c>
    </row>
    <row r="521" spans="1:5" ht="19.5" customHeight="1">
      <c r="A521" s="8">
        <v>519</v>
      </c>
      <c r="B521" s="8" t="str">
        <f>"21902020071409421926167"</f>
        <v>21902020071409421926167</v>
      </c>
      <c r="C521" s="8" t="s">
        <v>10</v>
      </c>
      <c r="D521" s="8" t="str">
        <f>"陈生武"</f>
        <v>陈生武</v>
      </c>
      <c r="E521" s="8" t="str">
        <f>"男"</f>
        <v>男</v>
      </c>
    </row>
    <row r="522" spans="1:5" ht="19.5" customHeight="1">
      <c r="A522" s="8">
        <v>520</v>
      </c>
      <c r="B522" s="8" t="str">
        <f>"21902020071409444126172"</f>
        <v>21902020071409444126172</v>
      </c>
      <c r="C522" s="8" t="s">
        <v>10</v>
      </c>
      <c r="D522" s="8" t="str">
        <f>"李友爱"</f>
        <v>李友爱</v>
      </c>
      <c r="E522" s="8" t="str">
        <f>"女"</f>
        <v>女</v>
      </c>
    </row>
    <row r="523" spans="1:5" ht="19.5" customHeight="1">
      <c r="A523" s="8">
        <v>521</v>
      </c>
      <c r="B523" s="8" t="str">
        <f>"21902020071409482526189"</f>
        <v>21902020071409482526189</v>
      </c>
      <c r="C523" s="8" t="s">
        <v>10</v>
      </c>
      <c r="D523" s="8" t="str">
        <f>"朱发达"</f>
        <v>朱发达</v>
      </c>
      <c r="E523" s="8" t="str">
        <f aca="true" t="shared" si="107" ref="E523:E528">"男"</f>
        <v>男</v>
      </c>
    </row>
    <row r="524" spans="1:5" ht="19.5" customHeight="1">
      <c r="A524" s="8">
        <v>522</v>
      </c>
      <c r="B524" s="8" t="str">
        <f>"21902020071409585226232"</f>
        <v>21902020071409585226232</v>
      </c>
      <c r="C524" s="8" t="s">
        <v>10</v>
      </c>
      <c r="D524" s="8" t="str">
        <f>"羊振杰"</f>
        <v>羊振杰</v>
      </c>
      <c r="E524" s="8" t="str">
        <f t="shared" si="107"/>
        <v>男</v>
      </c>
    </row>
    <row r="525" spans="1:5" ht="19.5" customHeight="1">
      <c r="A525" s="8">
        <v>523</v>
      </c>
      <c r="B525" s="8" t="str">
        <f>"21902020071410104626296"</f>
        <v>21902020071410104626296</v>
      </c>
      <c r="C525" s="8" t="s">
        <v>10</v>
      </c>
      <c r="D525" s="8" t="str">
        <f>"符斌"</f>
        <v>符斌</v>
      </c>
      <c r="E525" s="8" t="str">
        <f t="shared" si="107"/>
        <v>男</v>
      </c>
    </row>
    <row r="526" spans="1:5" ht="19.5" customHeight="1">
      <c r="A526" s="8">
        <v>524</v>
      </c>
      <c r="B526" s="8" t="str">
        <f>"21902020071410114226298"</f>
        <v>21902020071410114226298</v>
      </c>
      <c r="C526" s="8" t="s">
        <v>10</v>
      </c>
      <c r="D526" s="8" t="str">
        <f>"郑壮平"</f>
        <v>郑壮平</v>
      </c>
      <c r="E526" s="8" t="str">
        <f t="shared" si="107"/>
        <v>男</v>
      </c>
    </row>
    <row r="527" spans="1:5" ht="19.5" customHeight="1">
      <c r="A527" s="8">
        <v>525</v>
      </c>
      <c r="B527" s="8" t="str">
        <f>"21902020071410121126302"</f>
        <v>21902020071410121126302</v>
      </c>
      <c r="C527" s="8" t="s">
        <v>10</v>
      </c>
      <c r="D527" s="8" t="str">
        <f>"周伟武"</f>
        <v>周伟武</v>
      </c>
      <c r="E527" s="8" t="str">
        <f t="shared" si="107"/>
        <v>男</v>
      </c>
    </row>
    <row r="528" spans="1:5" ht="19.5" customHeight="1">
      <c r="A528" s="8">
        <v>526</v>
      </c>
      <c r="B528" s="8" t="str">
        <f>"21902020071410200626335"</f>
        <v>21902020071410200626335</v>
      </c>
      <c r="C528" s="8" t="s">
        <v>10</v>
      </c>
      <c r="D528" s="8" t="str">
        <f>"王开彦"</f>
        <v>王开彦</v>
      </c>
      <c r="E528" s="8" t="str">
        <f t="shared" si="107"/>
        <v>男</v>
      </c>
    </row>
    <row r="529" spans="1:5" ht="19.5" customHeight="1">
      <c r="A529" s="8">
        <v>527</v>
      </c>
      <c r="B529" s="8" t="str">
        <f>"21902020071410223426342"</f>
        <v>21902020071410223426342</v>
      </c>
      <c r="C529" s="8" t="s">
        <v>10</v>
      </c>
      <c r="D529" s="8" t="str">
        <f>"吉秀燕"</f>
        <v>吉秀燕</v>
      </c>
      <c r="E529" s="8" t="str">
        <f>"女"</f>
        <v>女</v>
      </c>
    </row>
    <row r="530" spans="1:5" ht="19.5" customHeight="1">
      <c r="A530" s="8">
        <v>528</v>
      </c>
      <c r="B530" s="8" t="str">
        <f>"21902020071410341126387"</f>
        <v>21902020071410341126387</v>
      </c>
      <c r="C530" s="8" t="s">
        <v>10</v>
      </c>
      <c r="D530" s="8" t="str">
        <f>"李妹"</f>
        <v>李妹</v>
      </c>
      <c r="E530" s="8" t="str">
        <f>"女"</f>
        <v>女</v>
      </c>
    </row>
    <row r="531" spans="1:5" ht="19.5" customHeight="1">
      <c r="A531" s="8">
        <v>529</v>
      </c>
      <c r="B531" s="8" t="str">
        <f>"21902020071410361626395"</f>
        <v>21902020071410361626395</v>
      </c>
      <c r="C531" s="8" t="s">
        <v>10</v>
      </c>
      <c r="D531" s="8" t="str">
        <f>"羊玉夏"</f>
        <v>羊玉夏</v>
      </c>
      <c r="E531" s="8" t="str">
        <f>"女"</f>
        <v>女</v>
      </c>
    </row>
    <row r="532" spans="1:5" ht="19.5" customHeight="1">
      <c r="A532" s="8">
        <v>530</v>
      </c>
      <c r="B532" s="8" t="str">
        <f>"21902020071410411426411"</f>
        <v>21902020071410411426411</v>
      </c>
      <c r="C532" s="8" t="s">
        <v>10</v>
      </c>
      <c r="D532" s="8" t="str">
        <f>"何华丰"</f>
        <v>何华丰</v>
      </c>
      <c r="E532" s="8" t="str">
        <f>"男"</f>
        <v>男</v>
      </c>
    </row>
    <row r="533" spans="1:5" ht="19.5" customHeight="1">
      <c r="A533" s="8">
        <v>531</v>
      </c>
      <c r="B533" s="8" t="str">
        <f>"21902020071410452126425"</f>
        <v>21902020071410452126425</v>
      </c>
      <c r="C533" s="8" t="s">
        <v>10</v>
      </c>
      <c r="D533" s="8" t="str">
        <f>"羊维强"</f>
        <v>羊维强</v>
      </c>
      <c r="E533" s="8" t="str">
        <f>"男"</f>
        <v>男</v>
      </c>
    </row>
    <row r="534" spans="1:5" ht="19.5" customHeight="1">
      <c r="A534" s="8">
        <v>532</v>
      </c>
      <c r="B534" s="8" t="str">
        <f>"21902020071410524626454"</f>
        <v>21902020071410524626454</v>
      </c>
      <c r="C534" s="8" t="s">
        <v>10</v>
      </c>
      <c r="D534" s="8" t="str">
        <f>"李孟彬"</f>
        <v>李孟彬</v>
      </c>
      <c r="E534" s="8" t="str">
        <f>"男"</f>
        <v>男</v>
      </c>
    </row>
    <row r="535" spans="1:5" ht="19.5" customHeight="1">
      <c r="A535" s="8">
        <v>533</v>
      </c>
      <c r="B535" s="8" t="str">
        <f>"21902020071410543726460"</f>
        <v>21902020071410543726460</v>
      </c>
      <c r="C535" s="8" t="s">
        <v>10</v>
      </c>
      <c r="D535" s="8" t="str">
        <f>"郑雪全"</f>
        <v>郑雪全</v>
      </c>
      <c r="E535" s="8" t="str">
        <f>"男"</f>
        <v>男</v>
      </c>
    </row>
    <row r="536" spans="1:5" ht="19.5" customHeight="1">
      <c r="A536" s="8">
        <v>534</v>
      </c>
      <c r="B536" s="8" t="str">
        <f>"21902020071410555026463"</f>
        <v>21902020071410555026463</v>
      </c>
      <c r="C536" s="8" t="s">
        <v>10</v>
      </c>
      <c r="D536" s="8" t="str">
        <f>"林敏波"</f>
        <v>林敏波</v>
      </c>
      <c r="E536" s="8" t="str">
        <f>"女"</f>
        <v>女</v>
      </c>
    </row>
    <row r="537" spans="1:5" ht="19.5" customHeight="1">
      <c r="A537" s="8">
        <v>535</v>
      </c>
      <c r="B537" s="8" t="str">
        <f>"21902020071411001026475"</f>
        <v>21902020071411001026475</v>
      </c>
      <c r="C537" s="8" t="s">
        <v>10</v>
      </c>
      <c r="D537" s="8" t="str">
        <f>"羊富连"</f>
        <v>羊富连</v>
      </c>
      <c r="E537" s="8" t="str">
        <f>"女"</f>
        <v>女</v>
      </c>
    </row>
    <row r="538" spans="1:5" ht="19.5" customHeight="1">
      <c r="A538" s="8">
        <v>536</v>
      </c>
      <c r="B538" s="8" t="str">
        <f>"21902020071411164226533"</f>
        <v>21902020071411164226533</v>
      </c>
      <c r="C538" s="8" t="s">
        <v>10</v>
      </c>
      <c r="D538" s="8" t="str">
        <f>"郭倩芳"</f>
        <v>郭倩芳</v>
      </c>
      <c r="E538" s="8" t="str">
        <f>"女"</f>
        <v>女</v>
      </c>
    </row>
    <row r="539" spans="1:5" ht="19.5" customHeight="1">
      <c r="A539" s="8">
        <v>537</v>
      </c>
      <c r="B539" s="8" t="str">
        <f>"21902020071411194626541"</f>
        <v>21902020071411194626541</v>
      </c>
      <c r="C539" s="8" t="s">
        <v>10</v>
      </c>
      <c r="D539" s="8" t="str">
        <f>"李昌业"</f>
        <v>李昌业</v>
      </c>
      <c r="E539" s="8" t="str">
        <f>"男"</f>
        <v>男</v>
      </c>
    </row>
    <row r="540" spans="1:5" ht="19.5" customHeight="1">
      <c r="A540" s="8">
        <v>538</v>
      </c>
      <c r="B540" s="8" t="str">
        <f>"21902020071411210826547"</f>
        <v>21902020071411210826547</v>
      </c>
      <c r="C540" s="8" t="s">
        <v>10</v>
      </c>
      <c r="D540" s="8" t="str">
        <f>"周明"</f>
        <v>周明</v>
      </c>
      <c r="E540" s="8" t="str">
        <f>"男"</f>
        <v>男</v>
      </c>
    </row>
    <row r="541" spans="1:5" ht="19.5" customHeight="1">
      <c r="A541" s="8">
        <v>539</v>
      </c>
      <c r="B541" s="8" t="str">
        <f>"21902020071411315526564"</f>
        <v>21902020071411315526564</v>
      </c>
      <c r="C541" s="8" t="s">
        <v>10</v>
      </c>
      <c r="D541" s="8" t="str">
        <f>"林智东"</f>
        <v>林智东</v>
      </c>
      <c r="E541" s="8" t="str">
        <f>"男"</f>
        <v>男</v>
      </c>
    </row>
    <row r="542" spans="1:5" ht="19.5" customHeight="1">
      <c r="A542" s="8">
        <v>540</v>
      </c>
      <c r="B542" s="8" t="str">
        <f>"21902020071411352126571"</f>
        <v>21902020071411352126571</v>
      </c>
      <c r="C542" s="8" t="s">
        <v>10</v>
      </c>
      <c r="D542" s="8" t="str">
        <f>"周琼秀"</f>
        <v>周琼秀</v>
      </c>
      <c r="E542" s="8" t="str">
        <f>"女"</f>
        <v>女</v>
      </c>
    </row>
    <row r="543" spans="1:5" ht="19.5" customHeight="1">
      <c r="A543" s="8">
        <v>541</v>
      </c>
      <c r="B543" s="8" t="str">
        <f>"21902020071411443626597"</f>
        <v>21902020071411443626597</v>
      </c>
      <c r="C543" s="8" t="s">
        <v>10</v>
      </c>
      <c r="D543" s="8" t="str">
        <f>"王光英"</f>
        <v>王光英</v>
      </c>
      <c r="E543" s="8" t="str">
        <f>"女"</f>
        <v>女</v>
      </c>
    </row>
    <row r="544" spans="1:5" ht="19.5" customHeight="1">
      <c r="A544" s="8">
        <v>542</v>
      </c>
      <c r="B544" s="8" t="str">
        <f>"21902020071411551026625"</f>
        <v>21902020071411551026625</v>
      </c>
      <c r="C544" s="8" t="s">
        <v>10</v>
      </c>
      <c r="D544" s="8" t="str">
        <f>"肖进文"</f>
        <v>肖进文</v>
      </c>
      <c r="E544" s="8" t="str">
        <f>"男"</f>
        <v>男</v>
      </c>
    </row>
    <row r="545" spans="1:5" ht="19.5" customHeight="1">
      <c r="A545" s="8">
        <v>543</v>
      </c>
      <c r="B545" s="8" t="str">
        <f>"21902020071412075726650"</f>
        <v>21902020071412075726650</v>
      </c>
      <c r="C545" s="8" t="s">
        <v>10</v>
      </c>
      <c r="D545" s="8" t="str">
        <f>"陈荣业"</f>
        <v>陈荣业</v>
      </c>
      <c r="E545" s="8" t="str">
        <f>"男"</f>
        <v>男</v>
      </c>
    </row>
    <row r="546" spans="1:5" ht="19.5" customHeight="1">
      <c r="A546" s="8">
        <v>544</v>
      </c>
      <c r="B546" s="8" t="str">
        <f>"21902020071412270026675"</f>
        <v>21902020071412270026675</v>
      </c>
      <c r="C546" s="8" t="s">
        <v>10</v>
      </c>
      <c r="D546" s="8" t="str">
        <f>"黄文"</f>
        <v>黄文</v>
      </c>
      <c r="E546" s="8" t="str">
        <f>"女"</f>
        <v>女</v>
      </c>
    </row>
    <row r="547" spans="1:5" ht="19.5" customHeight="1">
      <c r="A547" s="8">
        <v>545</v>
      </c>
      <c r="B547" s="8" t="str">
        <f>"21902020071412274826676"</f>
        <v>21902020071412274826676</v>
      </c>
      <c r="C547" s="8" t="s">
        <v>10</v>
      </c>
      <c r="D547" s="8" t="str">
        <f>"吴魏周"</f>
        <v>吴魏周</v>
      </c>
      <c r="E547" s="8" t="str">
        <f aca="true" t="shared" si="108" ref="E547:E552">"男"</f>
        <v>男</v>
      </c>
    </row>
    <row r="548" spans="1:5" ht="19.5" customHeight="1">
      <c r="A548" s="8">
        <v>546</v>
      </c>
      <c r="B548" s="8" t="str">
        <f>"21902020071412342126689"</f>
        <v>21902020071412342126689</v>
      </c>
      <c r="C548" s="8" t="s">
        <v>10</v>
      </c>
      <c r="D548" s="8" t="str">
        <f>"万庭华"</f>
        <v>万庭华</v>
      </c>
      <c r="E548" s="8" t="str">
        <f t="shared" si="108"/>
        <v>男</v>
      </c>
    </row>
    <row r="549" spans="1:5" ht="19.5" customHeight="1">
      <c r="A549" s="8">
        <v>547</v>
      </c>
      <c r="B549" s="8" t="str">
        <f>"21902020071413122726752"</f>
        <v>21902020071413122726752</v>
      </c>
      <c r="C549" s="8" t="s">
        <v>10</v>
      </c>
      <c r="D549" s="8" t="str">
        <f>"陈勋就"</f>
        <v>陈勋就</v>
      </c>
      <c r="E549" s="8" t="str">
        <f t="shared" si="108"/>
        <v>男</v>
      </c>
    </row>
    <row r="550" spans="1:5" ht="19.5" customHeight="1">
      <c r="A550" s="8">
        <v>548</v>
      </c>
      <c r="B550" s="8" t="str">
        <f>"21902020071413125426753"</f>
        <v>21902020071413125426753</v>
      </c>
      <c r="C550" s="8" t="s">
        <v>10</v>
      </c>
      <c r="D550" s="8" t="str">
        <f>"吴益友"</f>
        <v>吴益友</v>
      </c>
      <c r="E550" s="8" t="str">
        <f t="shared" si="108"/>
        <v>男</v>
      </c>
    </row>
    <row r="551" spans="1:5" ht="19.5" customHeight="1">
      <c r="A551" s="8">
        <v>549</v>
      </c>
      <c r="B551" s="8" t="str">
        <f>"21902020071413154126760"</f>
        <v>21902020071413154126760</v>
      </c>
      <c r="C551" s="8" t="s">
        <v>10</v>
      </c>
      <c r="D551" s="8" t="str">
        <f>"刘承洋"</f>
        <v>刘承洋</v>
      </c>
      <c r="E551" s="8" t="str">
        <f t="shared" si="108"/>
        <v>男</v>
      </c>
    </row>
    <row r="552" spans="1:5" ht="19.5" customHeight="1">
      <c r="A552" s="8">
        <v>550</v>
      </c>
      <c r="B552" s="8" t="str">
        <f>"21902020071413190926767"</f>
        <v>21902020071413190926767</v>
      </c>
      <c r="C552" s="8" t="s">
        <v>10</v>
      </c>
      <c r="D552" s="8" t="str">
        <f>"林业丰"</f>
        <v>林业丰</v>
      </c>
      <c r="E552" s="8" t="str">
        <f t="shared" si="108"/>
        <v>男</v>
      </c>
    </row>
    <row r="553" spans="1:5" ht="19.5" customHeight="1">
      <c r="A553" s="8">
        <v>551</v>
      </c>
      <c r="B553" s="8" t="str">
        <f>"21902020071413452226800"</f>
        <v>21902020071413452226800</v>
      </c>
      <c r="C553" s="8" t="s">
        <v>10</v>
      </c>
      <c r="D553" s="8" t="str">
        <f>"冯海燕"</f>
        <v>冯海燕</v>
      </c>
      <c r="E553" s="8" t="str">
        <f>"女"</f>
        <v>女</v>
      </c>
    </row>
    <row r="554" spans="1:5" ht="19.5" customHeight="1">
      <c r="A554" s="8">
        <v>552</v>
      </c>
      <c r="B554" s="8" t="str">
        <f>"21902020071414012026815"</f>
        <v>21902020071414012026815</v>
      </c>
      <c r="C554" s="8" t="s">
        <v>10</v>
      </c>
      <c r="D554" s="8" t="str">
        <f>"黄二侬"</f>
        <v>黄二侬</v>
      </c>
      <c r="E554" s="8" t="str">
        <f>"男"</f>
        <v>男</v>
      </c>
    </row>
    <row r="555" spans="1:5" ht="19.5" customHeight="1">
      <c r="A555" s="8">
        <v>553</v>
      </c>
      <c r="B555" s="8" t="str">
        <f>"21902020071414015426817"</f>
        <v>21902020071414015426817</v>
      </c>
      <c r="C555" s="8" t="s">
        <v>10</v>
      </c>
      <c r="D555" s="8" t="str">
        <f>"符志斌"</f>
        <v>符志斌</v>
      </c>
      <c r="E555" s="8" t="str">
        <f>"男"</f>
        <v>男</v>
      </c>
    </row>
    <row r="556" spans="1:5" ht="19.5" customHeight="1">
      <c r="A556" s="8">
        <v>554</v>
      </c>
      <c r="B556" s="8" t="str">
        <f>"21902020071414022526818"</f>
        <v>21902020071414022526818</v>
      </c>
      <c r="C556" s="8" t="s">
        <v>10</v>
      </c>
      <c r="D556" s="8" t="str">
        <f>"王为彩"</f>
        <v>王为彩</v>
      </c>
      <c r="E556" s="8" t="str">
        <f>"女"</f>
        <v>女</v>
      </c>
    </row>
    <row r="557" spans="1:5" ht="19.5" customHeight="1">
      <c r="A557" s="8">
        <v>555</v>
      </c>
      <c r="B557" s="8" t="str">
        <f>"21902020071414050126821"</f>
        <v>21902020071414050126821</v>
      </c>
      <c r="C557" s="8" t="s">
        <v>10</v>
      </c>
      <c r="D557" s="8" t="str">
        <f>"赖春龙"</f>
        <v>赖春龙</v>
      </c>
      <c r="E557" s="8" t="str">
        <f>"男"</f>
        <v>男</v>
      </c>
    </row>
    <row r="558" spans="1:5" ht="19.5" customHeight="1">
      <c r="A558" s="8">
        <v>556</v>
      </c>
      <c r="B558" s="8" t="str">
        <f>"21902020071414173926837"</f>
        <v>21902020071414173926837</v>
      </c>
      <c r="C558" s="8" t="s">
        <v>10</v>
      </c>
      <c r="D558" s="8" t="str">
        <f>"李本根"</f>
        <v>李本根</v>
      </c>
      <c r="E558" s="8" t="str">
        <f>"男"</f>
        <v>男</v>
      </c>
    </row>
    <row r="559" spans="1:5" ht="19.5" customHeight="1">
      <c r="A559" s="8">
        <v>557</v>
      </c>
      <c r="B559" s="8" t="str">
        <f>"21902020071414355326866"</f>
        <v>21902020071414355326866</v>
      </c>
      <c r="C559" s="8" t="s">
        <v>10</v>
      </c>
      <c r="D559" s="8" t="str">
        <f>"张程"</f>
        <v>张程</v>
      </c>
      <c r="E559" s="8" t="str">
        <f>"男"</f>
        <v>男</v>
      </c>
    </row>
    <row r="560" spans="1:5" ht="19.5" customHeight="1">
      <c r="A560" s="8">
        <v>558</v>
      </c>
      <c r="B560" s="8" t="str">
        <f>"21902020071414440426880"</f>
        <v>21902020071414440426880</v>
      </c>
      <c r="C560" s="8" t="s">
        <v>10</v>
      </c>
      <c r="D560" s="8" t="str">
        <f>"谢晋娟"</f>
        <v>谢晋娟</v>
      </c>
      <c r="E560" s="8" t="str">
        <f>"女"</f>
        <v>女</v>
      </c>
    </row>
    <row r="561" spans="1:5" ht="19.5" customHeight="1">
      <c r="A561" s="8">
        <v>559</v>
      </c>
      <c r="B561" s="8" t="str">
        <f>"21902020071415115426928"</f>
        <v>21902020071415115426928</v>
      </c>
      <c r="C561" s="8" t="s">
        <v>10</v>
      </c>
      <c r="D561" s="8" t="str">
        <f>"郭美带"</f>
        <v>郭美带</v>
      </c>
      <c r="E561" s="8" t="str">
        <f>"女"</f>
        <v>女</v>
      </c>
    </row>
    <row r="562" spans="1:5" ht="19.5" customHeight="1">
      <c r="A562" s="8">
        <v>560</v>
      </c>
      <c r="B562" s="8" t="str">
        <f>"21902020071415251226950"</f>
        <v>21902020071415251226950</v>
      </c>
      <c r="C562" s="8" t="s">
        <v>10</v>
      </c>
      <c r="D562" s="8" t="str">
        <f>"郑石妹"</f>
        <v>郑石妹</v>
      </c>
      <c r="E562" s="8" t="str">
        <f>"女"</f>
        <v>女</v>
      </c>
    </row>
    <row r="563" spans="1:5" ht="19.5" customHeight="1">
      <c r="A563" s="8">
        <v>561</v>
      </c>
      <c r="B563" s="8" t="str">
        <f>"21902020071415410026977"</f>
        <v>21902020071415410026977</v>
      </c>
      <c r="C563" s="8" t="s">
        <v>10</v>
      </c>
      <c r="D563" s="8" t="str">
        <f>"陈壮锦"</f>
        <v>陈壮锦</v>
      </c>
      <c r="E563" s="8" t="str">
        <f>"男"</f>
        <v>男</v>
      </c>
    </row>
    <row r="564" spans="1:5" ht="19.5" customHeight="1">
      <c r="A564" s="8">
        <v>562</v>
      </c>
      <c r="B564" s="8" t="str">
        <f>"21902020071415411626978"</f>
        <v>21902020071415411626978</v>
      </c>
      <c r="C564" s="8" t="s">
        <v>10</v>
      </c>
      <c r="D564" s="8" t="str">
        <f>"李琼慧"</f>
        <v>李琼慧</v>
      </c>
      <c r="E564" s="8" t="str">
        <f>"男"</f>
        <v>男</v>
      </c>
    </row>
    <row r="565" spans="1:5" ht="19.5" customHeight="1">
      <c r="A565" s="8">
        <v>563</v>
      </c>
      <c r="B565" s="8" t="str">
        <f>"21902020071415480526983"</f>
        <v>21902020071415480526983</v>
      </c>
      <c r="C565" s="8" t="s">
        <v>10</v>
      </c>
      <c r="D565" s="8" t="str">
        <f>"林小青"</f>
        <v>林小青</v>
      </c>
      <c r="E565" s="8" t="str">
        <f>"女"</f>
        <v>女</v>
      </c>
    </row>
    <row r="566" spans="1:5" ht="19.5" customHeight="1">
      <c r="A566" s="8">
        <v>564</v>
      </c>
      <c r="B566" s="8" t="str">
        <f>"21902020071416114127026"</f>
        <v>21902020071416114127026</v>
      </c>
      <c r="C566" s="8" t="s">
        <v>10</v>
      </c>
      <c r="D566" s="8" t="str">
        <f>"黄良璋"</f>
        <v>黄良璋</v>
      </c>
      <c r="E566" s="8" t="str">
        <f>"男"</f>
        <v>男</v>
      </c>
    </row>
    <row r="567" spans="1:5" ht="19.5" customHeight="1">
      <c r="A567" s="8">
        <v>565</v>
      </c>
      <c r="B567" s="8" t="str">
        <f>"21902020071416574527119"</f>
        <v>21902020071416574527119</v>
      </c>
      <c r="C567" s="8" t="s">
        <v>10</v>
      </c>
      <c r="D567" s="8" t="str">
        <f>"陈秀娜"</f>
        <v>陈秀娜</v>
      </c>
      <c r="E567" s="8" t="str">
        <f>"女"</f>
        <v>女</v>
      </c>
    </row>
    <row r="568" spans="1:5" ht="19.5" customHeight="1">
      <c r="A568" s="8">
        <v>566</v>
      </c>
      <c r="B568" s="8" t="str">
        <f>"21902020071416581527120"</f>
        <v>21902020071416581527120</v>
      </c>
      <c r="C568" s="8" t="s">
        <v>10</v>
      </c>
      <c r="D568" s="8" t="str">
        <f>"黄珍珠"</f>
        <v>黄珍珠</v>
      </c>
      <c r="E568" s="8" t="str">
        <f>"女"</f>
        <v>女</v>
      </c>
    </row>
    <row r="569" spans="1:5" ht="19.5" customHeight="1">
      <c r="A569" s="8">
        <v>567</v>
      </c>
      <c r="B569" s="8" t="str">
        <f>"21902020071417054827134"</f>
        <v>21902020071417054827134</v>
      </c>
      <c r="C569" s="8" t="s">
        <v>10</v>
      </c>
      <c r="D569" s="8" t="str">
        <f>"李翼达"</f>
        <v>李翼达</v>
      </c>
      <c r="E569" s="8" t="str">
        <f aca="true" t="shared" si="109" ref="E569:E579">"男"</f>
        <v>男</v>
      </c>
    </row>
    <row r="570" spans="1:5" ht="19.5" customHeight="1">
      <c r="A570" s="8">
        <v>568</v>
      </c>
      <c r="B570" s="8" t="str">
        <f>"21902020071417172227154"</f>
        <v>21902020071417172227154</v>
      </c>
      <c r="C570" s="8" t="s">
        <v>10</v>
      </c>
      <c r="D570" s="8" t="str">
        <f>"吴文深"</f>
        <v>吴文深</v>
      </c>
      <c r="E570" s="8" t="str">
        <f t="shared" si="109"/>
        <v>男</v>
      </c>
    </row>
    <row r="571" spans="1:5" ht="19.5" customHeight="1">
      <c r="A571" s="8">
        <v>569</v>
      </c>
      <c r="B571" s="8" t="str">
        <f>"21902020071417192727158"</f>
        <v>21902020071417192727158</v>
      </c>
      <c r="C571" s="8" t="s">
        <v>10</v>
      </c>
      <c r="D571" s="8" t="str">
        <f>"王文殿"</f>
        <v>王文殿</v>
      </c>
      <c r="E571" s="8" t="str">
        <f t="shared" si="109"/>
        <v>男</v>
      </c>
    </row>
    <row r="572" spans="1:5" ht="19.5" customHeight="1">
      <c r="A572" s="8">
        <v>570</v>
      </c>
      <c r="B572" s="8" t="str">
        <f>"21902020071417433127193"</f>
        <v>21902020071417433127193</v>
      </c>
      <c r="C572" s="8" t="s">
        <v>10</v>
      </c>
      <c r="D572" s="8" t="str">
        <f>"范洲诚"</f>
        <v>范洲诚</v>
      </c>
      <c r="E572" s="8" t="str">
        <f t="shared" si="109"/>
        <v>男</v>
      </c>
    </row>
    <row r="573" spans="1:5" ht="19.5" customHeight="1">
      <c r="A573" s="8">
        <v>571</v>
      </c>
      <c r="B573" s="8" t="str">
        <f>"21902020071417465427195"</f>
        <v>21902020071417465427195</v>
      </c>
      <c r="C573" s="8" t="s">
        <v>10</v>
      </c>
      <c r="D573" s="8" t="str">
        <f>"林远材"</f>
        <v>林远材</v>
      </c>
      <c r="E573" s="8" t="str">
        <f t="shared" si="109"/>
        <v>男</v>
      </c>
    </row>
    <row r="574" spans="1:5" ht="19.5" customHeight="1">
      <c r="A574" s="8">
        <v>572</v>
      </c>
      <c r="B574" s="8" t="str">
        <f>"21902020071417473227198"</f>
        <v>21902020071417473227198</v>
      </c>
      <c r="C574" s="8" t="s">
        <v>10</v>
      </c>
      <c r="D574" s="8" t="str">
        <f>"符少映"</f>
        <v>符少映</v>
      </c>
      <c r="E574" s="8" t="str">
        <f t="shared" si="109"/>
        <v>男</v>
      </c>
    </row>
    <row r="575" spans="1:5" ht="19.5" customHeight="1">
      <c r="A575" s="8">
        <v>573</v>
      </c>
      <c r="B575" s="8" t="str">
        <f>"21902020071418130827233"</f>
        <v>21902020071418130827233</v>
      </c>
      <c r="C575" s="8" t="s">
        <v>10</v>
      </c>
      <c r="D575" s="8" t="str">
        <f>"李茂政"</f>
        <v>李茂政</v>
      </c>
      <c r="E575" s="8" t="str">
        <f t="shared" si="109"/>
        <v>男</v>
      </c>
    </row>
    <row r="576" spans="1:5" ht="19.5" customHeight="1">
      <c r="A576" s="8">
        <v>574</v>
      </c>
      <c r="B576" s="8" t="str">
        <f>"21902020071418345127257"</f>
        <v>21902020071418345127257</v>
      </c>
      <c r="C576" s="8" t="s">
        <v>10</v>
      </c>
      <c r="D576" s="8" t="str">
        <f>"陈垂喜"</f>
        <v>陈垂喜</v>
      </c>
      <c r="E576" s="8" t="str">
        <f t="shared" si="109"/>
        <v>男</v>
      </c>
    </row>
    <row r="577" spans="1:5" ht="19.5" customHeight="1">
      <c r="A577" s="8">
        <v>575</v>
      </c>
      <c r="B577" s="8" t="str">
        <f>"21902020071418424227267"</f>
        <v>21902020071418424227267</v>
      </c>
      <c r="C577" s="8" t="s">
        <v>10</v>
      </c>
      <c r="D577" s="8" t="str">
        <f>"陈君伟"</f>
        <v>陈君伟</v>
      </c>
      <c r="E577" s="8" t="str">
        <f t="shared" si="109"/>
        <v>男</v>
      </c>
    </row>
    <row r="578" spans="1:5" ht="19.5" customHeight="1">
      <c r="A578" s="8">
        <v>576</v>
      </c>
      <c r="B578" s="8" t="str">
        <f>"21902020071418442227271"</f>
        <v>21902020071418442227271</v>
      </c>
      <c r="C578" s="8" t="s">
        <v>10</v>
      </c>
      <c r="D578" s="8" t="str">
        <f>"赵坚固"</f>
        <v>赵坚固</v>
      </c>
      <c r="E578" s="8" t="str">
        <f t="shared" si="109"/>
        <v>男</v>
      </c>
    </row>
    <row r="579" spans="1:5" ht="19.5" customHeight="1">
      <c r="A579" s="8">
        <v>577</v>
      </c>
      <c r="B579" s="8" t="str">
        <f>"21902020071419003727294"</f>
        <v>21902020071419003727294</v>
      </c>
      <c r="C579" s="8" t="s">
        <v>10</v>
      </c>
      <c r="D579" s="8" t="str">
        <f>"陈希越"</f>
        <v>陈希越</v>
      </c>
      <c r="E579" s="8" t="str">
        <f t="shared" si="109"/>
        <v>男</v>
      </c>
    </row>
    <row r="580" spans="1:5" ht="19.5" customHeight="1">
      <c r="A580" s="8">
        <v>578</v>
      </c>
      <c r="B580" s="8" t="str">
        <f>"21902020071419053927305"</f>
        <v>21902020071419053927305</v>
      </c>
      <c r="C580" s="8" t="s">
        <v>10</v>
      </c>
      <c r="D580" s="8" t="str">
        <f>"丁晓媚"</f>
        <v>丁晓媚</v>
      </c>
      <c r="E580" s="8" t="str">
        <f>"女"</f>
        <v>女</v>
      </c>
    </row>
    <row r="581" spans="1:5" ht="19.5" customHeight="1">
      <c r="A581" s="8">
        <v>579</v>
      </c>
      <c r="B581" s="8" t="str">
        <f>"21902020071419101727314"</f>
        <v>21902020071419101727314</v>
      </c>
      <c r="C581" s="8" t="s">
        <v>10</v>
      </c>
      <c r="D581" s="8" t="str">
        <f>"杨玉瑞"</f>
        <v>杨玉瑞</v>
      </c>
      <c r="E581" s="8" t="str">
        <f>"男"</f>
        <v>男</v>
      </c>
    </row>
    <row r="582" spans="1:5" ht="19.5" customHeight="1">
      <c r="A582" s="8">
        <v>580</v>
      </c>
      <c r="B582" s="8" t="str">
        <f>"21902020071419163827324"</f>
        <v>21902020071419163827324</v>
      </c>
      <c r="C582" s="8" t="s">
        <v>10</v>
      </c>
      <c r="D582" s="8" t="str">
        <f>"范烟龙"</f>
        <v>范烟龙</v>
      </c>
      <c r="E582" s="8" t="str">
        <f>"男"</f>
        <v>男</v>
      </c>
    </row>
    <row r="583" spans="1:5" ht="19.5" customHeight="1">
      <c r="A583" s="8">
        <v>581</v>
      </c>
      <c r="B583" s="8" t="str">
        <f>"21902020071420105527373"</f>
        <v>21902020071420105527373</v>
      </c>
      <c r="C583" s="8" t="s">
        <v>10</v>
      </c>
      <c r="D583" s="8" t="str">
        <f>"张潮"</f>
        <v>张潮</v>
      </c>
      <c r="E583" s="8" t="str">
        <f>"男"</f>
        <v>男</v>
      </c>
    </row>
    <row r="584" spans="1:5" ht="19.5" customHeight="1">
      <c r="A584" s="8">
        <v>582</v>
      </c>
      <c r="B584" s="8" t="str">
        <f>"21902020071420160727383"</f>
        <v>21902020071420160727383</v>
      </c>
      <c r="C584" s="8" t="s">
        <v>10</v>
      </c>
      <c r="D584" s="8" t="str">
        <f>"梁智成"</f>
        <v>梁智成</v>
      </c>
      <c r="E584" s="8" t="str">
        <f>"男"</f>
        <v>男</v>
      </c>
    </row>
    <row r="585" spans="1:5" ht="19.5" customHeight="1">
      <c r="A585" s="8">
        <v>583</v>
      </c>
      <c r="B585" s="8" t="str">
        <f>"21902020071420254327392"</f>
        <v>21902020071420254327392</v>
      </c>
      <c r="C585" s="8" t="s">
        <v>10</v>
      </c>
      <c r="D585" s="8" t="str">
        <f>"唐乾翠"</f>
        <v>唐乾翠</v>
      </c>
      <c r="E585" s="8" t="str">
        <f>"女"</f>
        <v>女</v>
      </c>
    </row>
    <row r="586" spans="1:5" ht="19.5" customHeight="1">
      <c r="A586" s="8">
        <v>584</v>
      </c>
      <c r="B586" s="8" t="str">
        <f>"21902020071420491227421"</f>
        <v>21902020071420491227421</v>
      </c>
      <c r="C586" s="8" t="s">
        <v>10</v>
      </c>
      <c r="D586" s="8" t="str">
        <f>"王道主"</f>
        <v>王道主</v>
      </c>
      <c r="E586" s="8" t="str">
        <f aca="true" t="shared" si="110" ref="E586:E592">"男"</f>
        <v>男</v>
      </c>
    </row>
    <row r="587" spans="1:5" ht="19.5" customHeight="1">
      <c r="A587" s="8">
        <v>585</v>
      </c>
      <c r="B587" s="8" t="str">
        <f>"21902020071421171527462"</f>
        <v>21902020071421171527462</v>
      </c>
      <c r="C587" s="8" t="s">
        <v>10</v>
      </c>
      <c r="D587" s="8" t="str">
        <f>"陈宗蕃"</f>
        <v>陈宗蕃</v>
      </c>
      <c r="E587" s="8" t="str">
        <f t="shared" si="110"/>
        <v>男</v>
      </c>
    </row>
    <row r="588" spans="1:5" ht="19.5" customHeight="1">
      <c r="A588" s="8">
        <v>586</v>
      </c>
      <c r="B588" s="8" t="str">
        <f>"21902020071421525427491"</f>
        <v>21902020071421525427491</v>
      </c>
      <c r="C588" s="8" t="s">
        <v>10</v>
      </c>
      <c r="D588" s="8" t="str">
        <f>"谢壮武"</f>
        <v>谢壮武</v>
      </c>
      <c r="E588" s="8" t="str">
        <f t="shared" si="110"/>
        <v>男</v>
      </c>
    </row>
    <row r="589" spans="1:5" ht="19.5" customHeight="1">
      <c r="A589" s="8">
        <v>587</v>
      </c>
      <c r="B589" s="8" t="str">
        <f>"21902020071422191327528"</f>
        <v>21902020071422191327528</v>
      </c>
      <c r="C589" s="8" t="s">
        <v>10</v>
      </c>
      <c r="D589" s="8" t="str">
        <f>"李杨"</f>
        <v>李杨</v>
      </c>
      <c r="E589" s="8" t="str">
        <f t="shared" si="110"/>
        <v>男</v>
      </c>
    </row>
    <row r="590" spans="1:5" ht="19.5" customHeight="1">
      <c r="A590" s="8">
        <v>588</v>
      </c>
      <c r="B590" s="8" t="str">
        <f>"21902020071422220027532"</f>
        <v>21902020071422220027532</v>
      </c>
      <c r="C590" s="8" t="s">
        <v>10</v>
      </c>
      <c r="D590" s="8" t="str">
        <f>"唐良"</f>
        <v>唐良</v>
      </c>
      <c r="E590" s="8" t="str">
        <f t="shared" si="110"/>
        <v>男</v>
      </c>
    </row>
    <row r="591" spans="1:5" ht="19.5" customHeight="1">
      <c r="A591" s="8">
        <v>589</v>
      </c>
      <c r="B591" s="8" t="str">
        <f>"21902020071422220527533"</f>
        <v>21902020071422220527533</v>
      </c>
      <c r="C591" s="8" t="s">
        <v>10</v>
      </c>
      <c r="D591" s="8" t="str">
        <f>"张维达"</f>
        <v>张维达</v>
      </c>
      <c r="E591" s="8" t="str">
        <f t="shared" si="110"/>
        <v>男</v>
      </c>
    </row>
    <row r="592" spans="1:5" ht="19.5" customHeight="1">
      <c r="A592" s="8">
        <v>590</v>
      </c>
      <c r="B592" s="8" t="str">
        <f>"21902020071422303827547"</f>
        <v>21902020071422303827547</v>
      </c>
      <c r="C592" s="8" t="s">
        <v>10</v>
      </c>
      <c r="D592" s="8" t="str">
        <f>"林明明"</f>
        <v>林明明</v>
      </c>
      <c r="E592" s="8" t="str">
        <f t="shared" si="110"/>
        <v>男</v>
      </c>
    </row>
    <row r="593" spans="1:5" ht="19.5" customHeight="1">
      <c r="A593" s="8">
        <v>591</v>
      </c>
      <c r="B593" s="8" t="str">
        <f>"21902020071422471727566"</f>
        <v>21902020071422471727566</v>
      </c>
      <c r="C593" s="8" t="s">
        <v>10</v>
      </c>
      <c r="D593" s="8" t="str">
        <f>"谢秀婷"</f>
        <v>谢秀婷</v>
      </c>
      <c r="E593" s="8" t="str">
        <f>"女"</f>
        <v>女</v>
      </c>
    </row>
    <row r="594" spans="1:5" ht="19.5" customHeight="1">
      <c r="A594" s="8">
        <v>592</v>
      </c>
      <c r="B594" s="8" t="str">
        <f>"21902020071422495327570"</f>
        <v>21902020071422495327570</v>
      </c>
      <c r="C594" s="8" t="s">
        <v>10</v>
      </c>
      <c r="D594" s="8" t="str">
        <f>"蔡辉玉"</f>
        <v>蔡辉玉</v>
      </c>
      <c r="E594" s="8" t="str">
        <f>"男"</f>
        <v>男</v>
      </c>
    </row>
    <row r="595" spans="1:5" ht="19.5" customHeight="1">
      <c r="A595" s="8">
        <v>593</v>
      </c>
      <c r="B595" s="8" t="str">
        <f>"21902020071422585127579"</f>
        <v>21902020071422585127579</v>
      </c>
      <c r="C595" s="8" t="s">
        <v>10</v>
      </c>
      <c r="D595" s="8" t="str">
        <f>"李武伟"</f>
        <v>李武伟</v>
      </c>
      <c r="E595" s="8" t="str">
        <f>"男"</f>
        <v>男</v>
      </c>
    </row>
    <row r="596" spans="1:5" ht="19.5" customHeight="1">
      <c r="A596" s="8">
        <v>594</v>
      </c>
      <c r="B596" s="8" t="str">
        <f>"21902020071423110627599"</f>
        <v>21902020071423110627599</v>
      </c>
      <c r="C596" s="8" t="s">
        <v>10</v>
      </c>
      <c r="D596" s="8" t="str">
        <f>"张建勤"</f>
        <v>张建勤</v>
      </c>
      <c r="E596" s="8" t="str">
        <f>"男"</f>
        <v>男</v>
      </c>
    </row>
    <row r="597" spans="1:5" ht="19.5" customHeight="1">
      <c r="A597" s="8">
        <v>595</v>
      </c>
      <c r="B597" s="8" t="str">
        <f>"21902020071500565227650"</f>
        <v>21902020071500565227650</v>
      </c>
      <c r="C597" s="8" t="s">
        <v>10</v>
      </c>
      <c r="D597" s="8" t="str">
        <f>"邓昌海"</f>
        <v>邓昌海</v>
      </c>
      <c r="E597" s="8" t="str">
        <f>"男"</f>
        <v>男</v>
      </c>
    </row>
    <row r="598" spans="1:5" ht="19.5" customHeight="1">
      <c r="A598" s="8">
        <v>596</v>
      </c>
      <c r="B598" s="8" t="str">
        <f>"21902020071507112327668"</f>
        <v>21902020071507112327668</v>
      </c>
      <c r="C598" s="8" t="s">
        <v>10</v>
      </c>
      <c r="D598" s="8" t="str">
        <f>"刘琴"</f>
        <v>刘琴</v>
      </c>
      <c r="E598" s="8" t="str">
        <f>"女"</f>
        <v>女</v>
      </c>
    </row>
    <row r="599" spans="1:5" ht="19.5" customHeight="1">
      <c r="A599" s="8">
        <v>597</v>
      </c>
      <c r="B599" s="8" t="str">
        <f>"21902020071507421627672"</f>
        <v>21902020071507421627672</v>
      </c>
      <c r="C599" s="8" t="s">
        <v>10</v>
      </c>
      <c r="D599" s="8" t="str">
        <f>"杨举"</f>
        <v>杨举</v>
      </c>
      <c r="E599" s="8" t="str">
        <f>"男"</f>
        <v>男</v>
      </c>
    </row>
    <row r="600" spans="1:5" ht="19.5" customHeight="1">
      <c r="A600" s="8">
        <v>598</v>
      </c>
      <c r="B600" s="8" t="str">
        <f>"21902020071508430827698"</f>
        <v>21902020071508430827698</v>
      </c>
      <c r="C600" s="8" t="s">
        <v>10</v>
      </c>
      <c r="D600" s="8" t="str">
        <f>"麦传源"</f>
        <v>麦传源</v>
      </c>
      <c r="E600" s="8" t="str">
        <f>"男"</f>
        <v>男</v>
      </c>
    </row>
    <row r="601" spans="1:5" ht="19.5" customHeight="1">
      <c r="A601" s="8">
        <v>599</v>
      </c>
      <c r="B601" s="8" t="str">
        <f>"21902020071508591727718"</f>
        <v>21902020071508591727718</v>
      </c>
      <c r="C601" s="8" t="s">
        <v>10</v>
      </c>
      <c r="D601" s="8" t="str">
        <f>"陈允璧"</f>
        <v>陈允璧</v>
      </c>
      <c r="E601" s="8" t="str">
        <f>"男"</f>
        <v>男</v>
      </c>
    </row>
    <row r="602" spans="1:5" ht="19.5" customHeight="1">
      <c r="A602" s="8">
        <v>600</v>
      </c>
      <c r="B602" s="8" t="str">
        <f>"21902020071509150227759"</f>
        <v>21902020071509150227759</v>
      </c>
      <c r="C602" s="8" t="s">
        <v>10</v>
      </c>
      <c r="D602" s="8" t="str">
        <f>"李丽芳"</f>
        <v>李丽芳</v>
      </c>
      <c r="E602" s="8" t="str">
        <f>"女"</f>
        <v>女</v>
      </c>
    </row>
    <row r="603" spans="1:5" ht="19.5" customHeight="1">
      <c r="A603" s="8">
        <v>601</v>
      </c>
      <c r="B603" s="8" t="str">
        <f>"21902020071509403327792"</f>
        <v>21902020071509403327792</v>
      </c>
      <c r="C603" s="8" t="s">
        <v>10</v>
      </c>
      <c r="D603" s="8" t="str">
        <f>"王禄仕"</f>
        <v>王禄仕</v>
      </c>
      <c r="E603" s="8" t="str">
        <f>"男"</f>
        <v>男</v>
      </c>
    </row>
    <row r="604" spans="1:5" ht="19.5" customHeight="1">
      <c r="A604" s="8">
        <v>602</v>
      </c>
      <c r="B604" s="8" t="str">
        <f>"21902020071509445627805"</f>
        <v>21902020071509445627805</v>
      </c>
      <c r="C604" s="8" t="s">
        <v>10</v>
      </c>
      <c r="D604" s="8" t="str">
        <f>"林兴菊"</f>
        <v>林兴菊</v>
      </c>
      <c r="E604" s="8" t="str">
        <f>"女"</f>
        <v>女</v>
      </c>
    </row>
    <row r="605" spans="1:5" ht="19.5" customHeight="1">
      <c r="A605" s="8">
        <v>603</v>
      </c>
      <c r="B605" s="8" t="str">
        <f>"21902020071511292627960"</f>
        <v>21902020071511292627960</v>
      </c>
      <c r="C605" s="8" t="s">
        <v>10</v>
      </c>
      <c r="D605" s="8" t="str">
        <f>"万子蕊"</f>
        <v>万子蕊</v>
      </c>
      <c r="E605" s="8" t="str">
        <f>"女"</f>
        <v>女</v>
      </c>
    </row>
    <row r="606" spans="1:5" ht="19.5" customHeight="1">
      <c r="A606" s="8">
        <v>604</v>
      </c>
      <c r="B606" s="8" t="str">
        <f>"21902020071514131228108"</f>
        <v>21902020071514131228108</v>
      </c>
      <c r="C606" s="8" t="s">
        <v>10</v>
      </c>
      <c r="D606" s="8" t="str">
        <f>"黄秀珍"</f>
        <v>黄秀珍</v>
      </c>
      <c r="E606" s="8" t="str">
        <f>"女"</f>
        <v>女</v>
      </c>
    </row>
    <row r="607" spans="1:5" ht="19.5" customHeight="1">
      <c r="A607" s="8">
        <v>605</v>
      </c>
      <c r="B607" s="8" t="str">
        <f>"21902020071514180728112"</f>
        <v>21902020071514180728112</v>
      </c>
      <c r="C607" s="8" t="s">
        <v>10</v>
      </c>
      <c r="D607" s="8" t="str">
        <f>"李茂锋"</f>
        <v>李茂锋</v>
      </c>
      <c r="E607" s="8" t="str">
        <f>"男"</f>
        <v>男</v>
      </c>
    </row>
    <row r="608" spans="1:5" ht="19.5" customHeight="1">
      <c r="A608" s="8">
        <v>606</v>
      </c>
      <c r="B608" s="8" t="str">
        <f>"21902020071514385528125"</f>
        <v>21902020071514385528125</v>
      </c>
      <c r="C608" s="8" t="s">
        <v>10</v>
      </c>
      <c r="D608" s="8" t="str">
        <f>"陈丽青"</f>
        <v>陈丽青</v>
      </c>
      <c r="E608" s="8" t="str">
        <f>"女"</f>
        <v>女</v>
      </c>
    </row>
    <row r="609" spans="1:5" ht="19.5" customHeight="1">
      <c r="A609" s="8">
        <v>607</v>
      </c>
      <c r="B609" s="8" t="str">
        <f>"21902020071514401828126"</f>
        <v>21902020071514401828126</v>
      </c>
      <c r="C609" s="8" t="s">
        <v>10</v>
      </c>
      <c r="D609" s="8" t="str">
        <f>"万兴位"</f>
        <v>万兴位</v>
      </c>
      <c r="E609" s="8" t="str">
        <f>"男"</f>
        <v>男</v>
      </c>
    </row>
    <row r="610" spans="1:5" ht="19.5" customHeight="1">
      <c r="A610" s="8">
        <v>608</v>
      </c>
      <c r="B610" s="8" t="str">
        <f>"21902020071515062228154"</f>
        <v>21902020071515062228154</v>
      </c>
      <c r="C610" s="8" t="s">
        <v>10</v>
      </c>
      <c r="D610" s="8" t="str">
        <f>"梁英花"</f>
        <v>梁英花</v>
      </c>
      <c r="E610" s="8" t="str">
        <f>"女"</f>
        <v>女</v>
      </c>
    </row>
    <row r="611" spans="1:5" ht="19.5" customHeight="1">
      <c r="A611" s="8">
        <v>609</v>
      </c>
      <c r="B611" s="8" t="str">
        <f>"21902020071515105328158"</f>
        <v>21902020071515105328158</v>
      </c>
      <c r="C611" s="8" t="s">
        <v>10</v>
      </c>
      <c r="D611" s="8" t="str">
        <f>"全永"</f>
        <v>全永</v>
      </c>
      <c r="E611" s="8" t="str">
        <f>"男"</f>
        <v>男</v>
      </c>
    </row>
    <row r="612" spans="1:5" ht="19.5" customHeight="1">
      <c r="A612" s="8">
        <v>610</v>
      </c>
      <c r="B612" s="8" t="str">
        <f>"21902020071515114428159"</f>
        <v>21902020071515114428159</v>
      </c>
      <c r="C612" s="8" t="s">
        <v>10</v>
      </c>
      <c r="D612" s="8" t="str">
        <f>"刘金莲"</f>
        <v>刘金莲</v>
      </c>
      <c r="E612" s="8" t="str">
        <f>"女"</f>
        <v>女</v>
      </c>
    </row>
    <row r="613" spans="1:5" ht="19.5" customHeight="1">
      <c r="A613" s="8">
        <v>611</v>
      </c>
      <c r="B613" s="8" t="str">
        <f>"21902020071516020628221"</f>
        <v>21902020071516020628221</v>
      </c>
      <c r="C613" s="8" t="s">
        <v>10</v>
      </c>
      <c r="D613" s="8" t="str">
        <f>"陈川卉"</f>
        <v>陈川卉</v>
      </c>
      <c r="E613" s="8" t="str">
        <f>"女"</f>
        <v>女</v>
      </c>
    </row>
    <row r="614" spans="1:5" ht="19.5" customHeight="1">
      <c r="A614" s="8">
        <v>612</v>
      </c>
      <c r="B614" s="8" t="str">
        <f>"21902020071516225028246"</f>
        <v>21902020071516225028246</v>
      </c>
      <c r="C614" s="8" t="s">
        <v>10</v>
      </c>
      <c r="D614" s="8" t="str">
        <f>"张龙"</f>
        <v>张龙</v>
      </c>
      <c r="E614" s="8" t="str">
        <f>"男"</f>
        <v>男</v>
      </c>
    </row>
    <row r="615" spans="1:5" ht="19.5" customHeight="1">
      <c r="A615" s="8">
        <v>613</v>
      </c>
      <c r="B615" s="8" t="str">
        <f>"21902020071516542128284"</f>
        <v>21902020071516542128284</v>
      </c>
      <c r="C615" s="8" t="s">
        <v>10</v>
      </c>
      <c r="D615" s="8" t="str">
        <f>"张贤"</f>
        <v>张贤</v>
      </c>
      <c r="E615" s="8" t="str">
        <f>"男"</f>
        <v>男</v>
      </c>
    </row>
    <row r="616" spans="1:5" ht="19.5" customHeight="1">
      <c r="A616" s="8">
        <v>614</v>
      </c>
      <c r="B616" s="8" t="str">
        <f>"21902020071516595228294"</f>
        <v>21902020071516595228294</v>
      </c>
      <c r="C616" s="8" t="s">
        <v>10</v>
      </c>
      <c r="D616" s="8" t="str">
        <f>"陈佳后"</f>
        <v>陈佳后</v>
      </c>
      <c r="E616" s="8" t="str">
        <f>"男"</f>
        <v>男</v>
      </c>
    </row>
    <row r="617" spans="1:5" ht="19.5" customHeight="1">
      <c r="A617" s="8">
        <v>615</v>
      </c>
      <c r="B617" s="8" t="str">
        <f>"21902020071517001228296"</f>
        <v>21902020071517001228296</v>
      </c>
      <c r="C617" s="8" t="s">
        <v>10</v>
      </c>
      <c r="D617" s="8" t="str">
        <f>"任粥君"</f>
        <v>任粥君</v>
      </c>
      <c r="E617" s="8" t="str">
        <f>"女"</f>
        <v>女</v>
      </c>
    </row>
    <row r="618" spans="1:5" ht="19.5" customHeight="1">
      <c r="A618" s="8">
        <v>616</v>
      </c>
      <c r="B618" s="8" t="str">
        <f>"21902020071517370228333"</f>
        <v>21902020071517370228333</v>
      </c>
      <c r="C618" s="8" t="s">
        <v>10</v>
      </c>
      <c r="D618" s="8" t="str">
        <f>"许淑芬"</f>
        <v>许淑芬</v>
      </c>
      <c r="E618" s="8" t="str">
        <f>"女"</f>
        <v>女</v>
      </c>
    </row>
    <row r="619" spans="1:5" ht="19.5" customHeight="1">
      <c r="A619" s="8">
        <v>617</v>
      </c>
      <c r="B619" s="8" t="str">
        <f>"21902020071517462428342"</f>
        <v>21902020071517462428342</v>
      </c>
      <c r="C619" s="8" t="s">
        <v>10</v>
      </c>
      <c r="D619" s="8" t="str">
        <f>"丁国基"</f>
        <v>丁国基</v>
      </c>
      <c r="E619" s="8" t="str">
        <f>"男"</f>
        <v>男</v>
      </c>
    </row>
    <row r="620" spans="1:5" ht="19.5" customHeight="1">
      <c r="A620" s="8">
        <v>618</v>
      </c>
      <c r="B620" s="8" t="str">
        <f>"21902020071517501228349"</f>
        <v>21902020071517501228349</v>
      </c>
      <c r="C620" s="8" t="s">
        <v>10</v>
      </c>
      <c r="D620" s="8" t="str">
        <f>"吉训贵"</f>
        <v>吉训贵</v>
      </c>
      <c r="E620" s="8" t="str">
        <f>"男"</f>
        <v>男</v>
      </c>
    </row>
    <row r="621" spans="1:5" ht="19.5" customHeight="1">
      <c r="A621" s="8">
        <v>619</v>
      </c>
      <c r="B621" s="8" t="str">
        <f>"21902020071518224528374"</f>
        <v>21902020071518224528374</v>
      </c>
      <c r="C621" s="8" t="s">
        <v>10</v>
      </c>
      <c r="D621" s="8" t="str">
        <f>"蒲海英"</f>
        <v>蒲海英</v>
      </c>
      <c r="E621" s="8" t="str">
        <f>"女"</f>
        <v>女</v>
      </c>
    </row>
    <row r="622" spans="1:5" ht="19.5" customHeight="1">
      <c r="A622" s="8">
        <v>620</v>
      </c>
      <c r="B622" s="8" t="str">
        <f>"21902020071519293528418"</f>
        <v>21902020071519293528418</v>
      </c>
      <c r="C622" s="8" t="s">
        <v>10</v>
      </c>
      <c r="D622" s="8" t="str">
        <f>"林世宁"</f>
        <v>林世宁</v>
      </c>
      <c r="E622" s="8" t="str">
        <f>"男"</f>
        <v>男</v>
      </c>
    </row>
    <row r="623" spans="1:5" ht="19.5" customHeight="1">
      <c r="A623" s="8">
        <v>621</v>
      </c>
      <c r="B623" s="8" t="str">
        <f>"21902020071520002628444"</f>
        <v>21902020071520002628444</v>
      </c>
      <c r="C623" s="8" t="s">
        <v>10</v>
      </c>
      <c r="D623" s="8" t="str">
        <f>"蔡浪"</f>
        <v>蔡浪</v>
      </c>
      <c r="E623" s="8" t="str">
        <f>"女"</f>
        <v>女</v>
      </c>
    </row>
    <row r="624" spans="1:5" ht="19.5" customHeight="1">
      <c r="A624" s="8">
        <v>622</v>
      </c>
      <c r="B624" s="8" t="str">
        <f>"21902020071520022028447"</f>
        <v>21902020071520022028447</v>
      </c>
      <c r="C624" s="8" t="s">
        <v>10</v>
      </c>
      <c r="D624" s="8" t="str">
        <f>"符筱君"</f>
        <v>符筱君</v>
      </c>
      <c r="E624" s="8" t="str">
        <f>"女"</f>
        <v>女</v>
      </c>
    </row>
    <row r="625" spans="1:5" ht="19.5" customHeight="1">
      <c r="A625" s="8">
        <v>623</v>
      </c>
      <c r="B625" s="8" t="str">
        <f>"21902020071520431828481"</f>
        <v>21902020071520431828481</v>
      </c>
      <c r="C625" s="8" t="s">
        <v>10</v>
      </c>
      <c r="D625" s="8" t="str">
        <f>"何文帮"</f>
        <v>何文帮</v>
      </c>
      <c r="E625" s="8" t="str">
        <f>"男"</f>
        <v>男</v>
      </c>
    </row>
    <row r="626" spans="1:5" ht="19.5" customHeight="1">
      <c r="A626" s="8">
        <v>624</v>
      </c>
      <c r="B626" s="8" t="str">
        <f>"21902020071521024928498"</f>
        <v>21902020071521024928498</v>
      </c>
      <c r="C626" s="8" t="s">
        <v>10</v>
      </c>
      <c r="D626" s="8" t="str">
        <f>"钟煜"</f>
        <v>钟煜</v>
      </c>
      <c r="E626" s="8" t="str">
        <f>"男"</f>
        <v>男</v>
      </c>
    </row>
    <row r="627" spans="1:5" ht="19.5" customHeight="1">
      <c r="A627" s="8">
        <v>625</v>
      </c>
      <c r="B627" s="8" t="str">
        <f>"21902020071522173228566"</f>
        <v>21902020071522173228566</v>
      </c>
      <c r="C627" s="8" t="s">
        <v>10</v>
      </c>
      <c r="D627" s="8" t="str">
        <f>"陈逸翎"</f>
        <v>陈逸翎</v>
      </c>
      <c r="E627" s="8" t="str">
        <f>"女"</f>
        <v>女</v>
      </c>
    </row>
    <row r="628" spans="1:5" ht="19.5" customHeight="1">
      <c r="A628" s="8">
        <v>626</v>
      </c>
      <c r="B628" s="8" t="str">
        <f>"21902020071522263528572"</f>
        <v>21902020071522263528572</v>
      </c>
      <c r="C628" s="8" t="s">
        <v>10</v>
      </c>
      <c r="D628" s="8" t="str">
        <f>"薛有延"</f>
        <v>薛有延</v>
      </c>
      <c r="E628" s="8" t="str">
        <f>"男"</f>
        <v>男</v>
      </c>
    </row>
    <row r="629" spans="1:5" ht="19.5" customHeight="1">
      <c r="A629" s="8">
        <v>627</v>
      </c>
      <c r="B629" s="8" t="str">
        <f>"21902020071523014928601"</f>
        <v>21902020071523014928601</v>
      </c>
      <c r="C629" s="8" t="s">
        <v>10</v>
      </c>
      <c r="D629" s="8" t="str">
        <f>"侯志强"</f>
        <v>侯志强</v>
      </c>
      <c r="E629" s="8" t="str">
        <f>"男"</f>
        <v>男</v>
      </c>
    </row>
    <row r="630" spans="1:5" ht="19.5" customHeight="1">
      <c r="A630" s="8">
        <v>628</v>
      </c>
      <c r="B630" s="8" t="str">
        <f>"21902020071609135128710"</f>
        <v>21902020071609135128710</v>
      </c>
      <c r="C630" s="8" t="s">
        <v>10</v>
      </c>
      <c r="D630" s="8" t="str">
        <f>"陈立峰"</f>
        <v>陈立峰</v>
      </c>
      <c r="E630" s="8" t="str">
        <f>"男"</f>
        <v>男</v>
      </c>
    </row>
    <row r="631" spans="1:5" ht="19.5" customHeight="1">
      <c r="A631" s="8">
        <v>629</v>
      </c>
      <c r="B631" s="8" t="str">
        <f>"21902020071609164728717"</f>
        <v>21902020071609164728717</v>
      </c>
      <c r="C631" s="8" t="s">
        <v>10</v>
      </c>
      <c r="D631" s="8" t="str">
        <f>"何应焕"</f>
        <v>何应焕</v>
      </c>
      <c r="E631" s="8" t="str">
        <f>"女"</f>
        <v>女</v>
      </c>
    </row>
    <row r="632" spans="1:5" ht="19.5" customHeight="1">
      <c r="A632" s="8">
        <v>630</v>
      </c>
      <c r="B632" s="8" t="str">
        <f>"21902020071609370828738"</f>
        <v>21902020071609370828738</v>
      </c>
      <c r="C632" s="8" t="s">
        <v>10</v>
      </c>
      <c r="D632" s="8" t="str">
        <f>"董以娇"</f>
        <v>董以娇</v>
      </c>
      <c r="E632" s="8" t="str">
        <f>"女"</f>
        <v>女</v>
      </c>
    </row>
    <row r="633" spans="1:5" ht="19.5" customHeight="1">
      <c r="A633" s="8">
        <v>631</v>
      </c>
      <c r="B633" s="8" t="str">
        <f>"21902020071610073728756"</f>
        <v>21902020071610073728756</v>
      </c>
      <c r="C633" s="8" t="s">
        <v>10</v>
      </c>
      <c r="D633" s="8" t="str">
        <f>"薛显华"</f>
        <v>薛显华</v>
      </c>
      <c r="E633" s="8" t="str">
        <f>"男"</f>
        <v>男</v>
      </c>
    </row>
    <row r="634" spans="1:5" ht="19.5" customHeight="1">
      <c r="A634" s="8">
        <v>632</v>
      </c>
      <c r="B634" s="8" t="str">
        <f>"21902020071610225028766"</f>
        <v>21902020071610225028766</v>
      </c>
      <c r="C634" s="8" t="s">
        <v>10</v>
      </c>
      <c r="D634" s="8" t="str">
        <f>"周朱琳"</f>
        <v>周朱琳</v>
      </c>
      <c r="E634" s="8" t="str">
        <f>"女"</f>
        <v>女</v>
      </c>
    </row>
    <row r="635" spans="1:5" ht="19.5" customHeight="1">
      <c r="A635" s="8">
        <v>633</v>
      </c>
      <c r="B635" s="8" t="str">
        <f>"21902020071610470528789"</f>
        <v>21902020071610470528789</v>
      </c>
      <c r="C635" s="8" t="s">
        <v>10</v>
      </c>
      <c r="D635" s="8" t="str">
        <f>"谢国伟"</f>
        <v>谢国伟</v>
      </c>
      <c r="E635" s="8" t="str">
        <f>"男"</f>
        <v>男</v>
      </c>
    </row>
    <row r="636" spans="1:5" ht="19.5" customHeight="1">
      <c r="A636" s="8">
        <v>634</v>
      </c>
      <c r="B636" s="8" t="str">
        <f>"21902020071611152728824"</f>
        <v>21902020071611152728824</v>
      </c>
      <c r="C636" s="8" t="s">
        <v>10</v>
      </c>
      <c r="D636" s="8" t="str">
        <f>"钟克敏"</f>
        <v>钟克敏</v>
      </c>
      <c r="E636" s="8" t="str">
        <f>"男"</f>
        <v>男</v>
      </c>
    </row>
    <row r="637" spans="1:5" ht="19.5" customHeight="1">
      <c r="A637" s="8">
        <v>635</v>
      </c>
      <c r="B637" s="8" t="str">
        <f>"21902020071611574528866"</f>
        <v>21902020071611574528866</v>
      </c>
      <c r="C637" s="8" t="s">
        <v>10</v>
      </c>
      <c r="D637" s="8" t="str">
        <f>"郑家女"</f>
        <v>郑家女</v>
      </c>
      <c r="E637" s="8" t="str">
        <f>"女"</f>
        <v>女</v>
      </c>
    </row>
    <row r="638" spans="1:5" ht="19.5" customHeight="1">
      <c r="A638" s="8">
        <v>636</v>
      </c>
      <c r="B638" s="8" t="str">
        <f>"21902020071613030828905"</f>
        <v>21902020071613030828905</v>
      </c>
      <c r="C638" s="8" t="s">
        <v>10</v>
      </c>
      <c r="D638" s="8" t="str">
        <f>"李雄壮"</f>
        <v>李雄壮</v>
      </c>
      <c r="E638" s="8" t="str">
        <f aca="true" t="shared" si="111" ref="E638:E644">"男"</f>
        <v>男</v>
      </c>
    </row>
    <row r="639" spans="1:5" ht="19.5" customHeight="1">
      <c r="A639" s="8">
        <v>637</v>
      </c>
      <c r="B639" s="8" t="str">
        <f>"21902020071613041328906"</f>
        <v>21902020071613041328906</v>
      </c>
      <c r="C639" s="8" t="s">
        <v>10</v>
      </c>
      <c r="D639" s="8" t="str">
        <f>"陈邦益"</f>
        <v>陈邦益</v>
      </c>
      <c r="E639" s="8" t="str">
        <f t="shared" si="111"/>
        <v>男</v>
      </c>
    </row>
    <row r="640" spans="1:5" ht="19.5" customHeight="1">
      <c r="A640" s="8">
        <v>638</v>
      </c>
      <c r="B640" s="8" t="str">
        <f>"21902020071615003228965"</f>
        <v>21902020071615003228965</v>
      </c>
      <c r="C640" s="8" t="s">
        <v>10</v>
      </c>
      <c r="D640" s="8" t="str">
        <f>"洪棉旺"</f>
        <v>洪棉旺</v>
      </c>
      <c r="E640" s="8" t="str">
        <f t="shared" si="111"/>
        <v>男</v>
      </c>
    </row>
    <row r="641" spans="1:5" ht="19.5" customHeight="1">
      <c r="A641" s="8">
        <v>639</v>
      </c>
      <c r="B641" s="8" t="str">
        <f>"21902020071615062328973"</f>
        <v>21902020071615062328973</v>
      </c>
      <c r="C641" s="8" t="s">
        <v>10</v>
      </c>
      <c r="D641" s="8" t="str">
        <f>"吴维芬"</f>
        <v>吴维芬</v>
      </c>
      <c r="E641" s="8" t="str">
        <f t="shared" si="111"/>
        <v>男</v>
      </c>
    </row>
    <row r="642" spans="1:5" ht="19.5" customHeight="1">
      <c r="A642" s="8">
        <v>640</v>
      </c>
      <c r="B642" s="8" t="str">
        <f>"21902020071616045729035"</f>
        <v>21902020071616045729035</v>
      </c>
      <c r="C642" s="8" t="s">
        <v>10</v>
      </c>
      <c r="D642" s="8" t="str">
        <f>"麦明才"</f>
        <v>麦明才</v>
      </c>
      <c r="E642" s="8" t="str">
        <f t="shared" si="111"/>
        <v>男</v>
      </c>
    </row>
    <row r="643" spans="1:5" ht="19.5" customHeight="1">
      <c r="A643" s="8">
        <v>641</v>
      </c>
      <c r="B643" s="8" t="str">
        <f>"21902020071616365029062"</f>
        <v>21902020071616365029062</v>
      </c>
      <c r="C643" s="8" t="s">
        <v>10</v>
      </c>
      <c r="D643" s="8" t="str">
        <f>"黄鸿华"</f>
        <v>黄鸿华</v>
      </c>
      <c r="E643" s="8" t="str">
        <f t="shared" si="111"/>
        <v>男</v>
      </c>
    </row>
    <row r="644" spans="1:5" ht="19.5" customHeight="1">
      <c r="A644" s="8">
        <v>642</v>
      </c>
      <c r="B644" s="8" t="str">
        <f>"21902020071616452829069"</f>
        <v>21902020071616452829069</v>
      </c>
      <c r="C644" s="8" t="s">
        <v>10</v>
      </c>
      <c r="D644" s="8" t="str">
        <f>"沈传扬"</f>
        <v>沈传扬</v>
      </c>
      <c r="E644" s="8" t="str">
        <f t="shared" si="111"/>
        <v>男</v>
      </c>
    </row>
    <row r="645" spans="1:5" ht="19.5" customHeight="1">
      <c r="A645" s="8">
        <v>643</v>
      </c>
      <c r="B645" s="8" t="str">
        <f>"21902020071617292629109"</f>
        <v>21902020071617292629109</v>
      </c>
      <c r="C645" s="8" t="s">
        <v>10</v>
      </c>
      <c r="D645" s="8" t="str">
        <f>"陆蕾"</f>
        <v>陆蕾</v>
      </c>
      <c r="E645" s="8" t="str">
        <f>"女"</f>
        <v>女</v>
      </c>
    </row>
    <row r="646" spans="1:5" ht="19.5" customHeight="1">
      <c r="A646" s="8">
        <v>644</v>
      </c>
      <c r="B646" s="8" t="str">
        <f>"21902020071617512429126"</f>
        <v>21902020071617512429126</v>
      </c>
      <c r="C646" s="8" t="s">
        <v>10</v>
      </c>
      <c r="D646" s="8" t="str">
        <f>"符贵光"</f>
        <v>符贵光</v>
      </c>
      <c r="E646" s="8" t="str">
        <f aca="true" t="shared" si="112" ref="E646:E654">"男"</f>
        <v>男</v>
      </c>
    </row>
    <row r="647" spans="1:5" ht="19.5" customHeight="1">
      <c r="A647" s="8">
        <v>645</v>
      </c>
      <c r="B647" s="8" t="str">
        <f>"21902020071618214529141"</f>
        <v>21902020071618214529141</v>
      </c>
      <c r="C647" s="8" t="s">
        <v>10</v>
      </c>
      <c r="D647" s="8" t="str">
        <f>"王利亚"</f>
        <v>王利亚</v>
      </c>
      <c r="E647" s="8" t="str">
        <f t="shared" si="112"/>
        <v>男</v>
      </c>
    </row>
    <row r="648" spans="1:5" ht="19.5" customHeight="1">
      <c r="A648" s="8">
        <v>646</v>
      </c>
      <c r="B648" s="8" t="str">
        <f>"21902020071618372529147"</f>
        <v>21902020071618372529147</v>
      </c>
      <c r="C648" s="8" t="s">
        <v>10</v>
      </c>
      <c r="D648" s="8" t="str">
        <f>"文周强"</f>
        <v>文周强</v>
      </c>
      <c r="E648" s="8" t="str">
        <f t="shared" si="112"/>
        <v>男</v>
      </c>
    </row>
    <row r="649" spans="1:5" ht="19.5" customHeight="1">
      <c r="A649" s="8">
        <v>647</v>
      </c>
      <c r="B649" s="8" t="str">
        <f>"21902020071619135129161"</f>
        <v>21902020071619135129161</v>
      </c>
      <c r="C649" s="8" t="s">
        <v>10</v>
      </c>
      <c r="D649" s="8" t="str">
        <f>"陈壮康"</f>
        <v>陈壮康</v>
      </c>
      <c r="E649" s="8" t="str">
        <f t="shared" si="112"/>
        <v>男</v>
      </c>
    </row>
    <row r="650" spans="1:5" ht="19.5" customHeight="1">
      <c r="A650" s="8">
        <v>648</v>
      </c>
      <c r="B650" s="8" t="str">
        <f>"21902020071619384829174"</f>
        <v>21902020071619384829174</v>
      </c>
      <c r="C650" s="8" t="s">
        <v>10</v>
      </c>
      <c r="D650" s="8" t="str">
        <f>"廖跃武"</f>
        <v>廖跃武</v>
      </c>
      <c r="E650" s="8" t="str">
        <f t="shared" si="112"/>
        <v>男</v>
      </c>
    </row>
    <row r="651" spans="1:5" ht="19.5" customHeight="1">
      <c r="A651" s="8">
        <v>649</v>
      </c>
      <c r="B651" s="8" t="str">
        <f>"21902020071621081229223"</f>
        <v>21902020071621081229223</v>
      </c>
      <c r="C651" s="8" t="s">
        <v>10</v>
      </c>
      <c r="D651" s="8" t="str">
        <f>"符永乐"</f>
        <v>符永乐</v>
      </c>
      <c r="E651" s="8" t="str">
        <f t="shared" si="112"/>
        <v>男</v>
      </c>
    </row>
    <row r="652" spans="1:5" ht="19.5" customHeight="1">
      <c r="A652" s="8">
        <v>650</v>
      </c>
      <c r="B652" s="8" t="str">
        <f>"21902020071622120929250"</f>
        <v>21902020071622120929250</v>
      </c>
      <c r="C652" s="8" t="s">
        <v>10</v>
      </c>
      <c r="D652" s="8" t="str">
        <f>"谢东青"</f>
        <v>谢东青</v>
      </c>
      <c r="E652" s="8" t="str">
        <f t="shared" si="112"/>
        <v>男</v>
      </c>
    </row>
    <row r="653" spans="1:5" ht="19.5" customHeight="1">
      <c r="A653" s="8">
        <v>651</v>
      </c>
      <c r="B653" s="8" t="str">
        <f>"21902020071622141129252"</f>
        <v>21902020071622141129252</v>
      </c>
      <c r="C653" s="8" t="s">
        <v>10</v>
      </c>
      <c r="D653" s="8" t="str">
        <f>"孙有功"</f>
        <v>孙有功</v>
      </c>
      <c r="E653" s="8" t="str">
        <f t="shared" si="112"/>
        <v>男</v>
      </c>
    </row>
    <row r="654" spans="1:5" ht="19.5" customHeight="1">
      <c r="A654" s="8">
        <v>652</v>
      </c>
      <c r="B654" s="8" t="str">
        <f>"21902020071700585329308"</f>
        <v>21902020071700585329308</v>
      </c>
      <c r="C654" s="8" t="s">
        <v>10</v>
      </c>
      <c r="D654" s="8" t="str">
        <f>"符恩玮"</f>
        <v>符恩玮</v>
      </c>
      <c r="E654" s="8" t="str">
        <f t="shared" si="112"/>
        <v>男</v>
      </c>
    </row>
    <row r="655" spans="1:5" ht="19.5" customHeight="1">
      <c r="A655" s="8">
        <v>653</v>
      </c>
      <c r="B655" s="8" t="str">
        <f>"21902020071709040029348"</f>
        <v>21902020071709040029348</v>
      </c>
      <c r="C655" s="8" t="s">
        <v>10</v>
      </c>
      <c r="D655" s="8" t="str">
        <f>"李芳芳"</f>
        <v>李芳芳</v>
      </c>
      <c r="E655" s="8" t="str">
        <f>"女"</f>
        <v>女</v>
      </c>
    </row>
    <row r="656" spans="1:5" ht="19.5" customHeight="1">
      <c r="A656" s="8">
        <v>654</v>
      </c>
      <c r="B656" s="8" t="str">
        <f>"21902020071711054329438"</f>
        <v>21902020071711054329438</v>
      </c>
      <c r="C656" s="8" t="s">
        <v>10</v>
      </c>
      <c r="D656" s="8" t="str">
        <f>"曾学慧"</f>
        <v>曾学慧</v>
      </c>
      <c r="E656" s="8" t="str">
        <f aca="true" t="shared" si="113" ref="E656:E661">"男"</f>
        <v>男</v>
      </c>
    </row>
    <row r="657" spans="1:5" ht="19.5" customHeight="1">
      <c r="A657" s="8">
        <v>655</v>
      </c>
      <c r="B657" s="8" t="str">
        <f>"21902020071711084929441"</f>
        <v>21902020071711084929441</v>
      </c>
      <c r="C657" s="8" t="s">
        <v>10</v>
      </c>
      <c r="D657" s="8" t="str">
        <f>"王起"</f>
        <v>王起</v>
      </c>
      <c r="E657" s="8" t="str">
        <f t="shared" si="113"/>
        <v>男</v>
      </c>
    </row>
    <row r="658" spans="1:5" ht="19.5" customHeight="1">
      <c r="A658" s="8">
        <v>656</v>
      </c>
      <c r="B658" s="8" t="str">
        <f>"21902020071711431729465"</f>
        <v>21902020071711431729465</v>
      </c>
      <c r="C658" s="8" t="s">
        <v>10</v>
      </c>
      <c r="D658" s="8" t="str">
        <f>"符泽平"</f>
        <v>符泽平</v>
      </c>
      <c r="E658" s="8" t="str">
        <f t="shared" si="113"/>
        <v>男</v>
      </c>
    </row>
    <row r="659" spans="1:5" ht="19.5" customHeight="1">
      <c r="A659" s="8">
        <v>657</v>
      </c>
      <c r="B659" s="8" t="str">
        <f>"21902020071713024829513"</f>
        <v>21902020071713024829513</v>
      </c>
      <c r="C659" s="8" t="s">
        <v>10</v>
      </c>
      <c r="D659" s="8" t="str">
        <f>"刘强"</f>
        <v>刘强</v>
      </c>
      <c r="E659" s="8" t="str">
        <f t="shared" si="113"/>
        <v>男</v>
      </c>
    </row>
    <row r="660" spans="1:5" ht="19.5" customHeight="1">
      <c r="A660" s="8">
        <v>658</v>
      </c>
      <c r="B660" s="8" t="str">
        <f>"21902020071715111229579"</f>
        <v>21902020071715111229579</v>
      </c>
      <c r="C660" s="8" t="s">
        <v>10</v>
      </c>
      <c r="D660" s="8" t="str">
        <f>"羊位善"</f>
        <v>羊位善</v>
      </c>
      <c r="E660" s="8" t="str">
        <f t="shared" si="113"/>
        <v>男</v>
      </c>
    </row>
    <row r="661" spans="1:5" ht="19.5" customHeight="1">
      <c r="A661" s="8">
        <v>659</v>
      </c>
      <c r="B661" s="8" t="str">
        <f>"21902020071716053929619"</f>
        <v>21902020071716053929619</v>
      </c>
      <c r="C661" s="8" t="s">
        <v>10</v>
      </c>
      <c r="D661" s="8" t="str">
        <f>"符石全"</f>
        <v>符石全</v>
      </c>
      <c r="E661" s="8" t="str">
        <f t="shared" si="113"/>
        <v>男</v>
      </c>
    </row>
    <row r="662" spans="1:5" ht="19.5" customHeight="1">
      <c r="A662" s="8">
        <v>660</v>
      </c>
      <c r="B662" s="8" t="str">
        <f>"21902020071719451529725"</f>
        <v>21902020071719451529725</v>
      </c>
      <c r="C662" s="8" t="s">
        <v>10</v>
      </c>
      <c r="D662" s="8" t="str">
        <f>"文永雅"</f>
        <v>文永雅</v>
      </c>
      <c r="E662" s="8" t="str">
        <f>"女"</f>
        <v>女</v>
      </c>
    </row>
    <row r="663" spans="1:5" ht="19.5" customHeight="1">
      <c r="A663" s="8">
        <v>661</v>
      </c>
      <c r="B663" s="8" t="str">
        <f>"21902020071809004629817"</f>
        <v>21902020071809004629817</v>
      </c>
      <c r="C663" s="8" t="s">
        <v>10</v>
      </c>
      <c r="D663" s="8" t="str">
        <f>"谢定友"</f>
        <v>谢定友</v>
      </c>
      <c r="E663" s="8" t="str">
        <f>"男"</f>
        <v>男</v>
      </c>
    </row>
    <row r="664" spans="1:5" ht="19.5" customHeight="1">
      <c r="A664" s="8">
        <v>662</v>
      </c>
      <c r="B664" s="8" t="str">
        <f>"21902020071810284529844"</f>
        <v>21902020071810284529844</v>
      </c>
      <c r="C664" s="8" t="s">
        <v>10</v>
      </c>
      <c r="D664" s="8" t="str">
        <f>"郭学骈"</f>
        <v>郭学骈</v>
      </c>
      <c r="E664" s="8" t="str">
        <f>"男"</f>
        <v>男</v>
      </c>
    </row>
    <row r="665" spans="1:5" ht="19.5" customHeight="1">
      <c r="A665" s="8">
        <v>663</v>
      </c>
      <c r="B665" s="8" t="str">
        <f>"21902020071812082429882"</f>
        <v>21902020071812082429882</v>
      </c>
      <c r="C665" s="8" t="s">
        <v>10</v>
      </c>
      <c r="D665" s="8" t="str">
        <f>"刘玉夏"</f>
        <v>刘玉夏</v>
      </c>
      <c r="E665" s="8" t="str">
        <f>"女"</f>
        <v>女</v>
      </c>
    </row>
    <row r="666" spans="1:5" ht="19.5" customHeight="1">
      <c r="A666" s="8">
        <v>664</v>
      </c>
      <c r="B666" s="8" t="str">
        <f>"21902020071812224429886"</f>
        <v>21902020071812224429886</v>
      </c>
      <c r="C666" s="8" t="s">
        <v>10</v>
      </c>
      <c r="D666" s="8" t="str">
        <f>"王和平"</f>
        <v>王和平</v>
      </c>
      <c r="E666" s="8" t="str">
        <f>"男"</f>
        <v>男</v>
      </c>
    </row>
    <row r="667" spans="1:5" ht="19.5" customHeight="1">
      <c r="A667" s="8">
        <v>665</v>
      </c>
      <c r="B667" s="8" t="str">
        <f>"21902020071813580629919"</f>
        <v>21902020071813580629919</v>
      </c>
      <c r="C667" s="8" t="s">
        <v>10</v>
      </c>
      <c r="D667" s="8" t="str">
        <f>"李儒瑞"</f>
        <v>李儒瑞</v>
      </c>
      <c r="E667" s="8" t="str">
        <f>"男"</f>
        <v>男</v>
      </c>
    </row>
    <row r="668" spans="1:5" ht="19.5" customHeight="1">
      <c r="A668" s="8">
        <v>666</v>
      </c>
      <c r="B668" s="8" t="str">
        <f>"21902020071814232329929"</f>
        <v>21902020071814232329929</v>
      </c>
      <c r="C668" s="8" t="s">
        <v>10</v>
      </c>
      <c r="D668" s="8" t="str">
        <f>"李永连"</f>
        <v>李永连</v>
      </c>
      <c r="E668" s="8" t="str">
        <f>"女"</f>
        <v>女</v>
      </c>
    </row>
    <row r="669" spans="1:5" ht="19.5" customHeight="1">
      <c r="A669" s="8">
        <v>667</v>
      </c>
      <c r="B669" s="8" t="str">
        <f>"21902020071816280429970"</f>
        <v>21902020071816280429970</v>
      </c>
      <c r="C669" s="8" t="s">
        <v>10</v>
      </c>
      <c r="D669" s="8" t="str">
        <f>"龚新辰"</f>
        <v>龚新辰</v>
      </c>
      <c r="E669" s="8" t="str">
        <f>"女"</f>
        <v>女</v>
      </c>
    </row>
    <row r="670" spans="1:5" ht="19.5" customHeight="1">
      <c r="A670" s="8">
        <v>668</v>
      </c>
      <c r="B670" s="8" t="str">
        <f>"21902020071817022729977"</f>
        <v>21902020071817022729977</v>
      </c>
      <c r="C670" s="8" t="s">
        <v>10</v>
      </c>
      <c r="D670" s="8" t="str">
        <f>"王日伟"</f>
        <v>王日伟</v>
      </c>
      <c r="E670" s="8" t="str">
        <f>"男"</f>
        <v>男</v>
      </c>
    </row>
    <row r="671" spans="1:5" ht="19.5" customHeight="1">
      <c r="A671" s="8">
        <v>669</v>
      </c>
      <c r="B671" s="8" t="str">
        <f>"21902020071817434429988"</f>
        <v>21902020071817434429988</v>
      </c>
      <c r="C671" s="8" t="s">
        <v>10</v>
      </c>
      <c r="D671" s="8" t="str">
        <f>"符良聪"</f>
        <v>符良聪</v>
      </c>
      <c r="E671" s="8" t="str">
        <f>"男"</f>
        <v>男</v>
      </c>
    </row>
    <row r="672" spans="1:5" ht="19.5" customHeight="1">
      <c r="A672" s="8">
        <v>670</v>
      </c>
      <c r="B672" s="8" t="str">
        <f>"21902020071818291829998"</f>
        <v>21902020071818291829998</v>
      </c>
      <c r="C672" s="8" t="s">
        <v>10</v>
      </c>
      <c r="D672" s="8" t="str">
        <f>"陈锋"</f>
        <v>陈锋</v>
      </c>
      <c r="E672" s="8" t="str">
        <f>"男"</f>
        <v>男</v>
      </c>
    </row>
    <row r="673" spans="1:5" ht="19.5" customHeight="1">
      <c r="A673" s="8">
        <v>671</v>
      </c>
      <c r="B673" s="8" t="str">
        <f>"21902020071907292230091"</f>
        <v>21902020071907292230091</v>
      </c>
      <c r="C673" s="8" t="s">
        <v>10</v>
      </c>
      <c r="D673" s="8" t="str">
        <f>"陈遇才"</f>
        <v>陈遇才</v>
      </c>
      <c r="E673" s="8" t="str">
        <f>"男"</f>
        <v>男</v>
      </c>
    </row>
    <row r="674" spans="1:5" ht="19.5" customHeight="1">
      <c r="A674" s="8">
        <v>672</v>
      </c>
      <c r="B674" s="8" t="str">
        <f>"21902020071911571630151"</f>
        <v>21902020071911571630151</v>
      </c>
      <c r="C674" s="8" t="s">
        <v>10</v>
      </c>
      <c r="D674" s="8" t="str">
        <f>"羊冠周"</f>
        <v>羊冠周</v>
      </c>
      <c r="E674" s="8" t="str">
        <f>"男"</f>
        <v>男</v>
      </c>
    </row>
    <row r="675" spans="1:5" ht="19.5" customHeight="1">
      <c r="A675" s="8">
        <v>673</v>
      </c>
      <c r="B675" s="8" t="str">
        <f>"21902020071914014830200"</f>
        <v>21902020071914014830200</v>
      </c>
      <c r="C675" s="8" t="s">
        <v>10</v>
      </c>
      <c r="D675" s="8" t="str">
        <f>"孙三凤"</f>
        <v>孙三凤</v>
      </c>
      <c r="E675" s="8" t="str">
        <f>"女"</f>
        <v>女</v>
      </c>
    </row>
    <row r="676" spans="1:5" ht="19.5" customHeight="1">
      <c r="A676" s="8">
        <v>674</v>
      </c>
      <c r="B676" s="8" t="str">
        <f>"21902020071916462030259"</f>
        <v>21902020071916462030259</v>
      </c>
      <c r="C676" s="8" t="s">
        <v>10</v>
      </c>
      <c r="D676" s="8" t="str">
        <f>"刘健"</f>
        <v>刘健</v>
      </c>
      <c r="E676" s="8" t="str">
        <f>"男"</f>
        <v>男</v>
      </c>
    </row>
    <row r="677" spans="1:5" ht="19.5" customHeight="1">
      <c r="A677" s="8">
        <v>675</v>
      </c>
      <c r="B677" s="8" t="str">
        <f>"21902020071921360230351"</f>
        <v>21902020071921360230351</v>
      </c>
      <c r="C677" s="8" t="s">
        <v>10</v>
      </c>
      <c r="D677" s="8" t="str">
        <f>"曾伟峻"</f>
        <v>曾伟峻</v>
      </c>
      <c r="E677" s="8" t="str">
        <f>"男"</f>
        <v>男</v>
      </c>
    </row>
    <row r="678" spans="1:5" ht="19.5" customHeight="1">
      <c r="A678" s="8">
        <v>676</v>
      </c>
      <c r="B678" s="8" t="str">
        <f>"21902020071922493330380"</f>
        <v>21902020071922493330380</v>
      </c>
      <c r="C678" s="8" t="s">
        <v>10</v>
      </c>
      <c r="D678" s="8" t="str">
        <f>"韦照孙"</f>
        <v>韦照孙</v>
      </c>
      <c r="E678" s="8" t="str">
        <f>"男"</f>
        <v>男</v>
      </c>
    </row>
    <row r="679" spans="1:5" ht="19.5" customHeight="1">
      <c r="A679" s="8">
        <v>677</v>
      </c>
      <c r="B679" s="8" t="str">
        <f>"21902020072008234430437"</f>
        <v>21902020072008234430437</v>
      </c>
      <c r="C679" s="8" t="s">
        <v>10</v>
      </c>
      <c r="D679" s="8" t="str">
        <f>"李靖"</f>
        <v>李靖</v>
      </c>
      <c r="E679" s="8" t="str">
        <f>"男"</f>
        <v>男</v>
      </c>
    </row>
    <row r="680" spans="1:5" ht="19.5" customHeight="1">
      <c r="A680" s="8">
        <v>678</v>
      </c>
      <c r="B680" s="8" t="str">
        <f>"21902020072010335830531"</f>
        <v>21902020072010335830531</v>
      </c>
      <c r="C680" s="8" t="s">
        <v>10</v>
      </c>
      <c r="D680" s="8" t="str">
        <f>"王春霞"</f>
        <v>王春霞</v>
      </c>
      <c r="E680" s="8" t="str">
        <f>"女"</f>
        <v>女</v>
      </c>
    </row>
    <row r="681" spans="1:5" ht="19.5" customHeight="1">
      <c r="A681" s="8">
        <v>679</v>
      </c>
      <c r="B681" s="8" t="str">
        <f>"21902020072010463830537"</f>
        <v>21902020072010463830537</v>
      </c>
      <c r="C681" s="8" t="s">
        <v>10</v>
      </c>
      <c r="D681" s="8" t="str">
        <f>"肖秉权"</f>
        <v>肖秉权</v>
      </c>
      <c r="E681" s="8" t="str">
        <f>"男"</f>
        <v>男</v>
      </c>
    </row>
    <row r="682" spans="1:5" ht="19.5" customHeight="1">
      <c r="A682" s="8">
        <v>680</v>
      </c>
      <c r="B682" s="8" t="str">
        <f>"21902020072012340130614"</f>
        <v>21902020072012340130614</v>
      </c>
      <c r="C682" s="8" t="s">
        <v>10</v>
      </c>
      <c r="D682" s="8" t="str">
        <f>"杨小贝"</f>
        <v>杨小贝</v>
      </c>
      <c r="E682" s="8" t="str">
        <f>"女"</f>
        <v>女</v>
      </c>
    </row>
    <row r="683" spans="1:5" ht="19.5" customHeight="1">
      <c r="A683" s="8">
        <v>681</v>
      </c>
      <c r="B683" s="8" t="str">
        <f>"21902020072013394530663"</f>
        <v>21902020072013394530663</v>
      </c>
      <c r="C683" s="8" t="s">
        <v>10</v>
      </c>
      <c r="D683" s="8" t="str">
        <f>"徐鸿生"</f>
        <v>徐鸿生</v>
      </c>
      <c r="E683" s="8" t="str">
        <f>"男"</f>
        <v>男</v>
      </c>
    </row>
    <row r="684" spans="1:5" ht="19.5" customHeight="1">
      <c r="A684" s="8">
        <v>682</v>
      </c>
      <c r="B684" s="8" t="str">
        <f>"21902020071409122226019"</f>
        <v>21902020071409122226019</v>
      </c>
      <c r="C684" s="8" t="s">
        <v>11</v>
      </c>
      <c r="D684" s="8" t="str">
        <f>"姜珍霞"</f>
        <v>姜珍霞</v>
      </c>
      <c r="E684" s="8" t="str">
        <f>"女"</f>
        <v>女</v>
      </c>
    </row>
    <row r="685" spans="1:5" ht="19.5" customHeight="1">
      <c r="A685" s="8">
        <v>683</v>
      </c>
      <c r="B685" s="8" t="str">
        <f>"21902020071409200026069"</f>
        <v>21902020071409200026069</v>
      </c>
      <c r="C685" s="8" t="s">
        <v>11</v>
      </c>
      <c r="D685" s="8" t="str">
        <f>"王诚"</f>
        <v>王诚</v>
      </c>
      <c r="E685" s="8" t="str">
        <f>"男"</f>
        <v>男</v>
      </c>
    </row>
    <row r="686" spans="1:5" ht="19.5" customHeight="1">
      <c r="A686" s="8">
        <v>684</v>
      </c>
      <c r="B686" s="8" t="str">
        <f>"21902020071422101127515"</f>
        <v>21902020071422101127515</v>
      </c>
      <c r="C686" s="8" t="s">
        <v>11</v>
      </c>
      <c r="D686" s="8" t="str">
        <f>"陈錡男"</f>
        <v>陈錡男</v>
      </c>
      <c r="E686" s="8" t="str">
        <f>"男"</f>
        <v>男</v>
      </c>
    </row>
    <row r="687" spans="1:5" ht="19.5" customHeight="1">
      <c r="A687" s="8">
        <v>685</v>
      </c>
      <c r="B687" s="8" t="str">
        <f>"21902020071616173429045"</f>
        <v>21902020071616173429045</v>
      </c>
      <c r="C687" s="8" t="s">
        <v>11</v>
      </c>
      <c r="D687" s="8" t="str">
        <f>"林树成"</f>
        <v>林树成</v>
      </c>
      <c r="E687" s="8" t="str">
        <f>"男"</f>
        <v>男</v>
      </c>
    </row>
    <row r="688" spans="1:5" ht="19.5" customHeight="1">
      <c r="A688" s="8">
        <v>686</v>
      </c>
      <c r="B688" s="8" t="str">
        <f>"21902020071616293629058"</f>
        <v>21902020071616293629058</v>
      </c>
      <c r="C688" s="8" t="s">
        <v>11</v>
      </c>
      <c r="D688" s="8" t="str">
        <f>"陈寿文"</f>
        <v>陈寿文</v>
      </c>
      <c r="E688" s="8" t="str">
        <f>"男"</f>
        <v>男</v>
      </c>
    </row>
    <row r="689" spans="1:5" ht="19.5" customHeight="1">
      <c r="A689" s="8">
        <v>687</v>
      </c>
      <c r="B689" s="8" t="str">
        <f>"21902020071711441129466"</f>
        <v>21902020071711441129466</v>
      </c>
      <c r="C689" s="8" t="s">
        <v>11</v>
      </c>
      <c r="D689" s="8" t="str">
        <f>"王华丁"</f>
        <v>王华丁</v>
      </c>
      <c r="E689" s="8" t="str">
        <f>"男"</f>
        <v>男</v>
      </c>
    </row>
    <row r="690" spans="1:5" ht="19.5" customHeight="1">
      <c r="A690" s="8">
        <v>688</v>
      </c>
      <c r="B690" s="8" t="str">
        <f>"21902020071810330329848"</f>
        <v>21902020071810330329848</v>
      </c>
      <c r="C690" s="8" t="s">
        <v>11</v>
      </c>
      <c r="D690" s="8" t="str">
        <f>"王蕊"</f>
        <v>王蕊</v>
      </c>
      <c r="E690" s="8" t="str">
        <f>"女"</f>
        <v>女</v>
      </c>
    </row>
    <row r="691" spans="1:5" ht="19.5" customHeight="1">
      <c r="A691" s="8">
        <v>689</v>
      </c>
      <c r="B691" s="8" t="str">
        <f>"21902020071823355230076"</f>
        <v>21902020071823355230076</v>
      </c>
      <c r="C691" s="8" t="s">
        <v>11</v>
      </c>
      <c r="D691" s="8" t="str">
        <f>"王世扬"</f>
        <v>王世扬</v>
      </c>
      <c r="E691" s="8" t="str">
        <f aca="true" t="shared" si="114" ref="E691:E696">"男"</f>
        <v>男</v>
      </c>
    </row>
    <row r="692" spans="1:5" ht="19.5" customHeight="1">
      <c r="A692" s="8">
        <v>690</v>
      </c>
      <c r="B692" s="8" t="str">
        <f>"21902020071914470730217"</f>
        <v>21902020071914470730217</v>
      </c>
      <c r="C692" s="8" t="s">
        <v>11</v>
      </c>
      <c r="D692" s="8" t="str">
        <f>"张周伟"</f>
        <v>张周伟</v>
      </c>
      <c r="E692" s="8" t="str">
        <f t="shared" si="114"/>
        <v>男</v>
      </c>
    </row>
    <row r="693" spans="1:5" ht="19.5" customHeight="1">
      <c r="A693" s="8">
        <v>691</v>
      </c>
      <c r="B693" s="8" t="str">
        <f>"21902020071923355630400"</f>
        <v>21902020071923355630400</v>
      </c>
      <c r="C693" s="8" t="s">
        <v>11</v>
      </c>
      <c r="D693" s="8" t="str">
        <f>"羊冠根"</f>
        <v>羊冠根</v>
      </c>
      <c r="E693" s="8" t="str">
        <f t="shared" si="114"/>
        <v>男</v>
      </c>
    </row>
    <row r="694" spans="1:5" ht="19.5" customHeight="1">
      <c r="A694" s="8">
        <v>692</v>
      </c>
      <c r="B694" s="8" t="str">
        <f>"21902020072000040330406"</f>
        <v>21902020072000040330406</v>
      </c>
      <c r="C694" s="8" t="s">
        <v>11</v>
      </c>
      <c r="D694" s="8" t="str">
        <f>"丁永治"</f>
        <v>丁永治</v>
      </c>
      <c r="E694" s="8" t="str">
        <f t="shared" si="114"/>
        <v>男</v>
      </c>
    </row>
    <row r="695" spans="1:5" ht="19.5" customHeight="1">
      <c r="A695" s="8">
        <v>693</v>
      </c>
      <c r="B695" s="8" t="str">
        <f>"21902020071409095626002"</f>
        <v>21902020071409095626002</v>
      </c>
      <c r="C695" s="8" t="s">
        <v>12</v>
      </c>
      <c r="D695" s="8" t="str">
        <f>"李开平"</f>
        <v>李开平</v>
      </c>
      <c r="E695" s="8" t="str">
        <f t="shared" si="114"/>
        <v>男</v>
      </c>
    </row>
    <row r="696" spans="1:5" ht="19.5" customHeight="1">
      <c r="A696" s="8">
        <v>694</v>
      </c>
      <c r="B696" s="8" t="str">
        <f>"21902020071409182226055"</f>
        <v>21902020071409182226055</v>
      </c>
      <c r="C696" s="8" t="s">
        <v>12</v>
      </c>
      <c r="D696" s="8" t="str">
        <f>"陈世秀"</f>
        <v>陈世秀</v>
      </c>
      <c r="E696" s="8" t="str">
        <f t="shared" si="114"/>
        <v>男</v>
      </c>
    </row>
    <row r="697" spans="1:5" ht="19.5" customHeight="1">
      <c r="A697" s="8">
        <v>695</v>
      </c>
      <c r="B697" s="8" t="str">
        <f>"21902020071409183926058"</f>
        <v>21902020071409183926058</v>
      </c>
      <c r="C697" s="8" t="s">
        <v>12</v>
      </c>
      <c r="D697" s="8" t="str">
        <f>"羊益荣"</f>
        <v>羊益荣</v>
      </c>
      <c r="E697" s="8" t="str">
        <f>"女"</f>
        <v>女</v>
      </c>
    </row>
    <row r="698" spans="1:5" ht="19.5" customHeight="1">
      <c r="A698" s="8">
        <v>696</v>
      </c>
      <c r="B698" s="8" t="str">
        <f>"21902020071409522526209"</f>
        <v>21902020071409522526209</v>
      </c>
      <c r="C698" s="8" t="s">
        <v>12</v>
      </c>
      <c r="D698" s="8" t="str">
        <f>"李文慧"</f>
        <v>李文慧</v>
      </c>
      <c r="E698" s="8" t="str">
        <f>"男"</f>
        <v>男</v>
      </c>
    </row>
    <row r="699" spans="1:5" ht="19.5" customHeight="1">
      <c r="A699" s="8">
        <v>697</v>
      </c>
      <c r="B699" s="8" t="str">
        <f>"21902020071410081526284"</f>
        <v>21902020071410081526284</v>
      </c>
      <c r="C699" s="8" t="s">
        <v>12</v>
      </c>
      <c r="D699" s="8" t="str">
        <f>"李永康"</f>
        <v>李永康</v>
      </c>
      <c r="E699" s="8" t="str">
        <f>"男"</f>
        <v>男</v>
      </c>
    </row>
    <row r="700" spans="1:5" ht="19.5" customHeight="1">
      <c r="A700" s="8">
        <v>698</v>
      </c>
      <c r="B700" s="8" t="str">
        <f>"21902020071410130526310"</f>
        <v>21902020071410130526310</v>
      </c>
      <c r="C700" s="8" t="s">
        <v>12</v>
      </c>
      <c r="D700" s="8" t="str">
        <f>"邓国瀛"</f>
        <v>邓国瀛</v>
      </c>
      <c r="E700" s="8" t="str">
        <f>"男"</f>
        <v>男</v>
      </c>
    </row>
    <row r="701" spans="1:5" ht="19.5" customHeight="1">
      <c r="A701" s="8">
        <v>699</v>
      </c>
      <c r="B701" s="8" t="str">
        <f>"21902020071410141226315"</f>
        <v>21902020071410141226315</v>
      </c>
      <c r="C701" s="8" t="s">
        <v>12</v>
      </c>
      <c r="D701" s="8" t="str">
        <f>"林铃"</f>
        <v>林铃</v>
      </c>
      <c r="E701" s="8" t="str">
        <f>"女"</f>
        <v>女</v>
      </c>
    </row>
    <row r="702" spans="1:5" ht="19.5" customHeight="1">
      <c r="A702" s="8">
        <v>700</v>
      </c>
      <c r="B702" s="8" t="str">
        <f>"21902020071410343926390"</f>
        <v>21902020071410343926390</v>
      </c>
      <c r="C702" s="8" t="s">
        <v>12</v>
      </c>
      <c r="D702" s="8" t="str">
        <f>"苏日坚"</f>
        <v>苏日坚</v>
      </c>
      <c r="E702" s="8" t="str">
        <f>"男"</f>
        <v>男</v>
      </c>
    </row>
    <row r="703" spans="1:5" ht="19.5" customHeight="1">
      <c r="A703" s="8">
        <v>701</v>
      </c>
      <c r="B703" s="8" t="str">
        <f>"21902020071411342426567"</f>
        <v>21902020071411342426567</v>
      </c>
      <c r="C703" s="8" t="s">
        <v>12</v>
      </c>
      <c r="D703" s="8" t="str">
        <f>"陈美玲"</f>
        <v>陈美玲</v>
      </c>
      <c r="E703" s="8" t="str">
        <f>"女"</f>
        <v>女</v>
      </c>
    </row>
    <row r="704" spans="1:5" ht="19.5" customHeight="1">
      <c r="A704" s="8">
        <v>702</v>
      </c>
      <c r="B704" s="8" t="str">
        <f>"21902020071414004826814"</f>
        <v>21902020071414004826814</v>
      </c>
      <c r="C704" s="8" t="s">
        <v>12</v>
      </c>
      <c r="D704" s="8" t="str">
        <f>"苏家昌"</f>
        <v>苏家昌</v>
      </c>
      <c r="E704" s="8" t="str">
        <f aca="true" t="shared" si="115" ref="E704:E724">"男"</f>
        <v>男</v>
      </c>
    </row>
    <row r="705" spans="1:5" ht="19.5" customHeight="1">
      <c r="A705" s="8">
        <v>703</v>
      </c>
      <c r="B705" s="8" t="str">
        <f>"21902020071414472926886"</f>
        <v>21902020071414472926886</v>
      </c>
      <c r="C705" s="8" t="s">
        <v>12</v>
      </c>
      <c r="D705" s="8" t="str">
        <f>"陈江巍"</f>
        <v>陈江巍</v>
      </c>
      <c r="E705" s="8" t="str">
        <f t="shared" si="115"/>
        <v>男</v>
      </c>
    </row>
    <row r="706" spans="1:5" ht="19.5" customHeight="1">
      <c r="A706" s="8">
        <v>704</v>
      </c>
      <c r="B706" s="8" t="str">
        <f>"21902020071415065726924"</f>
        <v>21902020071415065726924</v>
      </c>
      <c r="C706" s="8" t="s">
        <v>12</v>
      </c>
      <c r="D706" s="8" t="str">
        <f>"王科培"</f>
        <v>王科培</v>
      </c>
      <c r="E706" s="8" t="str">
        <f t="shared" si="115"/>
        <v>男</v>
      </c>
    </row>
    <row r="707" spans="1:5" ht="19.5" customHeight="1">
      <c r="A707" s="8">
        <v>705</v>
      </c>
      <c r="B707" s="8" t="str">
        <f>"21902020071416331627071"</f>
        <v>21902020071416331627071</v>
      </c>
      <c r="C707" s="8" t="s">
        <v>12</v>
      </c>
      <c r="D707" s="8" t="str">
        <f>"吴一峰"</f>
        <v>吴一峰</v>
      </c>
      <c r="E707" s="8" t="str">
        <f t="shared" si="115"/>
        <v>男</v>
      </c>
    </row>
    <row r="708" spans="1:5" ht="19.5" customHeight="1">
      <c r="A708" s="8">
        <v>706</v>
      </c>
      <c r="B708" s="8" t="str">
        <f>"21902020071417384227184"</f>
        <v>21902020071417384227184</v>
      </c>
      <c r="C708" s="8" t="s">
        <v>12</v>
      </c>
      <c r="D708" s="8" t="str">
        <f>"王达周"</f>
        <v>王达周</v>
      </c>
      <c r="E708" s="8" t="str">
        <f t="shared" si="115"/>
        <v>男</v>
      </c>
    </row>
    <row r="709" spans="1:5" ht="19.5" customHeight="1">
      <c r="A709" s="8">
        <v>707</v>
      </c>
      <c r="B709" s="8" t="str">
        <f>"21902020071418193727241"</f>
        <v>21902020071418193727241</v>
      </c>
      <c r="C709" s="8" t="s">
        <v>12</v>
      </c>
      <c r="D709" s="8" t="str">
        <f>"崔灿"</f>
        <v>崔灿</v>
      </c>
      <c r="E709" s="8" t="str">
        <f t="shared" si="115"/>
        <v>男</v>
      </c>
    </row>
    <row r="710" spans="1:5" ht="19.5" customHeight="1">
      <c r="A710" s="8">
        <v>708</v>
      </c>
      <c r="B710" s="8" t="str">
        <f>"21902020071420285027398"</f>
        <v>21902020071420285027398</v>
      </c>
      <c r="C710" s="8" t="s">
        <v>12</v>
      </c>
      <c r="D710" s="8" t="str">
        <f>"符倍铭"</f>
        <v>符倍铭</v>
      </c>
      <c r="E710" s="8" t="str">
        <f t="shared" si="115"/>
        <v>男</v>
      </c>
    </row>
    <row r="711" spans="1:5" ht="19.5" customHeight="1">
      <c r="A711" s="8">
        <v>709</v>
      </c>
      <c r="B711" s="8" t="str">
        <f>"21902020071421161227460"</f>
        <v>21902020071421161227460</v>
      </c>
      <c r="C711" s="8" t="s">
        <v>12</v>
      </c>
      <c r="D711" s="8" t="str">
        <f>"羊唐均"</f>
        <v>羊唐均</v>
      </c>
      <c r="E711" s="8" t="str">
        <f t="shared" si="115"/>
        <v>男</v>
      </c>
    </row>
    <row r="712" spans="1:5" ht="19.5" customHeight="1">
      <c r="A712" s="8">
        <v>710</v>
      </c>
      <c r="B712" s="8" t="str">
        <f>"21902020071422075027505"</f>
        <v>21902020071422075027505</v>
      </c>
      <c r="C712" s="8" t="s">
        <v>12</v>
      </c>
      <c r="D712" s="8" t="str">
        <f>"薛以浩"</f>
        <v>薛以浩</v>
      </c>
      <c r="E712" s="8" t="str">
        <f t="shared" si="115"/>
        <v>男</v>
      </c>
    </row>
    <row r="713" spans="1:5" ht="19.5" customHeight="1">
      <c r="A713" s="8">
        <v>711</v>
      </c>
      <c r="B713" s="8" t="str">
        <f>"21902020071422330827551"</f>
        <v>21902020071422330827551</v>
      </c>
      <c r="C713" s="8" t="s">
        <v>12</v>
      </c>
      <c r="D713" s="8" t="str">
        <f>"谢龙"</f>
        <v>谢龙</v>
      </c>
      <c r="E713" s="8" t="str">
        <f t="shared" si="115"/>
        <v>男</v>
      </c>
    </row>
    <row r="714" spans="1:5" ht="19.5" customHeight="1">
      <c r="A714" s="8">
        <v>712</v>
      </c>
      <c r="B714" s="8" t="str">
        <f>"21902020071509093027752"</f>
        <v>21902020071509093027752</v>
      </c>
      <c r="C714" s="8" t="s">
        <v>12</v>
      </c>
      <c r="D714" s="8" t="str">
        <f>"文良江"</f>
        <v>文良江</v>
      </c>
      <c r="E714" s="8" t="str">
        <f t="shared" si="115"/>
        <v>男</v>
      </c>
    </row>
    <row r="715" spans="1:5" ht="19.5" customHeight="1">
      <c r="A715" s="8">
        <v>713</v>
      </c>
      <c r="B715" s="8" t="str">
        <f>"21902020071509481027810"</f>
        <v>21902020071509481027810</v>
      </c>
      <c r="C715" s="8" t="s">
        <v>12</v>
      </c>
      <c r="D715" s="8" t="str">
        <f>"陈才南"</f>
        <v>陈才南</v>
      </c>
      <c r="E715" s="8" t="str">
        <f t="shared" si="115"/>
        <v>男</v>
      </c>
    </row>
    <row r="716" spans="1:5" ht="19.5" customHeight="1">
      <c r="A716" s="8">
        <v>714</v>
      </c>
      <c r="B716" s="8" t="str">
        <f>"21902020071510322827875"</f>
        <v>21902020071510322827875</v>
      </c>
      <c r="C716" s="8" t="s">
        <v>12</v>
      </c>
      <c r="D716" s="8" t="str">
        <f>"汤锡波"</f>
        <v>汤锡波</v>
      </c>
      <c r="E716" s="8" t="str">
        <f t="shared" si="115"/>
        <v>男</v>
      </c>
    </row>
    <row r="717" spans="1:5" ht="19.5" customHeight="1">
      <c r="A717" s="8">
        <v>715</v>
      </c>
      <c r="B717" s="8" t="str">
        <f>"21902020071510353627881"</f>
        <v>21902020071510353627881</v>
      </c>
      <c r="C717" s="8" t="s">
        <v>12</v>
      </c>
      <c r="D717" s="8" t="str">
        <f>"黄恺迪"</f>
        <v>黄恺迪</v>
      </c>
      <c r="E717" s="8" t="str">
        <f t="shared" si="115"/>
        <v>男</v>
      </c>
    </row>
    <row r="718" spans="1:5" ht="19.5" customHeight="1">
      <c r="A718" s="8">
        <v>716</v>
      </c>
      <c r="B718" s="8" t="str">
        <f>"21902020071510382927885"</f>
        <v>21902020071510382927885</v>
      </c>
      <c r="C718" s="8" t="s">
        <v>12</v>
      </c>
      <c r="D718" s="8" t="str">
        <f>"吴乾耀"</f>
        <v>吴乾耀</v>
      </c>
      <c r="E718" s="8" t="str">
        <f t="shared" si="115"/>
        <v>男</v>
      </c>
    </row>
    <row r="719" spans="1:5" ht="19.5" customHeight="1">
      <c r="A719" s="8">
        <v>717</v>
      </c>
      <c r="B719" s="8" t="str">
        <f>"21902020071510473727902"</f>
        <v>21902020071510473727902</v>
      </c>
      <c r="C719" s="8" t="s">
        <v>12</v>
      </c>
      <c r="D719" s="8" t="str">
        <f>"廖厚庄"</f>
        <v>廖厚庄</v>
      </c>
      <c r="E719" s="8" t="str">
        <f t="shared" si="115"/>
        <v>男</v>
      </c>
    </row>
    <row r="720" spans="1:5" ht="19.5" customHeight="1">
      <c r="A720" s="8">
        <v>718</v>
      </c>
      <c r="B720" s="8" t="str">
        <f>"21902020071512362528037"</f>
        <v>21902020071512362528037</v>
      </c>
      <c r="C720" s="8" t="s">
        <v>12</v>
      </c>
      <c r="D720" s="8" t="str">
        <f>"梁振南"</f>
        <v>梁振南</v>
      </c>
      <c r="E720" s="8" t="str">
        <f t="shared" si="115"/>
        <v>男</v>
      </c>
    </row>
    <row r="721" spans="1:5" ht="19.5" customHeight="1">
      <c r="A721" s="8">
        <v>719</v>
      </c>
      <c r="B721" s="8" t="str">
        <f>"21902020071513052428063"</f>
        <v>21902020071513052428063</v>
      </c>
      <c r="C721" s="8" t="s">
        <v>12</v>
      </c>
      <c r="D721" s="8" t="str">
        <f>"卢发恒"</f>
        <v>卢发恒</v>
      </c>
      <c r="E721" s="8" t="str">
        <f t="shared" si="115"/>
        <v>男</v>
      </c>
    </row>
    <row r="722" spans="1:5" ht="19.5" customHeight="1">
      <c r="A722" s="8">
        <v>720</v>
      </c>
      <c r="B722" s="8" t="str">
        <f>"21902020071513294328077"</f>
        <v>21902020071513294328077</v>
      </c>
      <c r="C722" s="8" t="s">
        <v>12</v>
      </c>
      <c r="D722" s="8" t="str">
        <f>"李林飞"</f>
        <v>李林飞</v>
      </c>
      <c r="E722" s="8" t="str">
        <f t="shared" si="115"/>
        <v>男</v>
      </c>
    </row>
    <row r="723" spans="1:5" ht="19.5" customHeight="1">
      <c r="A723" s="8">
        <v>721</v>
      </c>
      <c r="B723" s="8" t="str">
        <f>"21902020071517484628346"</f>
        <v>21902020071517484628346</v>
      </c>
      <c r="C723" s="8" t="s">
        <v>12</v>
      </c>
      <c r="D723" s="8" t="str">
        <f>"羊发刚"</f>
        <v>羊发刚</v>
      </c>
      <c r="E723" s="8" t="str">
        <f t="shared" si="115"/>
        <v>男</v>
      </c>
    </row>
    <row r="724" spans="1:5" ht="19.5" customHeight="1">
      <c r="A724" s="8">
        <v>722</v>
      </c>
      <c r="B724" s="8" t="str">
        <f>"21902020071522311628580"</f>
        <v>21902020071522311628580</v>
      </c>
      <c r="C724" s="8" t="s">
        <v>12</v>
      </c>
      <c r="D724" s="8" t="str">
        <f>"王献珠"</f>
        <v>王献珠</v>
      </c>
      <c r="E724" s="8" t="str">
        <f t="shared" si="115"/>
        <v>男</v>
      </c>
    </row>
    <row r="725" spans="1:5" ht="19.5" customHeight="1">
      <c r="A725" s="8">
        <v>723</v>
      </c>
      <c r="B725" s="8" t="str">
        <f>"21902020071601001728657"</f>
        <v>21902020071601001728657</v>
      </c>
      <c r="C725" s="8" t="s">
        <v>12</v>
      </c>
      <c r="D725" s="8" t="str">
        <f>"周小惠"</f>
        <v>周小惠</v>
      </c>
      <c r="E725" s="8" t="str">
        <f>"女"</f>
        <v>女</v>
      </c>
    </row>
    <row r="726" spans="1:5" ht="19.5" customHeight="1">
      <c r="A726" s="8">
        <v>724</v>
      </c>
      <c r="B726" s="8" t="str">
        <f>"21902020071619475229176"</f>
        <v>21902020071619475229176</v>
      </c>
      <c r="C726" s="8" t="s">
        <v>12</v>
      </c>
      <c r="D726" s="8" t="str">
        <f>"薛本敏"</f>
        <v>薛本敏</v>
      </c>
      <c r="E726" s="8" t="str">
        <f>"男"</f>
        <v>男</v>
      </c>
    </row>
    <row r="727" spans="1:5" ht="19.5" customHeight="1">
      <c r="A727" s="8">
        <v>725</v>
      </c>
      <c r="B727" s="8" t="str">
        <f>"21902020071621164729228"</f>
        <v>21902020071621164729228</v>
      </c>
      <c r="C727" s="8" t="s">
        <v>12</v>
      </c>
      <c r="D727" s="8" t="str">
        <f>"陈美红"</f>
        <v>陈美红</v>
      </c>
      <c r="E727" s="8" t="str">
        <f>"女"</f>
        <v>女</v>
      </c>
    </row>
    <row r="728" spans="1:5" ht="19.5" customHeight="1">
      <c r="A728" s="8">
        <v>726</v>
      </c>
      <c r="B728" s="8" t="str">
        <f>"21902020071721441029759"</f>
        <v>21902020071721441029759</v>
      </c>
      <c r="C728" s="8" t="s">
        <v>12</v>
      </c>
      <c r="D728" s="8" t="str">
        <f>"温冬雁"</f>
        <v>温冬雁</v>
      </c>
      <c r="E728" s="8" t="str">
        <f>"女"</f>
        <v>女</v>
      </c>
    </row>
    <row r="729" spans="1:5" ht="19.5" customHeight="1">
      <c r="A729" s="8">
        <v>727</v>
      </c>
      <c r="B729" s="8" t="str">
        <f>"21902020071409021325942"</f>
        <v>21902020071409021325942</v>
      </c>
      <c r="C729" s="8" t="s">
        <v>13</v>
      </c>
      <c r="D729" s="8" t="str">
        <f>"谭孟瑞"</f>
        <v>谭孟瑞</v>
      </c>
      <c r="E729" s="8" t="str">
        <f>"男"</f>
        <v>男</v>
      </c>
    </row>
    <row r="730" spans="1:5" ht="19.5" customHeight="1">
      <c r="A730" s="8">
        <v>728</v>
      </c>
      <c r="B730" s="8" t="str">
        <f>"21902020071409052625966"</f>
        <v>21902020071409052625966</v>
      </c>
      <c r="C730" s="8" t="s">
        <v>13</v>
      </c>
      <c r="D730" s="8" t="str">
        <f>"王可蚌"</f>
        <v>王可蚌</v>
      </c>
      <c r="E730" s="8" t="str">
        <f>"女"</f>
        <v>女</v>
      </c>
    </row>
    <row r="731" spans="1:5" ht="19.5" customHeight="1">
      <c r="A731" s="8">
        <v>729</v>
      </c>
      <c r="B731" s="8" t="str">
        <f>"21902020071409165026046"</f>
        <v>21902020071409165026046</v>
      </c>
      <c r="C731" s="8" t="s">
        <v>13</v>
      </c>
      <c r="D731" s="8" t="str">
        <f>"李才华"</f>
        <v>李才华</v>
      </c>
      <c r="E731" s="8" t="str">
        <f>"男"</f>
        <v>男</v>
      </c>
    </row>
    <row r="732" spans="1:5" ht="19.5" customHeight="1">
      <c r="A732" s="8">
        <v>730</v>
      </c>
      <c r="B732" s="8" t="str">
        <f>"21902020071409165026047"</f>
        <v>21902020071409165026047</v>
      </c>
      <c r="C732" s="8" t="s">
        <v>13</v>
      </c>
      <c r="D732" s="8" t="str">
        <f>"黎明川"</f>
        <v>黎明川</v>
      </c>
      <c r="E732" s="8" t="str">
        <f>"男"</f>
        <v>男</v>
      </c>
    </row>
    <row r="733" spans="1:5" ht="19.5" customHeight="1">
      <c r="A733" s="8">
        <v>731</v>
      </c>
      <c r="B733" s="8" t="str">
        <f>"21902020071409173826051"</f>
        <v>21902020071409173826051</v>
      </c>
      <c r="C733" s="8" t="s">
        <v>13</v>
      </c>
      <c r="D733" s="8" t="str">
        <f>"陈小宝"</f>
        <v>陈小宝</v>
      </c>
      <c r="E733" s="8" t="str">
        <f>"男"</f>
        <v>男</v>
      </c>
    </row>
    <row r="734" spans="1:5" ht="19.5" customHeight="1">
      <c r="A734" s="8">
        <v>732</v>
      </c>
      <c r="B734" s="8" t="str">
        <f>"21902020071409224226083"</f>
        <v>21902020071409224226083</v>
      </c>
      <c r="C734" s="8" t="s">
        <v>13</v>
      </c>
      <c r="D734" s="8" t="str">
        <f>"宣程钟"</f>
        <v>宣程钟</v>
      </c>
      <c r="E734" s="8" t="str">
        <f>"男"</f>
        <v>男</v>
      </c>
    </row>
    <row r="735" spans="1:5" ht="19.5" customHeight="1">
      <c r="A735" s="8">
        <v>733</v>
      </c>
      <c r="B735" s="8" t="str">
        <f>"21902020071409314126119"</f>
        <v>21902020071409314126119</v>
      </c>
      <c r="C735" s="8" t="s">
        <v>13</v>
      </c>
      <c r="D735" s="8" t="str">
        <f>"柯令朝"</f>
        <v>柯令朝</v>
      </c>
      <c r="E735" s="8" t="str">
        <f>"男"</f>
        <v>男</v>
      </c>
    </row>
    <row r="736" spans="1:5" ht="19.5" customHeight="1">
      <c r="A736" s="8">
        <v>734</v>
      </c>
      <c r="B736" s="8" t="str">
        <f>"21902020071409320226121"</f>
        <v>21902020071409320226121</v>
      </c>
      <c r="C736" s="8" t="s">
        <v>13</v>
      </c>
      <c r="D736" s="8" t="str">
        <f>"王观平"</f>
        <v>王观平</v>
      </c>
      <c r="E736" s="8" t="str">
        <f>"女"</f>
        <v>女</v>
      </c>
    </row>
    <row r="737" spans="1:5" ht="19.5" customHeight="1">
      <c r="A737" s="8">
        <v>735</v>
      </c>
      <c r="B737" s="8" t="str">
        <f>"21902020071409333526125"</f>
        <v>21902020071409333526125</v>
      </c>
      <c r="C737" s="8" t="s">
        <v>13</v>
      </c>
      <c r="D737" s="8" t="str">
        <f>"陈达魁"</f>
        <v>陈达魁</v>
      </c>
      <c r="E737" s="8" t="str">
        <f>"男"</f>
        <v>男</v>
      </c>
    </row>
    <row r="738" spans="1:5" ht="19.5" customHeight="1">
      <c r="A738" s="8">
        <v>736</v>
      </c>
      <c r="B738" s="8" t="str">
        <f>"21902020071409365626147"</f>
        <v>21902020071409365626147</v>
      </c>
      <c r="C738" s="8" t="s">
        <v>13</v>
      </c>
      <c r="D738" s="8" t="str">
        <f>"王伟旭"</f>
        <v>王伟旭</v>
      </c>
      <c r="E738" s="8" t="str">
        <f>"男"</f>
        <v>男</v>
      </c>
    </row>
    <row r="739" spans="1:5" ht="19.5" customHeight="1">
      <c r="A739" s="8">
        <v>737</v>
      </c>
      <c r="B739" s="8" t="str">
        <f>"21902020071409395926161"</f>
        <v>21902020071409395926161</v>
      </c>
      <c r="C739" s="8" t="s">
        <v>13</v>
      </c>
      <c r="D739" s="8" t="str">
        <f>"薛海波"</f>
        <v>薛海波</v>
      </c>
      <c r="E739" s="8" t="str">
        <f>"男"</f>
        <v>男</v>
      </c>
    </row>
    <row r="740" spans="1:5" ht="19.5" customHeight="1">
      <c r="A740" s="8">
        <v>738</v>
      </c>
      <c r="B740" s="8" t="str">
        <f>"21902020071409401726162"</f>
        <v>21902020071409401726162</v>
      </c>
      <c r="C740" s="8" t="s">
        <v>13</v>
      </c>
      <c r="D740" s="8" t="str">
        <f>"林日桃"</f>
        <v>林日桃</v>
      </c>
      <c r="E740" s="8" t="str">
        <f>"女"</f>
        <v>女</v>
      </c>
    </row>
    <row r="741" spans="1:5" ht="19.5" customHeight="1">
      <c r="A741" s="8">
        <v>739</v>
      </c>
      <c r="B741" s="8" t="str">
        <f>"21902020071409430926170"</f>
        <v>21902020071409430926170</v>
      </c>
      <c r="C741" s="8" t="s">
        <v>13</v>
      </c>
      <c r="D741" s="8" t="str">
        <f>"谢创高"</f>
        <v>谢创高</v>
      </c>
      <c r="E741" s="8" t="str">
        <f>"男"</f>
        <v>男</v>
      </c>
    </row>
    <row r="742" spans="1:5" ht="19.5" customHeight="1">
      <c r="A742" s="8">
        <v>740</v>
      </c>
      <c r="B742" s="8" t="str">
        <f>"21902020071409483926190"</f>
        <v>21902020071409483926190</v>
      </c>
      <c r="C742" s="8" t="s">
        <v>13</v>
      </c>
      <c r="D742" s="8" t="str">
        <f>"梁琴"</f>
        <v>梁琴</v>
      </c>
      <c r="E742" s="8" t="str">
        <f>"女"</f>
        <v>女</v>
      </c>
    </row>
    <row r="743" spans="1:5" ht="19.5" customHeight="1">
      <c r="A743" s="8">
        <v>741</v>
      </c>
      <c r="B743" s="8" t="str">
        <f>"21902020071409502526199"</f>
        <v>21902020071409502526199</v>
      </c>
      <c r="C743" s="8" t="s">
        <v>13</v>
      </c>
      <c r="D743" s="8" t="str">
        <f>"赵金香"</f>
        <v>赵金香</v>
      </c>
      <c r="E743" s="8" t="str">
        <f>"女"</f>
        <v>女</v>
      </c>
    </row>
    <row r="744" spans="1:5" ht="19.5" customHeight="1">
      <c r="A744" s="8">
        <v>742</v>
      </c>
      <c r="B744" s="8" t="str">
        <f>"21902020071409521026206"</f>
        <v>21902020071409521026206</v>
      </c>
      <c r="C744" s="8" t="s">
        <v>13</v>
      </c>
      <c r="D744" s="8" t="str">
        <f>"孙才多"</f>
        <v>孙才多</v>
      </c>
      <c r="E744" s="8" t="str">
        <f>"男"</f>
        <v>男</v>
      </c>
    </row>
    <row r="745" spans="1:5" ht="19.5" customHeight="1">
      <c r="A745" s="8">
        <v>743</v>
      </c>
      <c r="B745" s="8" t="str">
        <f>"21902020071409531426213"</f>
        <v>21902020071409531426213</v>
      </c>
      <c r="C745" s="8" t="s">
        <v>13</v>
      </c>
      <c r="D745" s="8" t="str">
        <f>"唐丽妃"</f>
        <v>唐丽妃</v>
      </c>
      <c r="E745" s="8" t="str">
        <f>"女"</f>
        <v>女</v>
      </c>
    </row>
    <row r="746" spans="1:5" ht="19.5" customHeight="1">
      <c r="A746" s="8">
        <v>744</v>
      </c>
      <c r="B746" s="8" t="str">
        <f>"21902020071409534626216"</f>
        <v>21902020071409534626216</v>
      </c>
      <c r="C746" s="8" t="s">
        <v>13</v>
      </c>
      <c r="D746" s="8" t="str">
        <f>"黎加爱"</f>
        <v>黎加爱</v>
      </c>
      <c r="E746" s="8" t="str">
        <f>"男"</f>
        <v>男</v>
      </c>
    </row>
    <row r="747" spans="1:5" ht="19.5" customHeight="1">
      <c r="A747" s="8">
        <v>745</v>
      </c>
      <c r="B747" s="8" t="str">
        <f>"21902020071409543626221"</f>
        <v>21902020071409543626221</v>
      </c>
      <c r="C747" s="8" t="s">
        <v>13</v>
      </c>
      <c r="D747" s="8" t="str">
        <f>"杨大光"</f>
        <v>杨大光</v>
      </c>
      <c r="E747" s="8" t="str">
        <f>"男"</f>
        <v>男</v>
      </c>
    </row>
    <row r="748" spans="1:5" ht="19.5" customHeight="1">
      <c r="A748" s="8">
        <v>746</v>
      </c>
      <c r="B748" s="8" t="str">
        <f>"21902020071409554726225"</f>
        <v>21902020071409554726225</v>
      </c>
      <c r="C748" s="8" t="s">
        <v>13</v>
      </c>
      <c r="D748" s="8" t="str">
        <f>"谢雯琪"</f>
        <v>谢雯琪</v>
      </c>
      <c r="E748" s="8" t="str">
        <f>"女"</f>
        <v>女</v>
      </c>
    </row>
    <row r="749" spans="1:5" ht="19.5" customHeight="1">
      <c r="A749" s="8">
        <v>747</v>
      </c>
      <c r="B749" s="8" t="str">
        <f>"21902020071409570826230"</f>
        <v>21902020071409570826230</v>
      </c>
      <c r="C749" s="8" t="s">
        <v>13</v>
      </c>
      <c r="D749" s="8" t="str">
        <f>"陈垂宽"</f>
        <v>陈垂宽</v>
      </c>
      <c r="E749" s="8" t="str">
        <f>"女"</f>
        <v>女</v>
      </c>
    </row>
    <row r="750" spans="1:5" ht="19.5" customHeight="1">
      <c r="A750" s="8">
        <v>748</v>
      </c>
      <c r="B750" s="8" t="str">
        <f>"21902020071410035626255"</f>
        <v>21902020071410035626255</v>
      </c>
      <c r="C750" s="8" t="s">
        <v>13</v>
      </c>
      <c r="D750" s="8" t="str">
        <f>"李永发"</f>
        <v>李永发</v>
      </c>
      <c r="E750" s="8" t="str">
        <f>"男"</f>
        <v>男</v>
      </c>
    </row>
    <row r="751" spans="1:5" ht="19.5" customHeight="1">
      <c r="A751" s="8">
        <v>749</v>
      </c>
      <c r="B751" s="8" t="str">
        <f>"21902020071410071826278"</f>
        <v>21902020071410071826278</v>
      </c>
      <c r="C751" s="8" t="s">
        <v>13</v>
      </c>
      <c r="D751" s="8" t="str">
        <f>"郑惠文"</f>
        <v>郑惠文</v>
      </c>
      <c r="E751" s="8" t="str">
        <f>"男"</f>
        <v>男</v>
      </c>
    </row>
    <row r="752" spans="1:5" ht="19.5" customHeight="1">
      <c r="A752" s="8">
        <v>750</v>
      </c>
      <c r="B752" s="8" t="str">
        <f>"21902020071410100926290"</f>
        <v>21902020071410100926290</v>
      </c>
      <c r="C752" s="8" t="s">
        <v>13</v>
      </c>
      <c r="D752" s="8" t="str">
        <f>"何桂珍"</f>
        <v>何桂珍</v>
      </c>
      <c r="E752" s="8" t="str">
        <f>"女"</f>
        <v>女</v>
      </c>
    </row>
    <row r="753" spans="1:5" ht="19.5" customHeight="1">
      <c r="A753" s="8">
        <v>751</v>
      </c>
      <c r="B753" s="8" t="str">
        <f>"21902020071410104326295"</f>
        <v>21902020071410104326295</v>
      </c>
      <c r="C753" s="8" t="s">
        <v>13</v>
      </c>
      <c r="D753" s="8" t="str">
        <f>"陈博堂"</f>
        <v>陈博堂</v>
      </c>
      <c r="E753" s="8" t="str">
        <f>"男"</f>
        <v>男</v>
      </c>
    </row>
    <row r="754" spans="1:5" ht="19.5" customHeight="1">
      <c r="A754" s="8">
        <v>752</v>
      </c>
      <c r="B754" s="8" t="str">
        <f>"21902020071410123426306"</f>
        <v>21902020071410123426306</v>
      </c>
      <c r="C754" s="8" t="s">
        <v>13</v>
      </c>
      <c r="D754" s="8" t="str">
        <f>"王美玲"</f>
        <v>王美玲</v>
      </c>
      <c r="E754" s="8" t="str">
        <f>"女"</f>
        <v>女</v>
      </c>
    </row>
    <row r="755" spans="1:5" ht="19.5" customHeight="1">
      <c r="A755" s="8">
        <v>753</v>
      </c>
      <c r="B755" s="8" t="str">
        <f>"21902020071410134526312"</f>
        <v>21902020071410134526312</v>
      </c>
      <c r="C755" s="8" t="s">
        <v>13</v>
      </c>
      <c r="D755" s="8" t="str">
        <f>"张浩然"</f>
        <v>张浩然</v>
      </c>
      <c r="E755" s="8" t="str">
        <f>"男"</f>
        <v>男</v>
      </c>
    </row>
    <row r="756" spans="1:5" ht="19.5" customHeight="1">
      <c r="A756" s="8">
        <v>754</v>
      </c>
      <c r="B756" s="8" t="str">
        <f>"21902020071410180226327"</f>
        <v>21902020071410180226327</v>
      </c>
      <c r="C756" s="8" t="s">
        <v>13</v>
      </c>
      <c r="D756" s="8" t="str">
        <f>"谢光梅"</f>
        <v>谢光梅</v>
      </c>
      <c r="E756" s="8" t="str">
        <f>"女"</f>
        <v>女</v>
      </c>
    </row>
    <row r="757" spans="1:5" ht="19.5" customHeight="1">
      <c r="A757" s="8">
        <v>755</v>
      </c>
      <c r="B757" s="8" t="str">
        <f>"21902020071410184126329"</f>
        <v>21902020071410184126329</v>
      </c>
      <c r="C757" s="8" t="s">
        <v>13</v>
      </c>
      <c r="D757" s="8" t="str">
        <f>"王林彩"</f>
        <v>王林彩</v>
      </c>
      <c r="E757" s="8" t="str">
        <f>"女"</f>
        <v>女</v>
      </c>
    </row>
    <row r="758" spans="1:5" ht="19.5" customHeight="1">
      <c r="A758" s="8">
        <v>756</v>
      </c>
      <c r="B758" s="8" t="str">
        <f>"21902020071410195326333"</f>
        <v>21902020071410195326333</v>
      </c>
      <c r="C758" s="8" t="s">
        <v>13</v>
      </c>
      <c r="D758" s="8" t="str">
        <f>"罗初洪"</f>
        <v>罗初洪</v>
      </c>
      <c r="E758" s="8" t="str">
        <f>"男"</f>
        <v>男</v>
      </c>
    </row>
    <row r="759" spans="1:5" ht="19.5" customHeight="1">
      <c r="A759" s="8">
        <v>757</v>
      </c>
      <c r="B759" s="8" t="str">
        <f>"21902020071410212226340"</f>
        <v>21902020071410212226340</v>
      </c>
      <c r="C759" s="8" t="s">
        <v>13</v>
      </c>
      <c r="D759" s="8" t="str">
        <f>"吴正月"</f>
        <v>吴正月</v>
      </c>
      <c r="E759" s="8" t="str">
        <f>"女"</f>
        <v>女</v>
      </c>
    </row>
    <row r="760" spans="1:5" ht="19.5" customHeight="1">
      <c r="A760" s="8">
        <v>758</v>
      </c>
      <c r="B760" s="8" t="str">
        <f>"21902020071410314726377"</f>
        <v>21902020071410314726377</v>
      </c>
      <c r="C760" s="8" t="s">
        <v>13</v>
      </c>
      <c r="D760" s="8" t="str">
        <f>"林发蒙"</f>
        <v>林发蒙</v>
      </c>
      <c r="E760" s="8" t="str">
        <f>"男"</f>
        <v>男</v>
      </c>
    </row>
    <row r="761" spans="1:5" ht="19.5" customHeight="1">
      <c r="A761" s="8">
        <v>759</v>
      </c>
      <c r="B761" s="8" t="str">
        <f>"21902020071410323226380"</f>
        <v>21902020071410323226380</v>
      </c>
      <c r="C761" s="8" t="s">
        <v>13</v>
      </c>
      <c r="D761" s="8" t="str">
        <f>"马丽泉"</f>
        <v>马丽泉</v>
      </c>
      <c r="E761" s="8" t="str">
        <f>"女"</f>
        <v>女</v>
      </c>
    </row>
    <row r="762" spans="1:5" ht="19.5" customHeight="1">
      <c r="A762" s="8">
        <v>760</v>
      </c>
      <c r="B762" s="8" t="str">
        <f>"21902020071410355026392"</f>
        <v>21902020071410355026392</v>
      </c>
      <c r="C762" s="8" t="s">
        <v>13</v>
      </c>
      <c r="D762" s="8" t="str">
        <f>"林迎英"</f>
        <v>林迎英</v>
      </c>
      <c r="E762" s="8" t="str">
        <f>"女"</f>
        <v>女</v>
      </c>
    </row>
    <row r="763" spans="1:5" ht="19.5" customHeight="1">
      <c r="A763" s="8">
        <v>761</v>
      </c>
      <c r="B763" s="8" t="str">
        <f>"21902020071410372526397"</f>
        <v>21902020071410372526397</v>
      </c>
      <c r="C763" s="8" t="s">
        <v>13</v>
      </c>
      <c r="D763" s="8" t="str">
        <f>"钟英干"</f>
        <v>钟英干</v>
      </c>
      <c r="E763" s="8" t="str">
        <f>"男"</f>
        <v>男</v>
      </c>
    </row>
    <row r="764" spans="1:5" ht="19.5" customHeight="1">
      <c r="A764" s="8">
        <v>762</v>
      </c>
      <c r="B764" s="8" t="str">
        <f>"21902020071410415826414"</f>
        <v>21902020071410415826414</v>
      </c>
      <c r="C764" s="8" t="s">
        <v>13</v>
      </c>
      <c r="D764" s="8" t="str">
        <f>"吴美花"</f>
        <v>吴美花</v>
      </c>
      <c r="E764" s="8" t="str">
        <f>"女"</f>
        <v>女</v>
      </c>
    </row>
    <row r="765" spans="1:5" ht="19.5" customHeight="1">
      <c r="A765" s="8">
        <v>763</v>
      </c>
      <c r="B765" s="8" t="str">
        <f>"21902020071410460026428"</f>
        <v>21902020071410460026428</v>
      </c>
      <c r="C765" s="8" t="s">
        <v>13</v>
      </c>
      <c r="D765" s="8" t="str">
        <f>"麦淑庆"</f>
        <v>麦淑庆</v>
      </c>
      <c r="E765" s="8" t="str">
        <f>"女"</f>
        <v>女</v>
      </c>
    </row>
    <row r="766" spans="1:5" ht="19.5" customHeight="1">
      <c r="A766" s="8">
        <v>764</v>
      </c>
      <c r="B766" s="8" t="str">
        <f>"21902020071410461126430"</f>
        <v>21902020071410461126430</v>
      </c>
      <c r="C766" s="8" t="s">
        <v>13</v>
      </c>
      <c r="D766" s="8" t="str">
        <f>"张桂梅"</f>
        <v>张桂梅</v>
      </c>
      <c r="E766" s="8" t="str">
        <f>"女"</f>
        <v>女</v>
      </c>
    </row>
    <row r="767" spans="1:5" ht="19.5" customHeight="1">
      <c r="A767" s="8">
        <v>765</v>
      </c>
      <c r="B767" s="8" t="str">
        <f>"21902020071410473026435"</f>
        <v>21902020071410473026435</v>
      </c>
      <c r="C767" s="8" t="s">
        <v>13</v>
      </c>
      <c r="D767" s="8" t="str">
        <f>"黎秀兵"</f>
        <v>黎秀兵</v>
      </c>
      <c r="E767" s="8" t="str">
        <f>"男"</f>
        <v>男</v>
      </c>
    </row>
    <row r="768" spans="1:5" ht="19.5" customHeight="1">
      <c r="A768" s="8">
        <v>766</v>
      </c>
      <c r="B768" s="8" t="str">
        <f>"21902020071410485326442"</f>
        <v>21902020071410485326442</v>
      </c>
      <c r="C768" s="8" t="s">
        <v>13</v>
      </c>
      <c r="D768" s="8" t="str">
        <f>"李秉发"</f>
        <v>李秉发</v>
      </c>
      <c r="E768" s="8" t="str">
        <f>"男"</f>
        <v>男</v>
      </c>
    </row>
    <row r="769" spans="1:5" ht="19.5" customHeight="1">
      <c r="A769" s="8">
        <v>767</v>
      </c>
      <c r="B769" s="8" t="str">
        <f>"21902020071410582726470"</f>
        <v>21902020071410582726470</v>
      </c>
      <c r="C769" s="8" t="s">
        <v>13</v>
      </c>
      <c r="D769" s="8" t="str">
        <f>"周头女"</f>
        <v>周头女</v>
      </c>
      <c r="E769" s="8" t="str">
        <f>"女"</f>
        <v>女</v>
      </c>
    </row>
    <row r="770" spans="1:5" ht="19.5" customHeight="1">
      <c r="A770" s="8">
        <v>768</v>
      </c>
      <c r="B770" s="8" t="str">
        <f>"21902020071411031426480"</f>
        <v>21902020071411031426480</v>
      </c>
      <c r="C770" s="8" t="s">
        <v>13</v>
      </c>
      <c r="D770" s="8" t="str">
        <f>"王达"</f>
        <v>王达</v>
      </c>
      <c r="E770" s="8" t="str">
        <f>"男"</f>
        <v>男</v>
      </c>
    </row>
    <row r="771" spans="1:5" ht="19.5" customHeight="1">
      <c r="A771" s="8">
        <v>769</v>
      </c>
      <c r="B771" s="8" t="str">
        <f>"21902020071411312626563"</f>
        <v>21902020071411312626563</v>
      </c>
      <c r="C771" s="8" t="s">
        <v>13</v>
      </c>
      <c r="D771" s="8" t="str">
        <f>"陈月花"</f>
        <v>陈月花</v>
      </c>
      <c r="E771" s="8" t="str">
        <f>"女"</f>
        <v>女</v>
      </c>
    </row>
    <row r="772" spans="1:5" ht="19.5" customHeight="1">
      <c r="A772" s="8">
        <v>770</v>
      </c>
      <c r="B772" s="8" t="str">
        <f>"21902020071411323426565"</f>
        <v>21902020071411323426565</v>
      </c>
      <c r="C772" s="8" t="s">
        <v>13</v>
      </c>
      <c r="D772" s="8" t="str">
        <f>"羊中华"</f>
        <v>羊中华</v>
      </c>
      <c r="E772" s="8" t="str">
        <f>"男"</f>
        <v>男</v>
      </c>
    </row>
    <row r="773" spans="1:5" ht="19.5" customHeight="1">
      <c r="A773" s="8">
        <v>771</v>
      </c>
      <c r="B773" s="8" t="str">
        <f>"21902020071411435326593"</f>
        <v>21902020071411435326593</v>
      </c>
      <c r="C773" s="8" t="s">
        <v>13</v>
      </c>
      <c r="D773" s="8" t="str">
        <f>"陈耀林"</f>
        <v>陈耀林</v>
      </c>
      <c r="E773" s="8" t="str">
        <f>"男"</f>
        <v>男</v>
      </c>
    </row>
    <row r="774" spans="1:5" ht="19.5" customHeight="1">
      <c r="A774" s="8">
        <v>772</v>
      </c>
      <c r="B774" s="8" t="str">
        <f>"21902020071411563626630"</f>
        <v>21902020071411563626630</v>
      </c>
      <c r="C774" s="8" t="s">
        <v>13</v>
      </c>
      <c r="D774" s="8" t="str">
        <f>"王仁海"</f>
        <v>王仁海</v>
      </c>
      <c r="E774" s="8" t="str">
        <f>"男"</f>
        <v>男</v>
      </c>
    </row>
    <row r="775" spans="1:5" ht="19.5" customHeight="1">
      <c r="A775" s="8">
        <v>773</v>
      </c>
      <c r="B775" s="8" t="str">
        <f>"21902020071412010526637"</f>
        <v>21902020071412010526637</v>
      </c>
      <c r="C775" s="8" t="s">
        <v>13</v>
      </c>
      <c r="D775" s="8" t="str">
        <f>"吴美逢"</f>
        <v>吴美逢</v>
      </c>
      <c r="E775" s="8" t="str">
        <f>"女"</f>
        <v>女</v>
      </c>
    </row>
    <row r="776" spans="1:5" ht="19.5" customHeight="1">
      <c r="A776" s="8">
        <v>774</v>
      </c>
      <c r="B776" s="8" t="str">
        <f>"21902020071412040726640"</f>
        <v>21902020071412040726640</v>
      </c>
      <c r="C776" s="8" t="s">
        <v>13</v>
      </c>
      <c r="D776" s="8" t="str">
        <f>"王子梅"</f>
        <v>王子梅</v>
      </c>
      <c r="E776" s="8" t="str">
        <f>"女"</f>
        <v>女</v>
      </c>
    </row>
    <row r="777" spans="1:5" ht="19.5" customHeight="1">
      <c r="A777" s="8">
        <v>775</v>
      </c>
      <c r="B777" s="8" t="str">
        <f>"21902020071412091226651"</f>
        <v>21902020071412091226651</v>
      </c>
      <c r="C777" s="8" t="s">
        <v>13</v>
      </c>
      <c r="D777" s="8" t="str">
        <f>"吴琼燕"</f>
        <v>吴琼燕</v>
      </c>
      <c r="E777" s="8" t="str">
        <f>"女"</f>
        <v>女</v>
      </c>
    </row>
    <row r="778" spans="1:5" ht="19.5" customHeight="1">
      <c r="A778" s="8">
        <v>776</v>
      </c>
      <c r="B778" s="8" t="str">
        <f>"21902020071412210826665"</f>
        <v>21902020071412210826665</v>
      </c>
      <c r="C778" s="8" t="s">
        <v>13</v>
      </c>
      <c r="D778" s="8" t="str">
        <f>"王广飞"</f>
        <v>王广飞</v>
      </c>
      <c r="E778" s="8" t="str">
        <f>"男"</f>
        <v>男</v>
      </c>
    </row>
    <row r="779" spans="1:5" ht="19.5" customHeight="1">
      <c r="A779" s="8">
        <v>777</v>
      </c>
      <c r="B779" s="8" t="str">
        <f>"21902020071412292826679"</f>
        <v>21902020071412292826679</v>
      </c>
      <c r="C779" s="8" t="s">
        <v>13</v>
      </c>
      <c r="D779" s="8" t="str">
        <f>"赵学伟"</f>
        <v>赵学伟</v>
      </c>
      <c r="E779" s="8" t="str">
        <f>"男"</f>
        <v>男</v>
      </c>
    </row>
    <row r="780" spans="1:5" ht="19.5" customHeight="1">
      <c r="A780" s="8">
        <v>778</v>
      </c>
      <c r="B780" s="8" t="str">
        <f>"21902020071412312426683"</f>
        <v>21902020071412312426683</v>
      </c>
      <c r="C780" s="8" t="s">
        <v>13</v>
      </c>
      <c r="D780" s="8" t="str">
        <f>"羊琼妹"</f>
        <v>羊琼妹</v>
      </c>
      <c r="E780" s="8" t="str">
        <f>"女"</f>
        <v>女</v>
      </c>
    </row>
    <row r="781" spans="1:5" ht="19.5" customHeight="1">
      <c r="A781" s="8">
        <v>779</v>
      </c>
      <c r="B781" s="8" t="str">
        <f>"21902020071412324426686"</f>
        <v>21902020071412324426686</v>
      </c>
      <c r="C781" s="8" t="s">
        <v>13</v>
      </c>
      <c r="D781" s="8" t="str">
        <f>"梁家伟"</f>
        <v>梁家伟</v>
      </c>
      <c r="E781" s="8" t="str">
        <f>"男"</f>
        <v>男</v>
      </c>
    </row>
    <row r="782" spans="1:5" ht="19.5" customHeight="1">
      <c r="A782" s="8">
        <v>780</v>
      </c>
      <c r="B782" s="8" t="str">
        <f>"21902020071412374626694"</f>
        <v>21902020071412374626694</v>
      </c>
      <c r="C782" s="8" t="s">
        <v>13</v>
      </c>
      <c r="D782" s="8" t="str">
        <f>"关海强"</f>
        <v>关海强</v>
      </c>
      <c r="E782" s="8" t="str">
        <f>"男"</f>
        <v>男</v>
      </c>
    </row>
    <row r="783" spans="1:5" ht="19.5" customHeight="1">
      <c r="A783" s="8">
        <v>781</v>
      </c>
      <c r="B783" s="8" t="str">
        <f>"21902020071412412926702"</f>
        <v>21902020071412412926702</v>
      </c>
      <c r="C783" s="8" t="s">
        <v>13</v>
      </c>
      <c r="D783" s="8" t="str">
        <f>"石源丹"</f>
        <v>石源丹</v>
      </c>
      <c r="E783" s="8" t="str">
        <f>"女"</f>
        <v>女</v>
      </c>
    </row>
    <row r="784" spans="1:5" ht="19.5" customHeight="1">
      <c r="A784" s="8">
        <v>782</v>
      </c>
      <c r="B784" s="8" t="str">
        <f>"21902020071412421326704"</f>
        <v>21902020071412421326704</v>
      </c>
      <c r="C784" s="8" t="s">
        <v>13</v>
      </c>
      <c r="D784" s="8" t="str">
        <f>"羊玉明"</f>
        <v>羊玉明</v>
      </c>
      <c r="E784" s="8" t="str">
        <f>"男"</f>
        <v>男</v>
      </c>
    </row>
    <row r="785" spans="1:5" ht="19.5" customHeight="1">
      <c r="A785" s="8">
        <v>783</v>
      </c>
      <c r="B785" s="8" t="str">
        <f>"21902020071413003926734"</f>
        <v>21902020071413003926734</v>
      </c>
      <c r="C785" s="8" t="s">
        <v>13</v>
      </c>
      <c r="D785" s="8" t="str">
        <f>"谢美珍"</f>
        <v>谢美珍</v>
      </c>
      <c r="E785" s="8" t="str">
        <f>"女"</f>
        <v>女</v>
      </c>
    </row>
    <row r="786" spans="1:5" ht="19.5" customHeight="1">
      <c r="A786" s="8">
        <v>784</v>
      </c>
      <c r="B786" s="8" t="str">
        <f>"21902020071413011926735"</f>
        <v>21902020071413011926735</v>
      </c>
      <c r="C786" s="8" t="s">
        <v>13</v>
      </c>
      <c r="D786" s="8" t="str">
        <f>"傅卫忠"</f>
        <v>傅卫忠</v>
      </c>
      <c r="E786" s="8" t="str">
        <f>"男"</f>
        <v>男</v>
      </c>
    </row>
    <row r="787" spans="1:5" ht="19.5" customHeight="1">
      <c r="A787" s="8">
        <v>785</v>
      </c>
      <c r="B787" s="8" t="str">
        <f>"21902020071413062126740"</f>
        <v>21902020071413062126740</v>
      </c>
      <c r="C787" s="8" t="s">
        <v>13</v>
      </c>
      <c r="D787" s="8" t="str">
        <f>"黎金元"</f>
        <v>黎金元</v>
      </c>
      <c r="E787" s="8" t="str">
        <f>"男"</f>
        <v>男</v>
      </c>
    </row>
    <row r="788" spans="1:5" ht="19.5" customHeight="1">
      <c r="A788" s="8">
        <v>786</v>
      </c>
      <c r="B788" s="8" t="str">
        <f>"21902020071413081326743"</f>
        <v>21902020071413081326743</v>
      </c>
      <c r="C788" s="8" t="s">
        <v>13</v>
      </c>
      <c r="D788" s="8" t="str">
        <f>"邱凤和"</f>
        <v>邱凤和</v>
      </c>
      <c r="E788" s="8" t="str">
        <f>"男"</f>
        <v>男</v>
      </c>
    </row>
    <row r="789" spans="1:5" ht="19.5" customHeight="1">
      <c r="A789" s="8">
        <v>787</v>
      </c>
      <c r="B789" s="8" t="str">
        <f>"21902020071413135926757"</f>
        <v>21902020071413135926757</v>
      </c>
      <c r="C789" s="8" t="s">
        <v>13</v>
      </c>
      <c r="D789" s="8" t="str">
        <f>"陈家拨"</f>
        <v>陈家拨</v>
      </c>
      <c r="E789" s="8" t="str">
        <f>"男"</f>
        <v>男</v>
      </c>
    </row>
    <row r="790" spans="1:5" ht="19.5" customHeight="1">
      <c r="A790" s="8">
        <v>788</v>
      </c>
      <c r="B790" s="8" t="str">
        <f>"21902020071413253426778"</f>
        <v>21902020071413253426778</v>
      </c>
      <c r="C790" s="8" t="s">
        <v>13</v>
      </c>
      <c r="D790" s="8" t="str">
        <f>"吴方臣"</f>
        <v>吴方臣</v>
      </c>
      <c r="E790" s="8" t="str">
        <f>"男"</f>
        <v>男</v>
      </c>
    </row>
    <row r="791" spans="1:5" ht="19.5" customHeight="1">
      <c r="A791" s="8">
        <v>789</v>
      </c>
      <c r="B791" s="8" t="str">
        <f>"21902020071413365926791"</f>
        <v>21902020071413365926791</v>
      </c>
      <c r="C791" s="8" t="s">
        <v>13</v>
      </c>
      <c r="D791" s="8" t="str">
        <f>"张丽蓉"</f>
        <v>张丽蓉</v>
      </c>
      <c r="E791" s="8" t="str">
        <f>"女"</f>
        <v>女</v>
      </c>
    </row>
    <row r="792" spans="1:5" ht="19.5" customHeight="1">
      <c r="A792" s="8">
        <v>790</v>
      </c>
      <c r="B792" s="8" t="str">
        <f>"21902020071413482526804"</f>
        <v>21902020071413482526804</v>
      </c>
      <c r="C792" s="8" t="s">
        <v>13</v>
      </c>
      <c r="D792" s="8" t="str">
        <f>"王文月"</f>
        <v>王文月</v>
      </c>
      <c r="E792" s="8" t="str">
        <f>"女"</f>
        <v>女</v>
      </c>
    </row>
    <row r="793" spans="1:5" ht="19.5" customHeight="1">
      <c r="A793" s="8">
        <v>791</v>
      </c>
      <c r="B793" s="8" t="str">
        <f>"21902020071413585526813"</f>
        <v>21902020071413585526813</v>
      </c>
      <c r="C793" s="8" t="s">
        <v>13</v>
      </c>
      <c r="D793" s="8" t="str">
        <f>"吕桃"</f>
        <v>吕桃</v>
      </c>
      <c r="E793" s="8" t="str">
        <f>"女"</f>
        <v>女</v>
      </c>
    </row>
    <row r="794" spans="1:5" ht="19.5" customHeight="1">
      <c r="A794" s="8">
        <v>792</v>
      </c>
      <c r="B794" s="8" t="str">
        <f>"21902020071414141326831"</f>
        <v>21902020071414141326831</v>
      </c>
      <c r="C794" s="8" t="s">
        <v>13</v>
      </c>
      <c r="D794" s="8" t="str">
        <f>"文江泽"</f>
        <v>文江泽</v>
      </c>
      <c r="E794" s="8" t="str">
        <f>"男"</f>
        <v>男</v>
      </c>
    </row>
    <row r="795" spans="1:5" ht="19.5" customHeight="1">
      <c r="A795" s="8">
        <v>793</v>
      </c>
      <c r="B795" s="8" t="str">
        <f>"21902020071414183426838"</f>
        <v>21902020071414183426838</v>
      </c>
      <c r="C795" s="8" t="s">
        <v>13</v>
      </c>
      <c r="D795" s="8" t="str">
        <f>"谢壮豪"</f>
        <v>谢壮豪</v>
      </c>
      <c r="E795" s="8" t="str">
        <f>"男"</f>
        <v>男</v>
      </c>
    </row>
    <row r="796" spans="1:5" ht="19.5" customHeight="1">
      <c r="A796" s="8">
        <v>794</v>
      </c>
      <c r="B796" s="8" t="str">
        <f>"21902020071414354226864"</f>
        <v>21902020071414354226864</v>
      </c>
      <c r="C796" s="8" t="s">
        <v>13</v>
      </c>
      <c r="D796" s="8" t="str">
        <f>"王建辉"</f>
        <v>王建辉</v>
      </c>
      <c r="E796" s="8" t="str">
        <f>"男"</f>
        <v>男</v>
      </c>
    </row>
    <row r="797" spans="1:5" ht="19.5" customHeight="1">
      <c r="A797" s="8">
        <v>795</v>
      </c>
      <c r="B797" s="8" t="str">
        <f>"21902020071414411226876"</f>
        <v>21902020071414411226876</v>
      </c>
      <c r="C797" s="8" t="s">
        <v>13</v>
      </c>
      <c r="D797" s="8" t="str">
        <f>"陈丹"</f>
        <v>陈丹</v>
      </c>
      <c r="E797" s="8" t="str">
        <f>"女"</f>
        <v>女</v>
      </c>
    </row>
    <row r="798" spans="1:5" ht="19.5" customHeight="1">
      <c r="A798" s="8">
        <v>796</v>
      </c>
      <c r="B798" s="8" t="str">
        <f>"21902020071414452326883"</f>
        <v>21902020071414452326883</v>
      </c>
      <c r="C798" s="8" t="s">
        <v>13</v>
      </c>
      <c r="D798" s="8" t="str">
        <f>"段丽芳"</f>
        <v>段丽芳</v>
      </c>
      <c r="E798" s="8" t="str">
        <f>"女"</f>
        <v>女</v>
      </c>
    </row>
    <row r="799" spans="1:5" ht="19.5" customHeight="1">
      <c r="A799" s="8">
        <v>797</v>
      </c>
      <c r="B799" s="8" t="str">
        <f>"21902020071414474526888"</f>
        <v>21902020071414474526888</v>
      </c>
      <c r="C799" s="8" t="s">
        <v>13</v>
      </c>
      <c r="D799" s="8" t="str">
        <f>"何扶摇"</f>
        <v>何扶摇</v>
      </c>
      <c r="E799" s="8" t="str">
        <f>"女"</f>
        <v>女</v>
      </c>
    </row>
    <row r="800" spans="1:5" ht="19.5" customHeight="1">
      <c r="A800" s="8">
        <v>798</v>
      </c>
      <c r="B800" s="8" t="str">
        <f>"21902020071415002326912"</f>
        <v>21902020071415002326912</v>
      </c>
      <c r="C800" s="8" t="s">
        <v>13</v>
      </c>
      <c r="D800" s="8" t="str">
        <f>"王庆多"</f>
        <v>王庆多</v>
      </c>
      <c r="E800" s="8" t="str">
        <f>"男"</f>
        <v>男</v>
      </c>
    </row>
    <row r="801" spans="1:5" ht="19.5" customHeight="1">
      <c r="A801" s="8">
        <v>799</v>
      </c>
      <c r="B801" s="8" t="str">
        <f>"21902020071415033826919"</f>
        <v>21902020071415033826919</v>
      </c>
      <c r="C801" s="8" t="s">
        <v>13</v>
      </c>
      <c r="D801" s="8" t="str">
        <f>"王秀同"</f>
        <v>王秀同</v>
      </c>
      <c r="E801" s="8" t="str">
        <f>"男"</f>
        <v>男</v>
      </c>
    </row>
    <row r="802" spans="1:5" ht="19.5" customHeight="1">
      <c r="A802" s="8">
        <v>800</v>
      </c>
      <c r="B802" s="8" t="str">
        <f>"21902020071415043926920"</f>
        <v>21902020071415043926920</v>
      </c>
      <c r="C802" s="8" t="s">
        <v>13</v>
      </c>
      <c r="D802" s="8" t="str">
        <f>"陈丽女"</f>
        <v>陈丽女</v>
      </c>
      <c r="E802" s="8" t="str">
        <f>"女"</f>
        <v>女</v>
      </c>
    </row>
    <row r="803" spans="1:5" ht="19.5" customHeight="1">
      <c r="A803" s="8">
        <v>801</v>
      </c>
      <c r="B803" s="8" t="str">
        <f>"21902020071415052126922"</f>
        <v>21902020071415052126922</v>
      </c>
      <c r="C803" s="8" t="s">
        <v>13</v>
      </c>
      <c r="D803" s="8" t="str">
        <f>"胡何川"</f>
        <v>胡何川</v>
      </c>
      <c r="E803" s="8" t="str">
        <f>"女"</f>
        <v>女</v>
      </c>
    </row>
    <row r="804" spans="1:5" ht="19.5" customHeight="1">
      <c r="A804" s="8">
        <v>802</v>
      </c>
      <c r="B804" s="8" t="str">
        <f>"21902020071415143326932"</f>
        <v>21902020071415143326932</v>
      </c>
      <c r="C804" s="8" t="s">
        <v>13</v>
      </c>
      <c r="D804" s="8" t="str">
        <f>"唐美莹"</f>
        <v>唐美莹</v>
      </c>
      <c r="E804" s="8" t="str">
        <f>"女"</f>
        <v>女</v>
      </c>
    </row>
    <row r="805" spans="1:5" ht="19.5" customHeight="1">
      <c r="A805" s="8">
        <v>803</v>
      </c>
      <c r="B805" s="8" t="str">
        <f>"21902020071415150926934"</f>
        <v>21902020071415150926934</v>
      </c>
      <c r="C805" s="8" t="s">
        <v>13</v>
      </c>
      <c r="D805" s="8" t="str">
        <f>"傅国翠"</f>
        <v>傅国翠</v>
      </c>
      <c r="E805" s="8" t="str">
        <f>"女"</f>
        <v>女</v>
      </c>
    </row>
    <row r="806" spans="1:5" ht="19.5" customHeight="1">
      <c r="A806" s="8">
        <v>804</v>
      </c>
      <c r="B806" s="8" t="str">
        <f>"21902020071415170126936"</f>
        <v>21902020071415170126936</v>
      </c>
      <c r="C806" s="8" t="s">
        <v>13</v>
      </c>
      <c r="D806" s="8" t="str">
        <f>"梁树海"</f>
        <v>梁树海</v>
      </c>
      <c r="E806" s="8" t="str">
        <f>"男"</f>
        <v>男</v>
      </c>
    </row>
    <row r="807" spans="1:5" ht="19.5" customHeight="1">
      <c r="A807" s="8">
        <v>805</v>
      </c>
      <c r="B807" s="8" t="str">
        <f>"21902020071415183626938"</f>
        <v>21902020071415183626938</v>
      </c>
      <c r="C807" s="8" t="s">
        <v>13</v>
      </c>
      <c r="D807" s="8" t="str">
        <f>"陈多谋"</f>
        <v>陈多谋</v>
      </c>
      <c r="E807" s="8" t="str">
        <f>"男"</f>
        <v>男</v>
      </c>
    </row>
    <row r="808" spans="1:5" ht="19.5" customHeight="1">
      <c r="A808" s="8">
        <v>806</v>
      </c>
      <c r="B808" s="8" t="str">
        <f>"21902020071415191726940"</f>
        <v>21902020071415191726940</v>
      </c>
      <c r="C808" s="8" t="s">
        <v>13</v>
      </c>
      <c r="D808" s="8" t="str">
        <f>"简原梅"</f>
        <v>简原梅</v>
      </c>
      <c r="E808" s="8" t="str">
        <f>"女"</f>
        <v>女</v>
      </c>
    </row>
    <row r="809" spans="1:5" ht="19.5" customHeight="1">
      <c r="A809" s="8">
        <v>807</v>
      </c>
      <c r="B809" s="8" t="str">
        <f>"21902020071415234526946"</f>
        <v>21902020071415234526946</v>
      </c>
      <c r="C809" s="8" t="s">
        <v>13</v>
      </c>
      <c r="D809" s="8" t="str">
        <f>"符荣幸"</f>
        <v>符荣幸</v>
      </c>
      <c r="E809" s="8" t="str">
        <f>"男"</f>
        <v>男</v>
      </c>
    </row>
    <row r="810" spans="1:5" ht="19.5" customHeight="1">
      <c r="A810" s="8">
        <v>808</v>
      </c>
      <c r="B810" s="8" t="str">
        <f>"21902020071415241626949"</f>
        <v>21902020071415241626949</v>
      </c>
      <c r="C810" s="8" t="s">
        <v>13</v>
      </c>
      <c r="D810" s="8" t="str">
        <f>"陈焕波"</f>
        <v>陈焕波</v>
      </c>
      <c r="E810" s="8" t="str">
        <f>"男"</f>
        <v>男</v>
      </c>
    </row>
    <row r="811" spans="1:5" ht="19.5" customHeight="1">
      <c r="A811" s="8">
        <v>809</v>
      </c>
      <c r="B811" s="8" t="str">
        <f>"21902020071415265926952"</f>
        <v>21902020071415265926952</v>
      </c>
      <c r="C811" s="8" t="s">
        <v>13</v>
      </c>
      <c r="D811" s="8" t="str">
        <f>"李精艳"</f>
        <v>李精艳</v>
      </c>
      <c r="E811" s="8" t="str">
        <f>"女"</f>
        <v>女</v>
      </c>
    </row>
    <row r="812" spans="1:5" ht="19.5" customHeight="1">
      <c r="A812" s="8">
        <v>810</v>
      </c>
      <c r="B812" s="8" t="str">
        <f>"21902020071415365126970"</f>
        <v>21902020071415365126970</v>
      </c>
      <c r="C812" s="8" t="s">
        <v>13</v>
      </c>
      <c r="D812" s="8" t="str">
        <f>"符新武"</f>
        <v>符新武</v>
      </c>
      <c r="E812" s="8" t="str">
        <f>"男"</f>
        <v>男</v>
      </c>
    </row>
    <row r="813" spans="1:5" ht="19.5" customHeight="1">
      <c r="A813" s="8">
        <v>811</v>
      </c>
      <c r="B813" s="8" t="str">
        <f>"21902020071415552226994"</f>
        <v>21902020071415552226994</v>
      </c>
      <c r="C813" s="8" t="s">
        <v>13</v>
      </c>
      <c r="D813" s="8" t="str">
        <f>"符义"</f>
        <v>符义</v>
      </c>
      <c r="E813" s="8" t="str">
        <f>"男"</f>
        <v>男</v>
      </c>
    </row>
    <row r="814" spans="1:5" ht="19.5" customHeight="1">
      <c r="A814" s="8">
        <v>812</v>
      </c>
      <c r="B814" s="8" t="str">
        <f>"21902020071415561226998"</f>
        <v>21902020071415561226998</v>
      </c>
      <c r="C814" s="8" t="s">
        <v>13</v>
      </c>
      <c r="D814" s="8" t="str">
        <f>"陈尔彪"</f>
        <v>陈尔彪</v>
      </c>
      <c r="E814" s="8" t="str">
        <f>"男"</f>
        <v>男</v>
      </c>
    </row>
    <row r="815" spans="1:5" ht="19.5" customHeight="1">
      <c r="A815" s="8">
        <v>813</v>
      </c>
      <c r="B815" s="8" t="str">
        <f>"21902020071415585627005"</f>
        <v>21902020071415585627005</v>
      </c>
      <c r="C815" s="8" t="s">
        <v>13</v>
      </c>
      <c r="D815" s="8" t="str">
        <f>"李东"</f>
        <v>李东</v>
      </c>
      <c r="E815" s="8" t="str">
        <f>"男"</f>
        <v>男</v>
      </c>
    </row>
    <row r="816" spans="1:5" ht="19.5" customHeight="1">
      <c r="A816" s="8">
        <v>814</v>
      </c>
      <c r="B816" s="8" t="str">
        <f>"21902020071415590227006"</f>
        <v>21902020071415590227006</v>
      </c>
      <c r="C816" s="8" t="s">
        <v>13</v>
      </c>
      <c r="D816" s="8" t="str">
        <f>"王开道"</f>
        <v>王开道</v>
      </c>
      <c r="E816" s="8" t="str">
        <f>"男"</f>
        <v>男</v>
      </c>
    </row>
    <row r="817" spans="1:5" ht="19.5" customHeight="1">
      <c r="A817" s="8">
        <v>815</v>
      </c>
      <c r="B817" s="8" t="str">
        <f>"21902020071416035027016"</f>
        <v>21902020071416035027016</v>
      </c>
      <c r="C817" s="8" t="s">
        <v>13</v>
      </c>
      <c r="D817" s="8" t="str">
        <f>"羊玉英"</f>
        <v>羊玉英</v>
      </c>
      <c r="E817" s="8" t="str">
        <f>"女"</f>
        <v>女</v>
      </c>
    </row>
    <row r="818" spans="1:5" ht="19.5" customHeight="1">
      <c r="A818" s="8">
        <v>816</v>
      </c>
      <c r="B818" s="8" t="str">
        <f>"21902020071416263627058"</f>
        <v>21902020071416263627058</v>
      </c>
      <c r="C818" s="8" t="s">
        <v>13</v>
      </c>
      <c r="D818" s="8" t="str">
        <f>"陈梦鑫"</f>
        <v>陈梦鑫</v>
      </c>
      <c r="E818" s="8" t="str">
        <f>"女"</f>
        <v>女</v>
      </c>
    </row>
    <row r="819" spans="1:5" ht="19.5" customHeight="1">
      <c r="A819" s="8">
        <v>817</v>
      </c>
      <c r="B819" s="8" t="str">
        <f>"21902020071416303627065"</f>
        <v>21902020071416303627065</v>
      </c>
      <c r="C819" s="8" t="s">
        <v>13</v>
      </c>
      <c r="D819" s="8" t="str">
        <f>"薛蔚芳"</f>
        <v>薛蔚芳</v>
      </c>
      <c r="E819" s="8" t="str">
        <f>"女"</f>
        <v>女</v>
      </c>
    </row>
    <row r="820" spans="1:5" ht="19.5" customHeight="1">
      <c r="A820" s="8">
        <v>818</v>
      </c>
      <c r="B820" s="8" t="str">
        <f>"21902020071416323027069"</f>
        <v>21902020071416323027069</v>
      </c>
      <c r="C820" s="8" t="s">
        <v>13</v>
      </c>
      <c r="D820" s="8" t="str">
        <f>"羊科丽"</f>
        <v>羊科丽</v>
      </c>
      <c r="E820" s="8" t="str">
        <f>"女"</f>
        <v>女</v>
      </c>
    </row>
    <row r="821" spans="1:5" ht="19.5" customHeight="1">
      <c r="A821" s="8">
        <v>819</v>
      </c>
      <c r="B821" s="8" t="str">
        <f>"21902020071416431127093"</f>
        <v>21902020071416431127093</v>
      </c>
      <c r="C821" s="8" t="s">
        <v>13</v>
      </c>
      <c r="D821" s="8" t="str">
        <f>"文江鹏"</f>
        <v>文江鹏</v>
      </c>
      <c r="E821" s="8" t="str">
        <f>"男"</f>
        <v>男</v>
      </c>
    </row>
    <row r="822" spans="1:5" ht="19.5" customHeight="1">
      <c r="A822" s="8">
        <v>820</v>
      </c>
      <c r="B822" s="8" t="str">
        <f>"21902020071416463227097"</f>
        <v>21902020071416463227097</v>
      </c>
      <c r="C822" s="8" t="s">
        <v>13</v>
      </c>
      <c r="D822" s="8" t="str">
        <f>"万芳玲"</f>
        <v>万芳玲</v>
      </c>
      <c r="E822" s="8" t="str">
        <f>"女"</f>
        <v>女</v>
      </c>
    </row>
    <row r="823" spans="1:5" ht="19.5" customHeight="1">
      <c r="A823" s="8">
        <v>821</v>
      </c>
      <c r="B823" s="8" t="str">
        <f>"21902020071416505327105"</f>
        <v>21902020071416505327105</v>
      </c>
      <c r="C823" s="8" t="s">
        <v>13</v>
      </c>
      <c r="D823" s="8" t="str">
        <f>"黄旭辉"</f>
        <v>黄旭辉</v>
      </c>
      <c r="E823" s="8" t="str">
        <f>"男"</f>
        <v>男</v>
      </c>
    </row>
    <row r="824" spans="1:5" ht="19.5" customHeight="1">
      <c r="A824" s="8">
        <v>822</v>
      </c>
      <c r="B824" s="8" t="str">
        <f>"21902020071416545927114"</f>
        <v>21902020071416545927114</v>
      </c>
      <c r="C824" s="8" t="s">
        <v>13</v>
      </c>
      <c r="D824" s="8" t="str">
        <f>"苏木助"</f>
        <v>苏木助</v>
      </c>
      <c r="E824" s="8" t="str">
        <f>"男"</f>
        <v>男</v>
      </c>
    </row>
    <row r="825" spans="1:5" ht="19.5" customHeight="1">
      <c r="A825" s="8">
        <v>823</v>
      </c>
      <c r="B825" s="8" t="str">
        <f>"21902020071416585327122"</f>
        <v>21902020071416585327122</v>
      </c>
      <c r="C825" s="8" t="s">
        <v>13</v>
      </c>
      <c r="D825" s="8" t="str">
        <f>"黎秀强"</f>
        <v>黎秀强</v>
      </c>
      <c r="E825" s="8" t="str">
        <f>"男"</f>
        <v>男</v>
      </c>
    </row>
    <row r="826" spans="1:5" ht="19.5" customHeight="1">
      <c r="A826" s="8">
        <v>824</v>
      </c>
      <c r="B826" s="8" t="str">
        <f>"21902020071417003927126"</f>
        <v>21902020071417003927126</v>
      </c>
      <c r="C826" s="8" t="s">
        <v>13</v>
      </c>
      <c r="D826" s="8" t="str">
        <f>"陈美娇"</f>
        <v>陈美娇</v>
      </c>
      <c r="E826" s="8" t="str">
        <f>"女"</f>
        <v>女</v>
      </c>
    </row>
    <row r="827" spans="1:5" ht="19.5" customHeight="1">
      <c r="A827" s="8">
        <v>825</v>
      </c>
      <c r="B827" s="8" t="str">
        <f>"21902020071417163027152"</f>
        <v>21902020071417163027152</v>
      </c>
      <c r="C827" s="8" t="s">
        <v>13</v>
      </c>
      <c r="D827" s="8" t="str">
        <f>"陈垂艺"</f>
        <v>陈垂艺</v>
      </c>
      <c r="E827" s="8" t="str">
        <f>"男"</f>
        <v>男</v>
      </c>
    </row>
    <row r="828" spans="1:5" ht="19.5" customHeight="1">
      <c r="A828" s="8">
        <v>826</v>
      </c>
      <c r="B828" s="8" t="str">
        <f>"21902020071417173027155"</f>
        <v>21902020071417173027155</v>
      </c>
      <c r="C828" s="8" t="s">
        <v>13</v>
      </c>
      <c r="D828" s="8" t="str">
        <f>"王有萱"</f>
        <v>王有萱</v>
      </c>
      <c r="E828" s="8" t="str">
        <f>"女"</f>
        <v>女</v>
      </c>
    </row>
    <row r="829" spans="1:5" ht="19.5" customHeight="1">
      <c r="A829" s="8">
        <v>827</v>
      </c>
      <c r="B829" s="8" t="str">
        <f>"21902020071417234827164"</f>
        <v>21902020071417234827164</v>
      </c>
      <c r="C829" s="8" t="s">
        <v>13</v>
      </c>
      <c r="D829" s="8" t="str">
        <f>"简二梅"</f>
        <v>简二梅</v>
      </c>
      <c r="E829" s="8" t="str">
        <f>"女"</f>
        <v>女</v>
      </c>
    </row>
    <row r="830" spans="1:5" ht="19.5" customHeight="1">
      <c r="A830" s="8">
        <v>828</v>
      </c>
      <c r="B830" s="8" t="str">
        <f>"21902020071417410227188"</f>
        <v>21902020071417410227188</v>
      </c>
      <c r="C830" s="8" t="s">
        <v>13</v>
      </c>
      <c r="D830" s="8" t="str">
        <f>"徐福家"</f>
        <v>徐福家</v>
      </c>
      <c r="E830" s="8" t="str">
        <f>"男"</f>
        <v>男</v>
      </c>
    </row>
    <row r="831" spans="1:5" ht="19.5" customHeight="1">
      <c r="A831" s="8">
        <v>829</v>
      </c>
      <c r="B831" s="8" t="str">
        <f>"21902020071417473827199"</f>
        <v>21902020071417473827199</v>
      </c>
      <c r="C831" s="8" t="s">
        <v>13</v>
      </c>
      <c r="D831" s="8" t="str">
        <f>"羊翰士"</f>
        <v>羊翰士</v>
      </c>
      <c r="E831" s="8" t="str">
        <f>"男"</f>
        <v>男</v>
      </c>
    </row>
    <row r="832" spans="1:5" ht="19.5" customHeight="1">
      <c r="A832" s="8">
        <v>830</v>
      </c>
      <c r="B832" s="8" t="str">
        <f>"21902020071417525127207"</f>
        <v>21902020071417525127207</v>
      </c>
      <c r="C832" s="8" t="s">
        <v>13</v>
      </c>
      <c r="D832" s="8" t="str">
        <f>"王初鸾"</f>
        <v>王初鸾</v>
      </c>
      <c r="E832" s="8" t="str">
        <f>"女"</f>
        <v>女</v>
      </c>
    </row>
    <row r="833" spans="1:5" ht="19.5" customHeight="1">
      <c r="A833" s="8">
        <v>831</v>
      </c>
      <c r="B833" s="8" t="str">
        <f>"21902020071418015227217"</f>
        <v>21902020071418015227217</v>
      </c>
      <c r="C833" s="8" t="s">
        <v>13</v>
      </c>
      <c r="D833" s="8" t="str">
        <f>"羊世娟"</f>
        <v>羊世娟</v>
      </c>
      <c r="E833" s="8" t="str">
        <f>"女"</f>
        <v>女</v>
      </c>
    </row>
    <row r="834" spans="1:5" ht="19.5" customHeight="1">
      <c r="A834" s="8">
        <v>832</v>
      </c>
      <c r="B834" s="8" t="str">
        <f>"21902020071418015527218"</f>
        <v>21902020071418015527218</v>
      </c>
      <c r="C834" s="8" t="s">
        <v>13</v>
      </c>
      <c r="D834" s="8" t="str">
        <f>"林斌"</f>
        <v>林斌</v>
      </c>
      <c r="E834" s="8" t="str">
        <f>"男"</f>
        <v>男</v>
      </c>
    </row>
    <row r="835" spans="1:5" ht="19.5" customHeight="1">
      <c r="A835" s="8">
        <v>833</v>
      </c>
      <c r="B835" s="8" t="str">
        <f>"21902020071418082227224"</f>
        <v>21902020071418082227224</v>
      </c>
      <c r="C835" s="8" t="s">
        <v>13</v>
      </c>
      <c r="D835" s="8" t="str">
        <f>"吴月红"</f>
        <v>吴月红</v>
      </c>
      <c r="E835" s="8" t="str">
        <f>"女"</f>
        <v>女</v>
      </c>
    </row>
    <row r="836" spans="1:5" ht="19.5" customHeight="1">
      <c r="A836" s="8">
        <v>834</v>
      </c>
      <c r="B836" s="8" t="str">
        <f>"21902020071418122727231"</f>
        <v>21902020071418122727231</v>
      </c>
      <c r="C836" s="8" t="s">
        <v>13</v>
      </c>
      <c r="D836" s="8" t="str">
        <f>"曾春辉"</f>
        <v>曾春辉</v>
      </c>
      <c r="E836" s="8" t="str">
        <f>"女"</f>
        <v>女</v>
      </c>
    </row>
    <row r="837" spans="1:5" ht="19.5" customHeight="1">
      <c r="A837" s="8">
        <v>835</v>
      </c>
      <c r="B837" s="8" t="str">
        <f>"21902020071418244427246"</f>
        <v>21902020071418244427246</v>
      </c>
      <c r="C837" s="8" t="s">
        <v>13</v>
      </c>
      <c r="D837" s="8" t="str">
        <f>"吴君博"</f>
        <v>吴君博</v>
      </c>
      <c r="E837" s="8" t="str">
        <f>"男"</f>
        <v>男</v>
      </c>
    </row>
    <row r="838" spans="1:5" ht="19.5" customHeight="1">
      <c r="A838" s="8">
        <v>836</v>
      </c>
      <c r="B838" s="8" t="str">
        <f>"21902020071418271827249"</f>
        <v>21902020071418271827249</v>
      </c>
      <c r="C838" s="8" t="s">
        <v>13</v>
      </c>
      <c r="D838" s="8" t="str">
        <f>"黎宏逸"</f>
        <v>黎宏逸</v>
      </c>
      <c r="E838" s="8" t="str">
        <f>"男"</f>
        <v>男</v>
      </c>
    </row>
    <row r="839" spans="1:5" ht="19.5" customHeight="1">
      <c r="A839" s="8">
        <v>837</v>
      </c>
      <c r="B839" s="8" t="str">
        <f>"21902020071418431727270"</f>
        <v>21902020071418431727270</v>
      </c>
      <c r="C839" s="8" t="s">
        <v>13</v>
      </c>
      <c r="D839" s="8" t="str">
        <f>"李学君"</f>
        <v>李学君</v>
      </c>
      <c r="E839" s="8" t="str">
        <f>"男"</f>
        <v>男</v>
      </c>
    </row>
    <row r="840" spans="1:5" ht="19.5" customHeight="1">
      <c r="A840" s="8">
        <v>838</v>
      </c>
      <c r="B840" s="8" t="str">
        <f>"21902020071418485827281"</f>
        <v>21902020071418485827281</v>
      </c>
      <c r="C840" s="8" t="s">
        <v>13</v>
      </c>
      <c r="D840" s="8" t="str">
        <f>"羊汉英"</f>
        <v>羊汉英</v>
      </c>
      <c r="E840" s="8" t="str">
        <f>"男"</f>
        <v>男</v>
      </c>
    </row>
    <row r="841" spans="1:5" ht="19.5" customHeight="1">
      <c r="A841" s="8">
        <v>839</v>
      </c>
      <c r="B841" s="8" t="str">
        <f>"21902020071419005827295"</f>
        <v>21902020071419005827295</v>
      </c>
      <c r="C841" s="8" t="s">
        <v>13</v>
      </c>
      <c r="D841" s="8" t="str">
        <f>"洪文妍"</f>
        <v>洪文妍</v>
      </c>
      <c r="E841" s="8" t="str">
        <f>"女"</f>
        <v>女</v>
      </c>
    </row>
    <row r="842" spans="1:5" ht="19.5" customHeight="1">
      <c r="A842" s="8">
        <v>840</v>
      </c>
      <c r="B842" s="8" t="str">
        <f>"21902020071419042927302"</f>
        <v>21902020071419042927302</v>
      </c>
      <c r="C842" s="8" t="s">
        <v>13</v>
      </c>
      <c r="D842" s="8" t="str">
        <f>"符铃敏"</f>
        <v>符铃敏</v>
      </c>
      <c r="E842" s="8" t="str">
        <f>"女"</f>
        <v>女</v>
      </c>
    </row>
    <row r="843" spans="1:5" ht="19.5" customHeight="1">
      <c r="A843" s="8">
        <v>841</v>
      </c>
      <c r="B843" s="8" t="str">
        <f>"21902020071419053527304"</f>
        <v>21902020071419053527304</v>
      </c>
      <c r="C843" s="8" t="s">
        <v>13</v>
      </c>
      <c r="D843" s="8" t="str">
        <f>"李江南"</f>
        <v>李江南</v>
      </c>
      <c r="E843" s="8" t="str">
        <f>"男"</f>
        <v>男</v>
      </c>
    </row>
    <row r="844" spans="1:5" ht="19.5" customHeight="1">
      <c r="A844" s="8">
        <v>842</v>
      </c>
      <c r="B844" s="8" t="str">
        <f>"21902020071419070527308"</f>
        <v>21902020071419070527308</v>
      </c>
      <c r="C844" s="8" t="s">
        <v>13</v>
      </c>
      <c r="D844" s="8" t="str">
        <f>"许继儒"</f>
        <v>许继儒</v>
      </c>
      <c r="E844" s="8" t="str">
        <f>"男"</f>
        <v>男</v>
      </c>
    </row>
    <row r="845" spans="1:5" ht="19.5" customHeight="1">
      <c r="A845" s="8">
        <v>843</v>
      </c>
      <c r="B845" s="8" t="str">
        <f>"21902020071419115127315"</f>
        <v>21902020071419115127315</v>
      </c>
      <c r="C845" s="8" t="s">
        <v>13</v>
      </c>
      <c r="D845" s="8" t="str">
        <f>"许香女"</f>
        <v>许香女</v>
      </c>
      <c r="E845" s="8" t="str">
        <f>"女"</f>
        <v>女</v>
      </c>
    </row>
    <row r="846" spans="1:5" ht="19.5" customHeight="1">
      <c r="A846" s="8">
        <v>844</v>
      </c>
      <c r="B846" s="8" t="str">
        <f>"21902020071419130527317"</f>
        <v>21902020071419130527317</v>
      </c>
      <c r="C846" s="8" t="s">
        <v>13</v>
      </c>
      <c r="D846" s="8" t="str">
        <f>"刘晓莉"</f>
        <v>刘晓莉</v>
      </c>
      <c r="E846" s="8" t="str">
        <f>"女"</f>
        <v>女</v>
      </c>
    </row>
    <row r="847" spans="1:5" ht="19.5" customHeight="1">
      <c r="A847" s="8">
        <v>845</v>
      </c>
      <c r="B847" s="8" t="str">
        <f>"21902020071419241427330"</f>
        <v>21902020071419241427330</v>
      </c>
      <c r="C847" s="8" t="s">
        <v>13</v>
      </c>
      <c r="D847" s="8" t="str">
        <f>"李克伟"</f>
        <v>李克伟</v>
      </c>
      <c r="E847" s="8" t="str">
        <f>"男"</f>
        <v>男</v>
      </c>
    </row>
    <row r="848" spans="1:5" ht="19.5" customHeight="1">
      <c r="A848" s="8">
        <v>846</v>
      </c>
      <c r="B848" s="8" t="str">
        <f>"21902020071419241427331"</f>
        <v>21902020071419241427331</v>
      </c>
      <c r="C848" s="8" t="s">
        <v>13</v>
      </c>
      <c r="D848" s="8" t="str">
        <f>"黎秀灵"</f>
        <v>黎秀灵</v>
      </c>
      <c r="E848" s="8" t="str">
        <f>"女"</f>
        <v>女</v>
      </c>
    </row>
    <row r="849" spans="1:5" ht="19.5" customHeight="1">
      <c r="A849" s="8">
        <v>847</v>
      </c>
      <c r="B849" s="8" t="str">
        <f>"21902020071419412827350"</f>
        <v>21902020071419412827350</v>
      </c>
      <c r="C849" s="8" t="s">
        <v>13</v>
      </c>
      <c r="D849" s="8" t="str">
        <f>"王井梅"</f>
        <v>王井梅</v>
      </c>
      <c r="E849" s="8" t="str">
        <f>"女"</f>
        <v>女</v>
      </c>
    </row>
    <row r="850" spans="1:5" ht="19.5" customHeight="1">
      <c r="A850" s="8">
        <v>848</v>
      </c>
      <c r="B850" s="8" t="str">
        <f>"21902020071419555027360"</f>
        <v>21902020071419555027360</v>
      </c>
      <c r="C850" s="8" t="s">
        <v>13</v>
      </c>
      <c r="D850" s="8" t="str">
        <f>"刘武彬"</f>
        <v>刘武彬</v>
      </c>
      <c r="E850" s="8" t="str">
        <f>"男"</f>
        <v>男</v>
      </c>
    </row>
    <row r="851" spans="1:5" ht="19.5" customHeight="1">
      <c r="A851" s="8">
        <v>849</v>
      </c>
      <c r="B851" s="8" t="str">
        <f>"21902020071419591627361"</f>
        <v>21902020071419591627361</v>
      </c>
      <c r="C851" s="8" t="s">
        <v>13</v>
      </c>
      <c r="D851" s="8" t="str">
        <f>"吴文靖"</f>
        <v>吴文靖</v>
      </c>
      <c r="E851" s="8" t="str">
        <f>"男"</f>
        <v>男</v>
      </c>
    </row>
    <row r="852" spans="1:5" ht="19.5" customHeight="1">
      <c r="A852" s="8">
        <v>850</v>
      </c>
      <c r="B852" s="8" t="str">
        <f>"21902020071420050127370"</f>
        <v>21902020071420050127370</v>
      </c>
      <c r="C852" s="8" t="s">
        <v>13</v>
      </c>
      <c r="D852" s="8" t="str">
        <f>"王霄豪"</f>
        <v>王霄豪</v>
      </c>
      <c r="E852" s="8" t="str">
        <f>"女"</f>
        <v>女</v>
      </c>
    </row>
    <row r="853" spans="1:5" ht="19.5" customHeight="1">
      <c r="A853" s="8">
        <v>851</v>
      </c>
      <c r="B853" s="8" t="str">
        <f>"21902020071420130827377"</f>
        <v>21902020071420130827377</v>
      </c>
      <c r="C853" s="8" t="s">
        <v>13</v>
      </c>
      <c r="D853" s="8" t="str">
        <f>"毛明锐"</f>
        <v>毛明锐</v>
      </c>
      <c r="E853" s="8" t="str">
        <f>"男"</f>
        <v>男</v>
      </c>
    </row>
    <row r="854" spans="1:5" ht="19.5" customHeight="1">
      <c r="A854" s="8">
        <v>852</v>
      </c>
      <c r="B854" s="8" t="str">
        <f>"21902020071420524727423"</f>
        <v>21902020071420524727423</v>
      </c>
      <c r="C854" s="8" t="s">
        <v>13</v>
      </c>
      <c r="D854" s="8" t="str">
        <f>"吴军香"</f>
        <v>吴军香</v>
      </c>
      <c r="E854" s="8" t="str">
        <f>"女"</f>
        <v>女</v>
      </c>
    </row>
    <row r="855" spans="1:5" ht="19.5" customHeight="1">
      <c r="A855" s="8">
        <v>853</v>
      </c>
      <c r="B855" s="8" t="str">
        <f>"21902020071420575627429"</f>
        <v>21902020071420575627429</v>
      </c>
      <c r="C855" s="8" t="s">
        <v>13</v>
      </c>
      <c r="D855" s="8" t="str">
        <f>"陈壮翠"</f>
        <v>陈壮翠</v>
      </c>
      <c r="E855" s="8" t="str">
        <f>"女"</f>
        <v>女</v>
      </c>
    </row>
    <row r="856" spans="1:5" ht="19.5" customHeight="1">
      <c r="A856" s="8">
        <v>854</v>
      </c>
      <c r="B856" s="8" t="str">
        <f>"21902020071420583327430"</f>
        <v>21902020071420583327430</v>
      </c>
      <c r="C856" s="8" t="s">
        <v>13</v>
      </c>
      <c r="D856" s="8" t="str">
        <f>"王成明"</f>
        <v>王成明</v>
      </c>
      <c r="E856" s="8" t="str">
        <f>"男"</f>
        <v>男</v>
      </c>
    </row>
    <row r="857" spans="1:5" ht="19.5" customHeight="1">
      <c r="A857" s="8">
        <v>855</v>
      </c>
      <c r="B857" s="8" t="str">
        <f>"21902020071421040827441"</f>
        <v>21902020071421040827441</v>
      </c>
      <c r="C857" s="8" t="s">
        <v>13</v>
      </c>
      <c r="D857" s="8" t="str">
        <f>"符玉萍"</f>
        <v>符玉萍</v>
      </c>
      <c r="E857" s="8" t="str">
        <f>"女"</f>
        <v>女</v>
      </c>
    </row>
    <row r="858" spans="1:5" ht="19.5" customHeight="1">
      <c r="A858" s="8">
        <v>856</v>
      </c>
      <c r="B858" s="8" t="str">
        <f>"21902020071421070927448"</f>
        <v>21902020071421070927448</v>
      </c>
      <c r="C858" s="8" t="s">
        <v>13</v>
      </c>
      <c r="D858" s="8" t="str">
        <f>"李秋香"</f>
        <v>李秋香</v>
      </c>
      <c r="E858" s="8" t="str">
        <f>"女"</f>
        <v>女</v>
      </c>
    </row>
    <row r="859" spans="1:5" ht="19.5" customHeight="1">
      <c r="A859" s="8">
        <v>857</v>
      </c>
      <c r="B859" s="8" t="str">
        <f>"21902020071421110927453"</f>
        <v>21902020071421110927453</v>
      </c>
      <c r="C859" s="8" t="s">
        <v>13</v>
      </c>
      <c r="D859" s="8" t="str">
        <f>"曾叶梅"</f>
        <v>曾叶梅</v>
      </c>
      <c r="E859" s="8" t="str">
        <f>"女"</f>
        <v>女</v>
      </c>
    </row>
    <row r="860" spans="1:5" ht="19.5" customHeight="1">
      <c r="A860" s="8">
        <v>858</v>
      </c>
      <c r="B860" s="8" t="str">
        <f>"21902020071421191027466"</f>
        <v>21902020071421191027466</v>
      </c>
      <c r="C860" s="8" t="s">
        <v>13</v>
      </c>
      <c r="D860" s="8" t="str">
        <f>"王中圆"</f>
        <v>王中圆</v>
      </c>
      <c r="E860" s="8" t="str">
        <f>"男"</f>
        <v>男</v>
      </c>
    </row>
    <row r="861" spans="1:5" ht="19.5" customHeight="1">
      <c r="A861" s="8">
        <v>859</v>
      </c>
      <c r="B861" s="8" t="str">
        <f>"21902020071421355227475"</f>
        <v>21902020071421355227475</v>
      </c>
      <c r="C861" s="8" t="s">
        <v>13</v>
      </c>
      <c r="D861" s="8" t="str">
        <f>"王燕舞"</f>
        <v>王燕舞</v>
      </c>
      <c r="E861" s="8" t="str">
        <f>"女"</f>
        <v>女</v>
      </c>
    </row>
    <row r="862" spans="1:5" ht="19.5" customHeight="1">
      <c r="A862" s="8">
        <v>860</v>
      </c>
      <c r="B862" s="8" t="str">
        <f>"21902020071421361027477"</f>
        <v>21902020071421361027477</v>
      </c>
      <c r="C862" s="8" t="s">
        <v>13</v>
      </c>
      <c r="D862" s="8" t="str">
        <f>"黄河润"</f>
        <v>黄河润</v>
      </c>
      <c r="E862" s="8" t="str">
        <f>"男"</f>
        <v>男</v>
      </c>
    </row>
    <row r="863" spans="1:5" ht="19.5" customHeight="1">
      <c r="A863" s="8">
        <v>861</v>
      </c>
      <c r="B863" s="8" t="str">
        <f>"21902020071422102927516"</f>
        <v>21902020071422102927516</v>
      </c>
      <c r="C863" s="8" t="s">
        <v>13</v>
      </c>
      <c r="D863" s="8" t="str">
        <f>"代井丽"</f>
        <v>代井丽</v>
      </c>
      <c r="E863" s="8" t="str">
        <f>"女"</f>
        <v>女</v>
      </c>
    </row>
    <row r="864" spans="1:5" ht="19.5" customHeight="1">
      <c r="A864" s="8">
        <v>862</v>
      </c>
      <c r="B864" s="8" t="str">
        <f>"21902020071422173027525"</f>
        <v>21902020071422173027525</v>
      </c>
      <c r="C864" s="8" t="s">
        <v>13</v>
      </c>
      <c r="D864" s="8" t="str">
        <f>"蔡灌清"</f>
        <v>蔡灌清</v>
      </c>
      <c r="E864" s="8" t="str">
        <f>"男"</f>
        <v>男</v>
      </c>
    </row>
    <row r="865" spans="1:5" ht="19.5" customHeight="1">
      <c r="A865" s="8">
        <v>863</v>
      </c>
      <c r="B865" s="8" t="str">
        <f>"21902020071422263327541"</f>
        <v>21902020071422263327541</v>
      </c>
      <c r="C865" s="8" t="s">
        <v>13</v>
      </c>
      <c r="D865" s="8" t="str">
        <f>"陈德君"</f>
        <v>陈德君</v>
      </c>
      <c r="E865" s="8" t="str">
        <f>"男"</f>
        <v>男</v>
      </c>
    </row>
    <row r="866" spans="1:5" ht="19.5" customHeight="1">
      <c r="A866" s="8">
        <v>864</v>
      </c>
      <c r="B866" s="8" t="str">
        <f>"21902020071422284627544"</f>
        <v>21902020071422284627544</v>
      </c>
      <c r="C866" s="8" t="s">
        <v>13</v>
      </c>
      <c r="D866" s="8" t="str">
        <f>"陈壮达"</f>
        <v>陈壮达</v>
      </c>
      <c r="E866" s="8" t="str">
        <f>"男"</f>
        <v>男</v>
      </c>
    </row>
    <row r="867" spans="1:5" ht="19.5" customHeight="1">
      <c r="A867" s="8">
        <v>865</v>
      </c>
      <c r="B867" s="8" t="str">
        <f>"21902020071422311627548"</f>
        <v>21902020071422311627548</v>
      </c>
      <c r="C867" s="8" t="s">
        <v>13</v>
      </c>
      <c r="D867" s="8" t="str">
        <f>"符士月"</f>
        <v>符士月</v>
      </c>
      <c r="E867" s="8" t="str">
        <f>"女"</f>
        <v>女</v>
      </c>
    </row>
    <row r="868" spans="1:5" ht="19.5" customHeight="1">
      <c r="A868" s="8">
        <v>866</v>
      </c>
      <c r="B868" s="8" t="str">
        <f>"21902020071422340227553"</f>
        <v>21902020071422340227553</v>
      </c>
      <c r="C868" s="8" t="s">
        <v>13</v>
      </c>
      <c r="D868" s="8" t="str">
        <f>"符壮核"</f>
        <v>符壮核</v>
      </c>
      <c r="E868" s="8" t="str">
        <f>"男"</f>
        <v>男</v>
      </c>
    </row>
    <row r="869" spans="1:5" ht="19.5" customHeight="1">
      <c r="A869" s="8">
        <v>867</v>
      </c>
      <c r="B869" s="8" t="str">
        <f>"21902020071423040627589"</f>
        <v>21902020071423040627589</v>
      </c>
      <c r="C869" s="8" t="s">
        <v>13</v>
      </c>
      <c r="D869" s="8" t="str">
        <f>"蔡颖"</f>
        <v>蔡颖</v>
      </c>
      <c r="E869" s="8" t="str">
        <f>"女"</f>
        <v>女</v>
      </c>
    </row>
    <row r="870" spans="1:5" ht="19.5" customHeight="1">
      <c r="A870" s="8">
        <v>868</v>
      </c>
      <c r="B870" s="8" t="str">
        <f>"21902020071423141827603"</f>
        <v>21902020071423141827603</v>
      </c>
      <c r="C870" s="8" t="s">
        <v>13</v>
      </c>
      <c r="D870" s="8" t="str">
        <f>"何小花"</f>
        <v>何小花</v>
      </c>
      <c r="E870" s="8" t="str">
        <f>"女"</f>
        <v>女</v>
      </c>
    </row>
    <row r="871" spans="1:5" ht="19.5" customHeight="1">
      <c r="A871" s="8">
        <v>869</v>
      </c>
      <c r="B871" s="8" t="str">
        <f>"21902020071423183727605"</f>
        <v>21902020071423183727605</v>
      </c>
      <c r="C871" s="8" t="s">
        <v>13</v>
      </c>
      <c r="D871" s="8" t="str">
        <f>"朱立强"</f>
        <v>朱立强</v>
      </c>
      <c r="E871" s="8" t="str">
        <f aca="true" t="shared" si="116" ref="E871:E877">"男"</f>
        <v>男</v>
      </c>
    </row>
    <row r="872" spans="1:5" ht="19.5" customHeight="1">
      <c r="A872" s="8">
        <v>870</v>
      </c>
      <c r="B872" s="8" t="str">
        <f>"21902020071423225927609"</f>
        <v>21902020071423225927609</v>
      </c>
      <c r="C872" s="8" t="s">
        <v>13</v>
      </c>
      <c r="D872" s="8" t="str">
        <f>"李周良"</f>
        <v>李周良</v>
      </c>
      <c r="E872" s="8" t="str">
        <f t="shared" si="116"/>
        <v>男</v>
      </c>
    </row>
    <row r="873" spans="1:5" ht="19.5" customHeight="1">
      <c r="A873" s="8">
        <v>871</v>
      </c>
      <c r="B873" s="8" t="str">
        <f>"21902020071500043927635"</f>
        <v>21902020071500043927635</v>
      </c>
      <c r="C873" s="8" t="s">
        <v>13</v>
      </c>
      <c r="D873" s="8" t="str">
        <f>"黎勇"</f>
        <v>黎勇</v>
      </c>
      <c r="E873" s="8" t="str">
        <f t="shared" si="116"/>
        <v>男</v>
      </c>
    </row>
    <row r="874" spans="1:5" ht="19.5" customHeight="1">
      <c r="A874" s="8">
        <v>872</v>
      </c>
      <c r="B874" s="8" t="str">
        <f>"21902020071501020727651"</f>
        <v>21902020071501020727651</v>
      </c>
      <c r="C874" s="8" t="s">
        <v>13</v>
      </c>
      <c r="D874" s="8" t="str">
        <f>"王喻民"</f>
        <v>王喻民</v>
      </c>
      <c r="E874" s="8" t="str">
        <f t="shared" si="116"/>
        <v>男</v>
      </c>
    </row>
    <row r="875" spans="1:5" ht="19.5" customHeight="1">
      <c r="A875" s="8">
        <v>873</v>
      </c>
      <c r="B875" s="8" t="str">
        <f>"21902020071501135227653"</f>
        <v>21902020071501135227653</v>
      </c>
      <c r="C875" s="8" t="s">
        <v>13</v>
      </c>
      <c r="D875" s="8" t="str">
        <f>"何文寿"</f>
        <v>何文寿</v>
      </c>
      <c r="E875" s="8" t="str">
        <f t="shared" si="116"/>
        <v>男</v>
      </c>
    </row>
    <row r="876" spans="1:5" ht="19.5" customHeight="1">
      <c r="A876" s="8">
        <v>874</v>
      </c>
      <c r="B876" s="8" t="str">
        <f>"21902020071502340427662"</f>
        <v>21902020071502340427662</v>
      </c>
      <c r="C876" s="8" t="s">
        <v>13</v>
      </c>
      <c r="D876" s="8" t="str">
        <f>"卢周武"</f>
        <v>卢周武</v>
      </c>
      <c r="E876" s="8" t="str">
        <f t="shared" si="116"/>
        <v>男</v>
      </c>
    </row>
    <row r="877" spans="1:5" ht="19.5" customHeight="1">
      <c r="A877" s="8">
        <v>875</v>
      </c>
      <c r="B877" s="8" t="str">
        <f>"21902020071508035627676"</f>
        <v>21902020071508035627676</v>
      </c>
      <c r="C877" s="8" t="s">
        <v>13</v>
      </c>
      <c r="D877" s="8" t="str">
        <f>"杨裕豪"</f>
        <v>杨裕豪</v>
      </c>
      <c r="E877" s="8" t="str">
        <f t="shared" si="116"/>
        <v>男</v>
      </c>
    </row>
    <row r="878" spans="1:5" ht="19.5" customHeight="1">
      <c r="A878" s="8">
        <v>876</v>
      </c>
      <c r="B878" s="8" t="str">
        <f>"21902020071508180927682"</f>
        <v>21902020071508180927682</v>
      </c>
      <c r="C878" s="8" t="s">
        <v>13</v>
      </c>
      <c r="D878" s="8" t="str">
        <f>"符邓萍"</f>
        <v>符邓萍</v>
      </c>
      <c r="E878" s="8" t="str">
        <f>"女"</f>
        <v>女</v>
      </c>
    </row>
    <row r="879" spans="1:5" ht="19.5" customHeight="1">
      <c r="A879" s="8">
        <v>877</v>
      </c>
      <c r="B879" s="8" t="str">
        <f>"21902020071508471027702"</f>
        <v>21902020071508471027702</v>
      </c>
      <c r="C879" s="8" t="s">
        <v>13</v>
      </c>
      <c r="D879" s="8" t="str">
        <f>"陈立邦"</f>
        <v>陈立邦</v>
      </c>
      <c r="E879" s="8" t="str">
        <f>"男"</f>
        <v>男</v>
      </c>
    </row>
    <row r="880" spans="1:5" ht="19.5" customHeight="1">
      <c r="A880" s="8">
        <v>878</v>
      </c>
      <c r="B880" s="8" t="str">
        <f>"21902020071508594827719"</f>
        <v>21902020071508594827719</v>
      </c>
      <c r="C880" s="8" t="s">
        <v>13</v>
      </c>
      <c r="D880" s="8" t="str">
        <f>"陈小静"</f>
        <v>陈小静</v>
      </c>
      <c r="E880" s="8" t="str">
        <f>"女"</f>
        <v>女</v>
      </c>
    </row>
    <row r="881" spans="1:5" ht="19.5" customHeight="1">
      <c r="A881" s="8">
        <v>879</v>
      </c>
      <c r="B881" s="8" t="str">
        <f>"21902020071509031027728"</f>
        <v>21902020071509031027728</v>
      </c>
      <c r="C881" s="8" t="s">
        <v>13</v>
      </c>
      <c r="D881" s="8" t="str">
        <f>"符建军 "</f>
        <v>符建军 </v>
      </c>
      <c r="E881" s="8" t="str">
        <f>"男"</f>
        <v>男</v>
      </c>
    </row>
    <row r="882" spans="1:5" ht="19.5" customHeight="1">
      <c r="A882" s="8">
        <v>880</v>
      </c>
      <c r="B882" s="8" t="str">
        <f>"21902020071509042127736"</f>
        <v>21902020071509042127736</v>
      </c>
      <c r="C882" s="8" t="s">
        <v>13</v>
      </c>
      <c r="D882" s="8" t="str">
        <f>"简原智"</f>
        <v>简原智</v>
      </c>
      <c r="E882" s="8" t="str">
        <f>"男"</f>
        <v>男</v>
      </c>
    </row>
    <row r="883" spans="1:5" ht="19.5" customHeight="1">
      <c r="A883" s="8">
        <v>881</v>
      </c>
      <c r="B883" s="8" t="str">
        <f>"21902020071509404527794"</f>
        <v>21902020071509404527794</v>
      </c>
      <c r="C883" s="8" t="s">
        <v>13</v>
      </c>
      <c r="D883" s="8" t="str">
        <f>"刘美焕"</f>
        <v>刘美焕</v>
      </c>
      <c r="E883" s="8" t="str">
        <f>"女"</f>
        <v>女</v>
      </c>
    </row>
    <row r="884" spans="1:5" ht="19.5" customHeight="1">
      <c r="A884" s="8">
        <v>882</v>
      </c>
      <c r="B884" s="8" t="str">
        <f>"21902020071509484627814"</f>
        <v>21902020071509484627814</v>
      </c>
      <c r="C884" s="8" t="s">
        <v>13</v>
      </c>
      <c r="D884" s="8" t="str">
        <f>"李妍"</f>
        <v>李妍</v>
      </c>
      <c r="E884" s="8" t="str">
        <f>"女"</f>
        <v>女</v>
      </c>
    </row>
    <row r="885" spans="1:5" ht="19.5" customHeight="1">
      <c r="A885" s="8">
        <v>883</v>
      </c>
      <c r="B885" s="8" t="str">
        <f>"21902020071509492227817"</f>
        <v>21902020071509492227817</v>
      </c>
      <c r="C885" s="8" t="s">
        <v>13</v>
      </c>
      <c r="D885" s="8" t="str">
        <f>"彭慧平"</f>
        <v>彭慧平</v>
      </c>
      <c r="E885" s="8" t="str">
        <f>"女"</f>
        <v>女</v>
      </c>
    </row>
    <row r="886" spans="1:5" ht="19.5" customHeight="1">
      <c r="A886" s="8">
        <v>884</v>
      </c>
      <c r="B886" s="8" t="str">
        <f>"21902020071510114327842"</f>
        <v>21902020071510114327842</v>
      </c>
      <c r="C886" s="8" t="s">
        <v>13</v>
      </c>
      <c r="D886" s="8" t="str">
        <f>"苏汉玲"</f>
        <v>苏汉玲</v>
      </c>
      <c r="E886" s="8" t="str">
        <f>"女"</f>
        <v>女</v>
      </c>
    </row>
    <row r="887" spans="1:5" ht="19.5" customHeight="1">
      <c r="A887" s="8">
        <v>885</v>
      </c>
      <c r="B887" s="8" t="str">
        <f>"21902020071510135727845"</f>
        <v>21902020071510135727845</v>
      </c>
      <c r="C887" s="8" t="s">
        <v>13</v>
      </c>
      <c r="D887" s="8" t="str">
        <f>"符兰妍"</f>
        <v>符兰妍</v>
      </c>
      <c r="E887" s="8" t="str">
        <f>"女"</f>
        <v>女</v>
      </c>
    </row>
    <row r="888" spans="1:5" ht="19.5" customHeight="1">
      <c r="A888" s="8">
        <v>886</v>
      </c>
      <c r="B888" s="8" t="str">
        <f>"21902020071510172227852"</f>
        <v>21902020071510172227852</v>
      </c>
      <c r="C888" s="8" t="s">
        <v>13</v>
      </c>
      <c r="D888" s="8" t="str">
        <f>"牛立峰"</f>
        <v>牛立峰</v>
      </c>
      <c r="E888" s="8" t="str">
        <f>"男"</f>
        <v>男</v>
      </c>
    </row>
    <row r="889" spans="1:5" ht="19.5" customHeight="1">
      <c r="A889" s="8">
        <v>887</v>
      </c>
      <c r="B889" s="8" t="str">
        <f>"21902020071510194127856"</f>
        <v>21902020071510194127856</v>
      </c>
      <c r="C889" s="8" t="s">
        <v>13</v>
      </c>
      <c r="D889" s="8" t="str">
        <f>"李学交"</f>
        <v>李学交</v>
      </c>
      <c r="E889" s="8" t="str">
        <f>"女"</f>
        <v>女</v>
      </c>
    </row>
    <row r="890" spans="1:5" ht="19.5" customHeight="1">
      <c r="A890" s="8">
        <v>888</v>
      </c>
      <c r="B890" s="8" t="str">
        <f>"21902020071510313027874"</f>
        <v>21902020071510313027874</v>
      </c>
      <c r="C890" s="8" t="s">
        <v>13</v>
      </c>
      <c r="D890" s="8" t="str">
        <f>"何彩菊"</f>
        <v>何彩菊</v>
      </c>
      <c r="E890" s="8" t="str">
        <f>"女"</f>
        <v>女</v>
      </c>
    </row>
    <row r="891" spans="1:5" ht="19.5" customHeight="1">
      <c r="A891" s="8">
        <v>889</v>
      </c>
      <c r="B891" s="8" t="str">
        <f>"21902020071510335927877"</f>
        <v>21902020071510335927877</v>
      </c>
      <c r="C891" s="8" t="s">
        <v>13</v>
      </c>
      <c r="D891" s="8" t="str">
        <f>"王国理"</f>
        <v>王国理</v>
      </c>
      <c r="E891" s="8" t="str">
        <f>"男"</f>
        <v>男</v>
      </c>
    </row>
    <row r="892" spans="1:5" ht="19.5" customHeight="1">
      <c r="A892" s="8">
        <v>890</v>
      </c>
      <c r="B892" s="8" t="str">
        <f>"21902020071510372727884"</f>
        <v>21902020071510372727884</v>
      </c>
      <c r="C892" s="8" t="s">
        <v>13</v>
      </c>
      <c r="D892" s="8" t="str">
        <f>"张茂盛"</f>
        <v>张茂盛</v>
      </c>
      <c r="E892" s="8" t="str">
        <f>"男"</f>
        <v>男</v>
      </c>
    </row>
    <row r="893" spans="1:5" ht="19.5" customHeight="1">
      <c r="A893" s="8">
        <v>891</v>
      </c>
      <c r="B893" s="8" t="str">
        <f>"21902020071510530927911"</f>
        <v>21902020071510530927911</v>
      </c>
      <c r="C893" s="8" t="s">
        <v>13</v>
      </c>
      <c r="D893" s="8" t="str">
        <f>"羊淑芳"</f>
        <v>羊淑芳</v>
      </c>
      <c r="E893" s="8" t="str">
        <f>"女"</f>
        <v>女</v>
      </c>
    </row>
    <row r="894" spans="1:5" ht="19.5" customHeight="1">
      <c r="A894" s="8">
        <v>892</v>
      </c>
      <c r="B894" s="8" t="str">
        <f>"21902020071511050327930"</f>
        <v>21902020071511050327930</v>
      </c>
      <c r="C894" s="8" t="s">
        <v>13</v>
      </c>
      <c r="D894" s="8" t="str">
        <f>"何引丁"</f>
        <v>何引丁</v>
      </c>
      <c r="E894" s="8" t="str">
        <f>"女"</f>
        <v>女</v>
      </c>
    </row>
    <row r="895" spans="1:5" ht="19.5" customHeight="1">
      <c r="A895" s="8">
        <v>893</v>
      </c>
      <c r="B895" s="8" t="str">
        <f>"21902020071511061327933"</f>
        <v>21902020071511061327933</v>
      </c>
      <c r="C895" s="8" t="s">
        <v>13</v>
      </c>
      <c r="D895" s="8" t="str">
        <f>"梁冠妍"</f>
        <v>梁冠妍</v>
      </c>
      <c r="E895" s="8" t="str">
        <f>"女"</f>
        <v>女</v>
      </c>
    </row>
    <row r="896" spans="1:5" ht="19.5" customHeight="1">
      <c r="A896" s="8">
        <v>894</v>
      </c>
      <c r="B896" s="8" t="str">
        <f>"21902020071511180327948"</f>
        <v>21902020071511180327948</v>
      </c>
      <c r="C896" s="8" t="s">
        <v>13</v>
      </c>
      <c r="D896" s="8" t="str">
        <f>"羊之林"</f>
        <v>羊之林</v>
      </c>
      <c r="E896" s="8" t="str">
        <f>"男"</f>
        <v>男</v>
      </c>
    </row>
    <row r="897" spans="1:5" ht="19.5" customHeight="1">
      <c r="A897" s="8">
        <v>895</v>
      </c>
      <c r="B897" s="8" t="str">
        <f>"21902020071511255927957"</f>
        <v>21902020071511255927957</v>
      </c>
      <c r="C897" s="8" t="s">
        <v>13</v>
      </c>
      <c r="D897" s="8" t="str">
        <f>"唐着策"</f>
        <v>唐着策</v>
      </c>
      <c r="E897" s="8" t="str">
        <f>"男"</f>
        <v>男</v>
      </c>
    </row>
    <row r="898" spans="1:5" ht="19.5" customHeight="1">
      <c r="A898" s="8">
        <v>896</v>
      </c>
      <c r="B898" s="8" t="str">
        <f>"21902020071511361127969"</f>
        <v>21902020071511361127969</v>
      </c>
      <c r="C898" s="8" t="s">
        <v>13</v>
      </c>
      <c r="D898" s="8" t="str">
        <f>"曾红"</f>
        <v>曾红</v>
      </c>
      <c r="E898" s="8" t="str">
        <f>"女"</f>
        <v>女</v>
      </c>
    </row>
    <row r="899" spans="1:5" ht="19.5" customHeight="1">
      <c r="A899" s="8">
        <v>897</v>
      </c>
      <c r="B899" s="8" t="str">
        <f>"21902020071511384727974"</f>
        <v>21902020071511384727974</v>
      </c>
      <c r="C899" s="8" t="s">
        <v>13</v>
      </c>
      <c r="D899" s="8" t="str">
        <f>"符浩"</f>
        <v>符浩</v>
      </c>
      <c r="E899" s="8" t="str">
        <f>"男"</f>
        <v>男</v>
      </c>
    </row>
    <row r="900" spans="1:5" ht="19.5" customHeight="1">
      <c r="A900" s="8">
        <v>898</v>
      </c>
      <c r="B900" s="8" t="str">
        <f>"21902020071511403527977"</f>
        <v>21902020071511403527977</v>
      </c>
      <c r="C900" s="8" t="s">
        <v>13</v>
      </c>
      <c r="D900" s="8" t="str">
        <f>"林雪"</f>
        <v>林雪</v>
      </c>
      <c r="E900" s="8" t="str">
        <f>"女"</f>
        <v>女</v>
      </c>
    </row>
    <row r="901" spans="1:5" ht="19.5" customHeight="1">
      <c r="A901" s="8">
        <v>899</v>
      </c>
      <c r="B901" s="8" t="str">
        <f>"21902020071511463927985"</f>
        <v>21902020071511463927985</v>
      </c>
      <c r="C901" s="8" t="s">
        <v>13</v>
      </c>
      <c r="D901" s="8" t="str">
        <f>"符笔海"</f>
        <v>符笔海</v>
      </c>
      <c r="E901" s="8" t="str">
        <f>"男"</f>
        <v>男</v>
      </c>
    </row>
    <row r="902" spans="1:5" ht="19.5" customHeight="1">
      <c r="A902" s="8">
        <v>900</v>
      </c>
      <c r="B902" s="8" t="str">
        <f>"21902020071511533727997"</f>
        <v>21902020071511533727997</v>
      </c>
      <c r="C902" s="8" t="s">
        <v>13</v>
      </c>
      <c r="D902" s="8" t="str">
        <f>"苏小艳"</f>
        <v>苏小艳</v>
      </c>
      <c r="E902" s="8" t="str">
        <f>"女"</f>
        <v>女</v>
      </c>
    </row>
    <row r="903" spans="1:5" ht="19.5" customHeight="1">
      <c r="A903" s="8">
        <v>901</v>
      </c>
      <c r="B903" s="8" t="str">
        <f>"21902020071511554628002"</f>
        <v>21902020071511554628002</v>
      </c>
      <c r="C903" s="8" t="s">
        <v>13</v>
      </c>
      <c r="D903" s="8" t="str">
        <f>"余丽芳"</f>
        <v>余丽芳</v>
      </c>
      <c r="E903" s="8" t="str">
        <f>"女"</f>
        <v>女</v>
      </c>
    </row>
    <row r="904" spans="1:5" ht="19.5" customHeight="1">
      <c r="A904" s="8">
        <v>902</v>
      </c>
      <c r="B904" s="8" t="str">
        <f>"21902020071512085128014"</f>
        <v>21902020071512085128014</v>
      </c>
      <c r="C904" s="8" t="s">
        <v>13</v>
      </c>
      <c r="D904" s="8" t="str">
        <f>"王秀爱"</f>
        <v>王秀爱</v>
      </c>
      <c r="E904" s="8" t="str">
        <f>"女"</f>
        <v>女</v>
      </c>
    </row>
    <row r="905" spans="1:5" ht="19.5" customHeight="1">
      <c r="A905" s="8">
        <v>903</v>
      </c>
      <c r="B905" s="8" t="str">
        <f>"21902020071512092828015"</f>
        <v>21902020071512092828015</v>
      </c>
      <c r="C905" s="8" t="s">
        <v>13</v>
      </c>
      <c r="D905" s="8" t="str">
        <f>"刘美花"</f>
        <v>刘美花</v>
      </c>
      <c r="E905" s="8" t="str">
        <f>"女"</f>
        <v>女</v>
      </c>
    </row>
    <row r="906" spans="1:5" ht="19.5" customHeight="1">
      <c r="A906" s="8">
        <v>904</v>
      </c>
      <c r="B906" s="8" t="str">
        <f>"21902020071512143428020"</f>
        <v>21902020071512143428020</v>
      </c>
      <c r="C906" s="8" t="s">
        <v>13</v>
      </c>
      <c r="D906" s="8" t="str">
        <f>"薛明华"</f>
        <v>薛明华</v>
      </c>
      <c r="E906" s="8" t="str">
        <f>"男"</f>
        <v>男</v>
      </c>
    </row>
    <row r="907" spans="1:5" ht="19.5" customHeight="1">
      <c r="A907" s="8">
        <v>905</v>
      </c>
      <c r="B907" s="8" t="str">
        <f>"21902020071513510228092"</f>
        <v>21902020071513510228092</v>
      </c>
      <c r="C907" s="8" t="s">
        <v>13</v>
      </c>
      <c r="D907" s="8" t="str">
        <f>"王德桃"</f>
        <v>王德桃</v>
      </c>
      <c r="E907" s="8" t="str">
        <f>"女"</f>
        <v>女</v>
      </c>
    </row>
    <row r="908" spans="1:5" ht="19.5" customHeight="1">
      <c r="A908" s="8">
        <v>906</v>
      </c>
      <c r="B908" s="8" t="str">
        <f>"21902020071513584728097"</f>
        <v>21902020071513584728097</v>
      </c>
      <c r="C908" s="8" t="s">
        <v>13</v>
      </c>
      <c r="D908" s="8" t="str">
        <f>"吴有成"</f>
        <v>吴有成</v>
      </c>
      <c r="E908" s="8" t="str">
        <f>"男"</f>
        <v>男</v>
      </c>
    </row>
    <row r="909" spans="1:5" ht="19.5" customHeight="1">
      <c r="A909" s="8">
        <v>907</v>
      </c>
      <c r="B909" s="8" t="str">
        <f>"21902020071514204628114"</f>
        <v>21902020071514204628114</v>
      </c>
      <c r="C909" s="8" t="s">
        <v>13</v>
      </c>
      <c r="D909" s="8" t="str">
        <f>"王尧敏"</f>
        <v>王尧敏</v>
      </c>
      <c r="E909" s="8" t="str">
        <f>"男"</f>
        <v>男</v>
      </c>
    </row>
    <row r="910" spans="1:5" ht="19.5" customHeight="1">
      <c r="A910" s="8">
        <v>908</v>
      </c>
      <c r="B910" s="8" t="str">
        <f>"21902020071515143328163"</f>
        <v>21902020071515143328163</v>
      </c>
      <c r="C910" s="8" t="s">
        <v>13</v>
      </c>
      <c r="D910" s="8" t="str">
        <f>"王彩鹃"</f>
        <v>王彩鹃</v>
      </c>
      <c r="E910" s="8" t="str">
        <f>"女"</f>
        <v>女</v>
      </c>
    </row>
    <row r="911" spans="1:5" ht="19.5" customHeight="1">
      <c r="A911" s="8">
        <v>909</v>
      </c>
      <c r="B911" s="8" t="str">
        <f>"21902020071515363028189"</f>
        <v>21902020071515363028189</v>
      </c>
      <c r="C911" s="8" t="s">
        <v>13</v>
      </c>
      <c r="D911" s="8" t="str">
        <f>"黎肇前"</f>
        <v>黎肇前</v>
      </c>
      <c r="E911" s="8" t="str">
        <f>"男"</f>
        <v>男</v>
      </c>
    </row>
    <row r="912" spans="1:5" ht="19.5" customHeight="1">
      <c r="A912" s="8">
        <v>910</v>
      </c>
      <c r="B912" s="8" t="str">
        <f>"21902020071515401428194"</f>
        <v>21902020071515401428194</v>
      </c>
      <c r="C912" s="8" t="s">
        <v>13</v>
      </c>
      <c r="D912" s="8" t="str">
        <f>"陈佳俏"</f>
        <v>陈佳俏</v>
      </c>
      <c r="E912" s="8" t="str">
        <f>"女"</f>
        <v>女</v>
      </c>
    </row>
    <row r="913" spans="1:5" ht="19.5" customHeight="1">
      <c r="A913" s="8">
        <v>911</v>
      </c>
      <c r="B913" s="8" t="str">
        <f>"21902020071516113628234"</f>
        <v>21902020071516113628234</v>
      </c>
      <c r="C913" s="8" t="s">
        <v>13</v>
      </c>
      <c r="D913" s="8" t="str">
        <f>"李妹琼"</f>
        <v>李妹琼</v>
      </c>
      <c r="E913" s="8" t="str">
        <f>"女"</f>
        <v>女</v>
      </c>
    </row>
    <row r="914" spans="1:5" ht="19.5" customHeight="1">
      <c r="A914" s="8">
        <v>912</v>
      </c>
      <c r="B914" s="8" t="str">
        <f>"21902020071516153128241"</f>
        <v>21902020071516153128241</v>
      </c>
      <c r="C914" s="8" t="s">
        <v>13</v>
      </c>
      <c r="D914" s="8" t="str">
        <f>"周臣"</f>
        <v>周臣</v>
      </c>
      <c r="E914" s="8" t="str">
        <f>"男"</f>
        <v>男</v>
      </c>
    </row>
    <row r="915" spans="1:5" ht="19.5" customHeight="1">
      <c r="A915" s="8">
        <v>913</v>
      </c>
      <c r="B915" s="8" t="str">
        <f>"21902020071516330628257"</f>
        <v>21902020071516330628257</v>
      </c>
      <c r="C915" s="8" t="s">
        <v>13</v>
      </c>
      <c r="D915" s="8" t="str">
        <f>"邓丽丽"</f>
        <v>邓丽丽</v>
      </c>
      <c r="E915" s="8" t="str">
        <f>"女"</f>
        <v>女</v>
      </c>
    </row>
    <row r="916" spans="1:5" ht="19.5" customHeight="1">
      <c r="A916" s="8">
        <v>914</v>
      </c>
      <c r="B916" s="8" t="str">
        <f>"21902020071516331828258"</f>
        <v>21902020071516331828258</v>
      </c>
      <c r="C916" s="8" t="s">
        <v>13</v>
      </c>
      <c r="D916" s="8" t="str">
        <f>"陈伟荣"</f>
        <v>陈伟荣</v>
      </c>
      <c r="E916" s="8" t="str">
        <f>"男"</f>
        <v>男</v>
      </c>
    </row>
    <row r="917" spans="1:5" ht="19.5" customHeight="1">
      <c r="A917" s="8">
        <v>915</v>
      </c>
      <c r="B917" s="8" t="str">
        <f>"21902020071516395728266"</f>
        <v>21902020071516395728266</v>
      </c>
      <c r="C917" s="8" t="s">
        <v>13</v>
      </c>
      <c r="D917" s="8" t="str">
        <f>"张博莲"</f>
        <v>张博莲</v>
      </c>
      <c r="E917" s="8" t="str">
        <f>"女"</f>
        <v>女</v>
      </c>
    </row>
    <row r="918" spans="1:5" ht="19.5" customHeight="1">
      <c r="A918" s="8">
        <v>916</v>
      </c>
      <c r="B918" s="8" t="str">
        <f>"21902020071516411328268"</f>
        <v>21902020071516411328268</v>
      </c>
      <c r="C918" s="8" t="s">
        <v>13</v>
      </c>
      <c r="D918" s="8" t="str">
        <f>"吴应绵"</f>
        <v>吴应绵</v>
      </c>
      <c r="E918" s="8" t="str">
        <f>"男"</f>
        <v>男</v>
      </c>
    </row>
    <row r="919" spans="1:5" ht="19.5" customHeight="1">
      <c r="A919" s="8">
        <v>917</v>
      </c>
      <c r="B919" s="8" t="str">
        <f>"21902020071516454428278"</f>
        <v>21902020071516454428278</v>
      </c>
      <c r="C919" s="8" t="s">
        <v>13</v>
      </c>
      <c r="D919" s="8" t="str">
        <f>"陈方业"</f>
        <v>陈方业</v>
      </c>
      <c r="E919" s="8" t="str">
        <f>"男"</f>
        <v>男</v>
      </c>
    </row>
    <row r="920" spans="1:5" ht="19.5" customHeight="1">
      <c r="A920" s="8">
        <v>918</v>
      </c>
      <c r="B920" s="8" t="str">
        <f>"21902020071516521228282"</f>
        <v>21902020071516521228282</v>
      </c>
      <c r="C920" s="8" t="s">
        <v>13</v>
      </c>
      <c r="D920" s="8" t="str">
        <f>"郭文凯"</f>
        <v>郭文凯</v>
      </c>
      <c r="E920" s="8" t="str">
        <f>"男"</f>
        <v>男</v>
      </c>
    </row>
    <row r="921" spans="1:5" ht="19.5" customHeight="1">
      <c r="A921" s="8">
        <v>919</v>
      </c>
      <c r="B921" s="8" t="str">
        <f>"21902020071516590128290"</f>
        <v>21902020071516590128290</v>
      </c>
      <c r="C921" s="8" t="s">
        <v>13</v>
      </c>
      <c r="D921" s="8" t="str">
        <f>"李丽霞"</f>
        <v>李丽霞</v>
      </c>
      <c r="E921" s="8" t="str">
        <f>"女"</f>
        <v>女</v>
      </c>
    </row>
    <row r="922" spans="1:5" ht="19.5" customHeight="1">
      <c r="A922" s="8">
        <v>920</v>
      </c>
      <c r="B922" s="8" t="str">
        <f>"21902020071517062128302"</f>
        <v>21902020071517062128302</v>
      </c>
      <c r="C922" s="8" t="s">
        <v>13</v>
      </c>
      <c r="D922" s="8" t="str">
        <f>"黄一剑"</f>
        <v>黄一剑</v>
      </c>
      <c r="E922" s="8" t="str">
        <f>"男"</f>
        <v>男</v>
      </c>
    </row>
    <row r="923" spans="1:5" ht="19.5" customHeight="1">
      <c r="A923" s="8">
        <v>921</v>
      </c>
      <c r="B923" s="8" t="str">
        <f>"21902020071517463328343"</f>
        <v>21902020071517463328343</v>
      </c>
      <c r="C923" s="8" t="s">
        <v>13</v>
      </c>
      <c r="D923" s="8" t="str">
        <f>"麦永怀"</f>
        <v>麦永怀</v>
      </c>
      <c r="E923" s="8" t="str">
        <f>"男"</f>
        <v>男</v>
      </c>
    </row>
    <row r="924" spans="1:5" ht="19.5" customHeight="1">
      <c r="A924" s="8">
        <v>922</v>
      </c>
      <c r="B924" s="8" t="str">
        <f>"21902020071517464728344"</f>
        <v>21902020071517464728344</v>
      </c>
      <c r="C924" s="8" t="s">
        <v>13</v>
      </c>
      <c r="D924" s="8" t="str">
        <f>"符策宽"</f>
        <v>符策宽</v>
      </c>
      <c r="E924" s="8" t="str">
        <f>"男"</f>
        <v>男</v>
      </c>
    </row>
    <row r="925" spans="1:5" ht="19.5" customHeight="1">
      <c r="A925" s="8">
        <v>923</v>
      </c>
      <c r="B925" s="8" t="str">
        <f>"21902020071518023428357"</f>
        <v>21902020071518023428357</v>
      </c>
      <c r="C925" s="8" t="s">
        <v>13</v>
      </c>
      <c r="D925" s="8" t="str">
        <f>"杨桂明"</f>
        <v>杨桂明</v>
      </c>
      <c r="E925" s="8" t="str">
        <f>"男"</f>
        <v>男</v>
      </c>
    </row>
    <row r="926" spans="1:5" ht="19.5" customHeight="1">
      <c r="A926" s="8">
        <v>924</v>
      </c>
      <c r="B926" s="8" t="str">
        <f>"21902020071518101828360"</f>
        <v>21902020071518101828360</v>
      </c>
      <c r="C926" s="8" t="s">
        <v>13</v>
      </c>
      <c r="D926" s="8" t="str">
        <f>"刘小泽"</f>
        <v>刘小泽</v>
      </c>
      <c r="E926" s="8" t="str">
        <f>"男"</f>
        <v>男</v>
      </c>
    </row>
    <row r="927" spans="1:5" ht="19.5" customHeight="1">
      <c r="A927" s="8">
        <v>925</v>
      </c>
      <c r="B927" s="8" t="str">
        <f>"21902020071518473328388"</f>
        <v>21902020071518473328388</v>
      </c>
      <c r="C927" s="8" t="s">
        <v>13</v>
      </c>
      <c r="D927" s="8" t="str">
        <f>"王月琼"</f>
        <v>王月琼</v>
      </c>
      <c r="E927" s="8" t="str">
        <f>"女"</f>
        <v>女</v>
      </c>
    </row>
    <row r="928" spans="1:5" ht="19.5" customHeight="1">
      <c r="A928" s="8">
        <v>926</v>
      </c>
      <c r="B928" s="8" t="str">
        <f>"21902020071519000428395"</f>
        <v>21902020071519000428395</v>
      </c>
      <c r="C928" s="8" t="s">
        <v>13</v>
      </c>
      <c r="D928" s="8" t="str">
        <f>"黎国辉"</f>
        <v>黎国辉</v>
      </c>
      <c r="E928" s="8" t="str">
        <f>"男"</f>
        <v>男</v>
      </c>
    </row>
    <row r="929" spans="1:5" ht="19.5" customHeight="1">
      <c r="A929" s="8">
        <v>927</v>
      </c>
      <c r="B929" s="8" t="str">
        <f>"21902020071519141328407"</f>
        <v>21902020071519141328407</v>
      </c>
      <c r="C929" s="8" t="s">
        <v>13</v>
      </c>
      <c r="D929" s="8" t="str">
        <f>"陈汉光"</f>
        <v>陈汉光</v>
      </c>
      <c r="E929" s="8" t="str">
        <f>"男"</f>
        <v>男</v>
      </c>
    </row>
    <row r="930" spans="1:5" ht="19.5" customHeight="1">
      <c r="A930" s="8">
        <v>928</v>
      </c>
      <c r="B930" s="8" t="str">
        <f>"21902020071519555028439"</f>
        <v>21902020071519555028439</v>
      </c>
      <c r="C930" s="8" t="s">
        <v>13</v>
      </c>
      <c r="D930" s="8" t="str">
        <f>"李爱熊"</f>
        <v>李爱熊</v>
      </c>
      <c r="E930" s="8" t="str">
        <f>"女"</f>
        <v>女</v>
      </c>
    </row>
    <row r="931" spans="1:5" ht="19.5" customHeight="1">
      <c r="A931" s="8">
        <v>929</v>
      </c>
      <c r="B931" s="8" t="str">
        <f>"21902020071520244628467"</f>
        <v>21902020071520244628467</v>
      </c>
      <c r="C931" s="8" t="s">
        <v>13</v>
      </c>
      <c r="D931" s="8" t="str">
        <f>"胡绍明"</f>
        <v>胡绍明</v>
      </c>
      <c r="E931" s="8" t="str">
        <f>"男"</f>
        <v>男</v>
      </c>
    </row>
    <row r="932" spans="1:5" ht="19.5" customHeight="1">
      <c r="A932" s="8">
        <v>930</v>
      </c>
      <c r="B932" s="8" t="str">
        <f>"21902020071520444028483"</f>
        <v>21902020071520444028483</v>
      </c>
      <c r="C932" s="8" t="s">
        <v>13</v>
      </c>
      <c r="D932" s="8" t="str">
        <f>"万科军"</f>
        <v>万科军</v>
      </c>
      <c r="E932" s="8" t="str">
        <f>"男"</f>
        <v>男</v>
      </c>
    </row>
    <row r="933" spans="1:5" ht="19.5" customHeight="1">
      <c r="A933" s="8">
        <v>931</v>
      </c>
      <c r="B933" s="8" t="str">
        <f>"21902020071520565828492"</f>
        <v>21902020071520565828492</v>
      </c>
      <c r="C933" s="8" t="s">
        <v>13</v>
      </c>
      <c r="D933" s="8" t="str">
        <f>"赵光亮"</f>
        <v>赵光亮</v>
      </c>
      <c r="E933" s="8" t="str">
        <f>"男"</f>
        <v>男</v>
      </c>
    </row>
    <row r="934" spans="1:5" ht="19.5" customHeight="1">
      <c r="A934" s="8">
        <v>932</v>
      </c>
      <c r="B934" s="8" t="str">
        <f>"21902020071521170828508"</f>
        <v>21902020071521170828508</v>
      </c>
      <c r="C934" s="8" t="s">
        <v>13</v>
      </c>
      <c r="D934" s="8" t="str">
        <f>"黄发玲"</f>
        <v>黄发玲</v>
      </c>
      <c r="E934" s="8" t="str">
        <f>"女"</f>
        <v>女</v>
      </c>
    </row>
    <row r="935" spans="1:5" ht="19.5" customHeight="1">
      <c r="A935" s="8">
        <v>933</v>
      </c>
      <c r="B935" s="8" t="str">
        <f>"21902020071521224628513"</f>
        <v>21902020071521224628513</v>
      </c>
      <c r="C935" s="8" t="s">
        <v>13</v>
      </c>
      <c r="D935" s="8" t="str">
        <f>"杨达新"</f>
        <v>杨达新</v>
      </c>
      <c r="E935" s="8" t="str">
        <f>"男"</f>
        <v>男</v>
      </c>
    </row>
    <row r="936" spans="1:5" ht="19.5" customHeight="1">
      <c r="A936" s="8">
        <v>934</v>
      </c>
      <c r="B936" s="8" t="str">
        <f>"21902020071522064828551"</f>
        <v>21902020071522064828551</v>
      </c>
      <c r="C936" s="8" t="s">
        <v>13</v>
      </c>
      <c r="D936" s="8" t="str">
        <f>"蔡倩妹"</f>
        <v>蔡倩妹</v>
      </c>
      <c r="E936" s="8" t="str">
        <f>"女"</f>
        <v>女</v>
      </c>
    </row>
    <row r="937" spans="1:5" ht="19.5" customHeight="1">
      <c r="A937" s="8">
        <v>935</v>
      </c>
      <c r="B937" s="8" t="str">
        <f>"21902020071522223528569"</f>
        <v>21902020071522223528569</v>
      </c>
      <c r="C937" s="8" t="s">
        <v>13</v>
      </c>
      <c r="D937" s="8" t="str">
        <f>"蔡楠材"</f>
        <v>蔡楠材</v>
      </c>
      <c r="E937" s="8" t="str">
        <f>"男"</f>
        <v>男</v>
      </c>
    </row>
    <row r="938" spans="1:5" ht="19.5" customHeight="1">
      <c r="A938" s="8">
        <v>936</v>
      </c>
      <c r="B938" s="8" t="str">
        <f>"21902020071522261328571"</f>
        <v>21902020071522261328571</v>
      </c>
      <c r="C938" s="8" t="s">
        <v>13</v>
      </c>
      <c r="D938" s="8" t="str">
        <f>"黄承"</f>
        <v>黄承</v>
      </c>
      <c r="E938" s="8" t="str">
        <f>"男"</f>
        <v>男</v>
      </c>
    </row>
    <row r="939" spans="1:5" ht="19.5" customHeight="1">
      <c r="A939" s="8">
        <v>937</v>
      </c>
      <c r="B939" s="8" t="str">
        <f>"21902020071522411628588"</f>
        <v>21902020071522411628588</v>
      </c>
      <c r="C939" s="8" t="s">
        <v>13</v>
      </c>
      <c r="D939" s="8" t="str">
        <f>"李美坤"</f>
        <v>李美坤</v>
      </c>
      <c r="E939" s="8" t="str">
        <f>"女"</f>
        <v>女</v>
      </c>
    </row>
    <row r="940" spans="1:5" ht="19.5" customHeight="1">
      <c r="A940" s="8">
        <v>938</v>
      </c>
      <c r="B940" s="8" t="str">
        <f>"21902020071522461728592"</f>
        <v>21902020071522461728592</v>
      </c>
      <c r="C940" s="8" t="s">
        <v>13</v>
      </c>
      <c r="D940" s="8" t="str">
        <f>"许成干"</f>
        <v>许成干</v>
      </c>
      <c r="E940" s="8" t="str">
        <f>"男"</f>
        <v>男</v>
      </c>
    </row>
    <row r="941" spans="1:5" ht="19.5" customHeight="1">
      <c r="A941" s="8">
        <v>939</v>
      </c>
      <c r="B941" s="8" t="str">
        <f>"21902020071522484428594"</f>
        <v>21902020071522484428594</v>
      </c>
      <c r="C941" s="8" t="s">
        <v>13</v>
      </c>
      <c r="D941" s="8" t="str">
        <f>"吴秀娥"</f>
        <v>吴秀娥</v>
      </c>
      <c r="E941" s="8" t="str">
        <f>"女"</f>
        <v>女</v>
      </c>
    </row>
    <row r="942" spans="1:5" ht="19.5" customHeight="1">
      <c r="A942" s="8">
        <v>940</v>
      </c>
      <c r="B942" s="8" t="str">
        <f>"21902020071522522328595"</f>
        <v>21902020071522522328595</v>
      </c>
      <c r="C942" s="8" t="s">
        <v>13</v>
      </c>
      <c r="D942" s="8" t="str">
        <f>"梁少雷"</f>
        <v>梁少雷</v>
      </c>
      <c r="E942" s="8" t="str">
        <f>"男"</f>
        <v>男</v>
      </c>
    </row>
    <row r="943" spans="1:5" ht="19.5" customHeight="1">
      <c r="A943" s="8">
        <v>941</v>
      </c>
      <c r="B943" s="8" t="str">
        <f>"21902020071522593028599"</f>
        <v>21902020071522593028599</v>
      </c>
      <c r="C943" s="8" t="s">
        <v>13</v>
      </c>
      <c r="D943" s="8" t="str">
        <f>"黎美月"</f>
        <v>黎美月</v>
      </c>
      <c r="E943" s="8" t="str">
        <f>"女"</f>
        <v>女</v>
      </c>
    </row>
    <row r="944" spans="1:5" ht="19.5" customHeight="1">
      <c r="A944" s="8">
        <v>942</v>
      </c>
      <c r="B944" s="8" t="str">
        <f>"21902020071523013028600"</f>
        <v>21902020071523013028600</v>
      </c>
      <c r="C944" s="8" t="s">
        <v>13</v>
      </c>
      <c r="D944" s="8" t="str">
        <f>"简赞泽"</f>
        <v>简赞泽</v>
      </c>
      <c r="E944" s="8" t="str">
        <f>"男"</f>
        <v>男</v>
      </c>
    </row>
    <row r="945" spans="1:5" ht="19.5" customHeight="1">
      <c r="A945" s="8">
        <v>943</v>
      </c>
      <c r="B945" s="8" t="str">
        <f>"21902020071523152828610"</f>
        <v>21902020071523152828610</v>
      </c>
      <c r="C945" s="8" t="s">
        <v>13</v>
      </c>
      <c r="D945" s="8" t="str">
        <f>"杨振文"</f>
        <v>杨振文</v>
      </c>
      <c r="E945" s="8" t="str">
        <f>"男"</f>
        <v>男</v>
      </c>
    </row>
    <row r="946" spans="1:5" ht="19.5" customHeight="1">
      <c r="A946" s="8">
        <v>944</v>
      </c>
      <c r="B946" s="8" t="str">
        <f>"21902020071523213228614"</f>
        <v>21902020071523213228614</v>
      </c>
      <c r="C946" s="8" t="s">
        <v>13</v>
      </c>
      <c r="D946" s="8" t="str">
        <f>"王开明"</f>
        <v>王开明</v>
      </c>
      <c r="E946" s="8" t="str">
        <f>"男"</f>
        <v>男</v>
      </c>
    </row>
    <row r="947" spans="1:5" ht="19.5" customHeight="1">
      <c r="A947" s="8">
        <v>945</v>
      </c>
      <c r="B947" s="8" t="str">
        <f>"21902020071523462628629"</f>
        <v>21902020071523462628629</v>
      </c>
      <c r="C947" s="8" t="s">
        <v>13</v>
      </c>
      <c r="D947" s="8" t="str">
        <f>"王颖"</f>
        <v>王颖</v>
      </c>
      <c r="E947" s="8" t="str">
        <f>"女"</f>
        <v>女</v>
      </c>
    </row>
    <row r="948" spans="1:5" ht="19.5" customHeight="1">
      <c r="A948" s="8">
        <v>946</v>
      </c>
      <c r="B948" s="8" t="str">
        <f>"21902020071523495228633"</f>
        <v>21902020071523495228633</v>
      </c>
      <c r="C948" s="8" t="s">
        <v>13</v>
      </c>
      <c r="D948" s="8" t="str">
        <f>"陈莲美"</f>
        <v>陈莲美</v>
      </c>
      <c r="E948" s="8" t="str">
        <f>"女"</f>
        <v>女</v>
      </c>
    </row>
    <row r="949" spans="1:5" ht="19.5" customHeight="1">
      <c r="A949" s="8">
        <v>947</v>
      </c>
      <c r="B949" s="8" t="str">
        <f>"21902020071523594028638"</f>
        <v>21902020071523594028638</v>
      </c>
      <c r="C949" s="8" t="s">
        <v>13</v>
      </c>
      <c r="D949" s="8" t="str">
        <f>"吴翠桃"</f>
        <v>吴翠桃</v>
      </c>
      <c r="E949" s="8" t="str">
        <f>"女"</f>
        <v>女</v>
      </c>
    </row>
    <row r="950" spans="1:5" ht="19.5" customHeight="1">
      <c r="A950" s="8">
        <v>948</v>
      </c>
      <c r="B950" s="8" t="str">
        <f>"21902020071600072928642"</f>
        <v>21902020071600072928642</v>
      </c>
      <c r="C950" s="8" t="s">
        <v>13</v>
      </c>
      <c r="D950" s="8" t="str">
        <f>"陈才驹"</f>
        <v>陈才驹</v>
      </c>
      <c r="E950" s="8" t="str">
        <f>"男"</f>
        <v>男</v>
      </c>
    </row>
    <row r="951" spans="1:5" ht="19.5" customHeight="1">
      <c r="A951" s="8">
        <v>949</v>
      </c>
      <c r="B951" s="8" t="str">
        <f>"21902020071600232628647"</f>
        <v>21902020071600232628647</v>
      </c>
      <c r="C951" s="8" t="s">
        <v>13</v>
      </c>
      <c r="D951" s="8" t="str">
        <f>"陈丽"</f>
        <v>陈丽</v>
      </c>
      <c r="E951" s="8" t="str">
        <f>"女"</f>
        <v>女</v>
      </c>
    </row>
    <row r="952" spans="1:5" ht="19.5" customHeight="1">
      <c r="A952" s="8">
        <v>950</v>
      </c>
      <c r="B952" s="8" t="str">
        <f>"21902020071602493328664"</f>
        <v>21902020071602493328664</v>
      </c>
      <c r="C952" s="8" t="s">
        <v>13</v>
      </c>
      <c r="D952" s="8" t="str">
        <f>"蔡倩"</f>
        <v>蔡倩</v>
      </c>
      <c r="E952" s="8" t="str">
        <f>"女"</f>
        <v>女</v>
      </c>
    </row>
    <row r="953" spans="1:5" ht="19.5" customHeight="1">
      <c r="A953" s="8">
        <v>951</v>
      </c>
      <c r="B953" s="8" t="str">
        <f>"21902020071608254528679"</f>
        <v>21902020071608254528679</v>
      </c>
      <c r="C953" s="8" t="s">
        <v>13</v>
      </c>
      <c r="D953" s="8" t="str">
        <f>"吴家纲"</f>
        <v>吴家纲</v>
      </c>
      <c r="E953" s="8" t="str">
        <f>"男"</f>
        <v>男</v>
      </c>
    </row>
    <row r="954" spans="1:5" ht="19.5" customHeight="1">
      <c r="A954" s="8">
        <v>952</v>
      </c>
      <c r="B954" s="8" t="str">
        <f>"21902020071609135228711"</f>
        <v>21902020071609135228711</v>
      </c>
      <c r="C954" s="8" t="s">
        <v>13</v>
      </c>
      <c r="D954" s="8" t="str">
        <f>"吴艳萍"</f>
        <v>吴艳萍</v>
      </c>
      <c r="E954" s="8" t="str">
        <f>"女"</f>
        <v>女</v>
      </c>
    </row>
    <row r="955" spans="1:5" ht="19.5" customHeight="1">
      <c r="A955" s="8">
        <v>953</v>
      </c>
      <c r="B955" s="8" t="str">
        <f>"21902020071609161028715"</f>
        <v>21902020071609161028715</v>
      </c>
      <c r="C955" s="8" t="s">
        <v>13</v>
      </c>
      <c r="D955" s="8" t="str">
        <f>"冼家萍"</f>
        <v>冼家萍</v>
      </c>
      <c r="E955" s="8" t="str">
        <f>"女"</f>
        <v>女</v>
      </c>
    </row>
    <row r="956" spans="1:5" ht="19.5" customHeight="1">
      <c r="A956" s="8">
        <v>954</v>
      </c>
      <c r="B956" s="8" t="str">
        <f>"21902020071610322828775"</f>
        <v>21902020071610322828775</v>
      </c>
      <c r="C956" s="8" t="s">
        <v>13</v>
      </c>
      <c r="D956" s="8" t="str">
        <f>"蔡沾华"</f>
        <v>蔡沾华</v>
      </c>
      <c r="E956" s="8" t="str">
        <f>"男"</f>
        <v>男</v>
      </c>
    </row>
    <row r="957" spans="1:5" ht="19.5" customHeight="1">
      <c r="A957" s="8">
        <v>955</v>
      </c>
      <c r="B957" s="8" t="str">
        <f>"21902020071610355528778"</f>
        <v>21902020071610355528778</v>
      </c>
      <c r="C957" s="8" t="s">
        <v>13</v>
      </c>
      <c r="D957" s="8" t="str">
        <f>"杨秀坚 "</f>
        <v>杨秀坚 </v>
      </c>
      <c r="E957" s="8" t="str">
        <f>"男"</f>
        <v>男</v>
      </c>
    </row>
    <row r="958" spans="1:5" ht="19.5" customHeight="1">
      <c r="A958" s="8">
        <v>956</v>
      </c>
      <c r="B958" s="8" t="str">
        <f>"21902020071610404028785"</f>
        <v>21902020071610404028785</v>
      </c>
      <c r="C958" s="8" t="s">
        <v>13</v>
      </c>
      <c r="D958" s="8" t="str">
        <f>"陈尚椿"</f>
        <v>陈尚椿</v>
      </c>
      <c r="E958" s="8" t="str">
        <f>"女"</f>
        <v>女</v>
      </c>
    </row>
    <row r="959" spans="1:5" ht="19.5" customHeight="1">
      <c r="A959" s="8">
        <v>957</v>
      </c>
      <c r="B959" s="8" t="str">
        <f>"21902020071610512028793"</f>
        <v>21902020071610512028793</v>
      </c>
      <c r="C959" s="8" t="s">
        <v>13</v>
      </c>
      <c r="D959" s="8" t="str">
        <f>"王博"</f>
        <v>王博</v>
      </c>
      <c r="E959" s="8" t="str">
        <f>"男"</f>
        <v>男</v>
      </c>
    </row>
    <row r="960" spans="1:5" ht="19.5" customHeight="1">
      <c r="A960" s="8">
        <v>958</v>
      </c>
      <c r="B960" s="8" t="str">
        <f>"21902020071610524028796"</f>
        <v>21902020071610524028796</v>
      </c>
      <c r="C960" s="8" t="s">
        <v>13</v>
      </c>
      <c r="D960" s="8" t="str">
        <f>"薛本蕃"</f>
        <v>薛本蕃</v>
      </c>
      <c r="E960" s="8" t="str">
        <f>"男"</f>
        <v>男</v>
      </c>
    </row>
    <row r="961" spans="1:5" ht="19.5" customHeight="1">
      <c r="A961" s="8">
        <v>959</v>
      </c>
      <c r="B961" s="8" t="str">
        <f>"21902020071610572228800"</f>
        <v>21902020071610572228800</v>
      </c>
      <c r="C961" s="8" t="s">
        <v>13</v>
      </c>
      <c r="D961" s="8" t="str">
        <f>"符国文"</f>
        <v>符国文</v>
      </c>
      <c r="E961" s="8" t="str">
        <f>"男"</f>
        <v>男</v>
      </c>
    </row>
    <row r="962" spans="1:5" ht="19.5" customHeight="1">
      <c r="A962" s="8">
        <v>960</v>
      </c>
      <c r="B962" s="8" t="str">
        <f>"21902020071610595528804"</f>
        <v>21902020071610595528804</v>
      </c>
      <c r="C962" s="8" t="s">
        <v>13</v>
      </c>
      <c r="D962" s="8" t="str">
        <f>"李秀玲"</f>
        <v>李秀玲</v>
      </c>
      <c r="E962" s="8" t="str">
        <f>"女"</f>
        <v>女</v>
      </c>
    </row>
    <row r="963" spans="1:5" ht="19.5" customHeight="1">
      <c r="A963" s="8">
        <v>961</v>
      </c>
      <c r="B963" s="8" t="str">
        <f>"21902020071611144428822"</f>
        <v>21902020071611144428822</v>
      </c>
      <c r="C963" s="8" t="s">
        <v>13</v>
      </c>
      <c r="D963" s="8" t="str">
        <f>"谭智伟"</f>
        <v>谭智伟</v>
      </c>
      <c r="E963" s="8" t="str">
        <f>"男"</f>
        <v>男</v>
      </c>
    </row>
    <row r="964" spans="1:5" ht="19.5" customHeight="1">
      <c r="A964" s="8">
        <v>962</v>
      </c>
      <c r="B964" s="8" t="str">
        <f>"21902020071611213428834"</f>
        <v>21902020071611213428834</v>
      </c>
      <c r="C964" s="8" t="s">
        <v>13</v>
      </c>
      <c r="D964" s="8" t="str">
        <f>"张发球"</f>
        <v>张发球</v>
      </c>
      <c r="E964" s="8" t="str">
        <f>"男"</f>
        <v>男</v>
      </c>
    </row>
    <row r="965" spans="1:5" ht="19.5" customHeight="1">
      <c r="A965" s="8">
        <v>963</v>
      </c>
      <c r="B965" s="8" t="str">
        <f>"21902020071611242328835"</f>
        <v>21902020071611242328835</v>
      </c>
      <c r="C965" s="8" t="s">
        <v>13</v>
      </c>
      <c r="D965" s="8" t="str">
        <f>"王月英"</f>
        <v>王月英</v>
      </c>
      <c r="E965" s="8" t="str">
        <f>"女"</f>
        <v>女</v>
      </c>
    </row>
    <row r="966" spans="1:5" ht="19.5" customHeight="1">
      <c r="A966" s="8">
        <v>964</v>
      </c>
      <c r="B966" s="8" t="str">
        <f>"21902020071611531628860"</f>
        <v>21902020071611531628860</v>
      </c>
      <c r="C966" s="8" t="s">
        <v>13</v>
      </c>
      <c r="D966" s="8" t="str">
        <f>"符莉莉"</f>
        <v>符莉莉</v>
      </c>
      <c r="E966" s="8" t="str">
        <f>"女"</f>
        <v>女</v>
      </c>
    </row>
    <row r="967" spans="1:5" ht="19.5" customHeight="1">
      <c r="A967" s="8">
        <v>965</v>
      </c>
      <c r="B967" s="8" t="str">
        <f>"21902020071611593628868"</f>
        <v>21902020071611593628868</v>
      </c>
      <c r="C967" s="8" t="s">
        <v>13</v>
      </c>
      <c r="D967" s="8" t="str">
        <f>"孙国伟"</f>
        <v>孙国伟</v>
      </c>
      <c r="E967" s="8" t="str">
        <f>"男"</f>
        <v>男</v>
      </c>
    </row>
    <row r="968" spans="1:5" ht="19.5" customHeight="1">
      <c r="A968" s="8">
        <v>966</v>
      </c>
      <c r="B968" s="8" t="str">
        <f>"21902020071612274428881"</f>
        <v>21902020071612274428881</v>
      </c>
      <c r="C968" s="8" t="s">
        <v>13</v>
      </c>
      <c r="D968" s="8" t="str">
        <f>"陈沐娟"</f>
        <v>陈沐娟</v>
      </c>
      <c r="E968" s="8" t="str">
        <f>"女"</f>
        <v>女</v>
      </c>
    </row>
    <row r="969" spans="1:5" ht="19.5" customHeight="1">
      <c r="A969" s="8">
        <v>967</v>
      </c>
      <c r="B969" s="8" t="str">
        <f>"21902020071613135428914"</f>
        <v>21902020071613135428914</v>
      </c>
      <c r="C969" s="8" t="s">
        <v>13</v>
      </c>
      <c r="D969" s="8" t="str">
        <f>"薛妹妹"</f>
        <v>薛妹妹</v>
      </c>
      <c r="E969" s="8" t="str">
        <f>"女"</f>
        <v>女</v>
      </c>
    </row>
    <row r="970" spans="1:5" ht="19.5" customHeight="1">
      <c r="A970" s="8">
        <v>968</v>
      </c>
      <c r="B970" s="8" t="str">
        <f>"21902020071613243428920"</f>
        <v>21902020071613243428920</v>
      </c>
      <c r="C970" s="8" t="s">
        <v>13</v>
      </c>
      <c r="D970" s="8" t="str">
        <f>"吴维妃"</f>
        <v>吴维妃</v>
      </c>
      <c r="E970" s="8" t="str">
        <f>"女"</f>
        <v>女</v>
      </c>
    </row>
    <row r="971" spans="1:5" ht="19.5" customHeight="1">
      <c r="A971" s="8">
        <v>969</v>
      </c>
      <c r="B971" s="8" t="str">
        <f>"21902020071614265028944"</f>
        <v>21902020071614265028944</v>
      </c>
      <c r="C971" s="8" t="s">
        <v>13</v>
      </c>
      <c r="D971" s="8" t="str">
        <f>"李永梅"</f>
        <v>李永梅</v>
      </c>
      <c r="E971" s="8" t="str">
        <f>"女"</f>
        <v>女</v>
      </c>
    </row>
    <row r="972" spans="1:5" ht="19.5" customHeight="1">
      <c r="A972" s="8">
        <v>970</v>
      </c>
      <c r="B972" s="8" t="str">
        <f>"21902020071614582728964"</f>
        <v>21902020071614582728964</v>
      </c>
      <c r="C972" s="8" t="s">
        <v>13</v>
      </c>
      <c r="D972" s="8" t="str">
        <f>"黎日爱"</f>
        <v>黎日爱</v>
      </c>
      <c r="E972" s="8" t="str">
        <f>"女"</f>
        <v>女</v>
      </c>
    </row>
    <row r="973" spans="1:5" ht="19.5" customHeight="1">
      <c r="A973" s="8">
        <v>971</v>
      </c>
      <c r="B973" s="8" t="str">
        <f>"21902020071615041028971"</f>
        <v>21902020071615041028971</v>
      </c>
      <c r="C973" s="8" t="s">
        <v>13</v>
      </c>
      <c r="D973" s="8" t="str">
        <f>"张登佳"</f>
        <v>张登佳</v>
      </c>
      <c r="E973" s="8" t="str">
        <f>"男"</f>
        <v>男</v>
      </c>
    </row>
    <row r="974" spans="1:5" ht="19.5" customHeight="1">
      <c r="A974" s="8">
        <v>972</v>
      </c>
      <c r="B974" s="8" t="str">
        <f>"21902020071615094328978"</f>
        <v>21902020071615094328978</v>
      </c>
      <c r="C974" s="8" t="s">
        <v>13</v>
      </c>
      <c r="D974" s="8" t="str">
        <f>"王美女"</f>
        <v>王美女</v>
      </c>
      <c r="E974" s="8" t="str">
        <f>"女"</f>
        <v>女</v>
      </c>
    </row>
    <row r="975" spans="1:5" ht="19.5" customHeight="1">
      <c r="A975" s="8">
        <v>973</v>
      </c>
      <c r="B975" s="8" t="str">
        <f>"21902020071615403829009"</f>
        <v>21902020071615403829009</v>
      </c>
      <c r="C975" s="8" t="s">
        <v>13</v>
      </c>
      <c r="D975" s="8" t="str">
        <f>"杨壮仁"</f>
        <v>杨壮仁</v>
      </c>
      <c r="E975" s="8" t="str">
        <f>"男"</f>
        <v>男</v>
      </c>
    </row>
    <row r="976" spans="1:5" ht="19.5" customHeight="1">
      <c r="A976" s="8">
        <v>974</v>
      </c>
      <c r="B976" s="8" t="str">
        <f>"21902020071615411929010"</f>
        <v>21902020071615411929010</v>
      </c>
      <c r="C976" s="8" t="s">
        <v>13</v>
      </c>
      <c r="D976" s="8" t="str">
        <f>"陈俊霖"</f>
        <v>陈俊霖</v>
      </c>
      <c r="E976" s="8" t="str">
        <f>"男"</f>
        <v>男</v>
      </c>
    </row>
    <row r="977" spans="1:5" ht="19.5" customHeight="1">
      <c r="A977" s="8">
        <v>975</v>
      </c>
      <c r="B977" s="8" t="str">
        <f>"21902020071615482629019"</f>
        <v>21902020071615482629019</v>
      </c>
      <c r="C977" s="8" t="s">
        <v>13</v>
      </c>
      <c r="D977" s="8" t="str">
        <f>"董君连"</f>
        <v>董君连</v>
      </c>
      <c r="E977" s="8" t="str">
        <f>"女"</f>
        <v>女</v>
      </c>
    </row>
    <row r="978" spans="1:5" ht="19.5" customHeight="1">
      <c r="A978" s="8">
        <v>976</v>
      </c>
      <c r="B978" s="8" t="str">
        <f>"21902020071615524729024"</f>
        <v>21902020071615524729024</v>
      </c>
      <c r="C978" s="8" t="s">
        <v>13</v>
      </c>
      <c r="D978" s="8" t="str">
        <f>"羊宝明"</f>
        <v>羊宝明</v>
      </c>
      <c r="E978" s="8" t="str">
        <f>"男"</f>
        <v>男</v>
      </c>
    </row>
    <row r="979" spans="1:5" ht="19.5" customHeight="1">
      <c r="A979" s="8">
        <v>977</v>
      </c>
      <c r="B979" s="8" t="str">
        <f>"21902020071616585129085"</f>
        <v>21902020071616585129085</v>
      </c>
      <c r="C979" s="8" t="s">
        <v>13</v>
      </c>
      <c r="D979" s="8" t="str">
        <f>"薛婆媛"</f>
        <v>薛婆媛</v>
      </c>
      <c r="E979" s="8" t="str">
        <f>"女"</f>
        <v>女</v>
      </c>
    </row>
    <row r="980" spans="1:5" ht="19.5" customHeight="1">
      <c r="A980" s="8">
        <v>978</v>
      </c>
      <c r="B980" s="8" t="str">
        <f>"21902020071617143529094"</f>
        <v>21902020071617143529094</v>
      </c>
      <c r="C980" s="8" t="s">
        <v>13</v>
      </c>
      <c r="D980" s="8" t="str">
        <f>"刘江延"</f>
        <v>刘江延</v>
      </c>
      <c r="E980" s="8" t="str">
        <f>"男"</f>
        <v>男</v>
      </c>
    </row>
    <row r="981" spans="1:5" ht="19.5" customHeight="1">
      <c r="A981" s="8">
        <v>979</v>
      </c>
      <c r="B981" s="8" t="str">
        <f>"21902020071617181629100"</f>
        <v>21902020071617181629100</v>
      </c>
      <c r="C981" s="8" t="s">
        <v>13</v>
      </c>
      <c r="D981" s="8" t="str">
        <f>"曾文德"</f>
        <v>曾文德</v>
      </c>
      <c r="E981" s="8" t="str">
        <f>"男"</f>
        <v>男</v>
      </c>
    </row>
    <row r="982" spans="1:5" ht="19.5" customHeight="1">
      <c r="A982" s="8">
        <v>980</v>
      </c>
      <c r="B982" s="8" t="str">
        <f>"21902020071617250429104"</f>
        <v>21902020071617250429104</v>
      </c>
      <c r="C982" s="8" t="s">
        <v>13</v>
      </c>
      <c r="D982" s="8" t="str">
        <f>"邓莉莉"</f>
        <v>邓莉莉</v>
      </c>
      <c r="E982" s="8" t="str">
        <f>"女"</f>
        <v>女</v>
      </c>
    </row>
    <row r="983" spans="1:5" ht="19.5" customHeight="1">
      <c r="A983" s="8">
        <v>981</v>
      </c>
      <c r="B983" s="8" t="str">
        <f>"21902020071617400029119"</f>
        <v>21902020071617400029119</v>
      </c>
      <c r="C983" s="8" t="s">
        <v>13</v>
      </c>
      <c r="D983" s="8" t="str">
        <f>"赵开贤"</f>
        <v>赵开贤</v>
      </c>
      <c r="E983" s="8" t="str">
        <f>"男"</f>
        <v>男</v>
      </c>
    </row>
    <row r="984" spans="1:5" ht="19.5" customHeight="1">
      <c r="A984" s="8">
        <v>982</v>
      </c>
      <c r="B984" s="8" t="str">
        <f>"21902020071617424829120"</f>
        <v>21902020071617424829120</v>
      </c>
      <c r="C984" s="8" t="s">
        <v>13</v>
      </c>
      <c r="D984" s="8" t="str">
        <f>"何爱花"</f>
        <v>何爱花</v>
      </c>
      <c r="E984" s="8" t="str">
        <f>"女"</f>
        <v>女</v>
      </c>
    </row>
    <row r="985" spans="1:5" ht="19.5" customHeight="1">
      <c r="A985" s="8">
        <v>983</v>
      </c>
      <c r="B985" s="8" t="str">
        <f>"21902020071618144329135"</f>
        <v>21902020071618144329135</v>
      </c>
      <c r="C985" s="8" t="s">
        <v>13</v>
      </c>
      <c r="D985" s="8" t="str">
        <f>"李万海"</f>
        <v>李万海</v>
      </c>
      <c r="E985" s="8" t="str">
        <f>"男"</f>
        <v>男</v>
      </c>
    </row>
    <row r="986" spans="1:5" ht="19.5" customHeight="1">
      <c r="A986" s="8">
        <v>984</v>
      </c>
      <c r="B986" s="8" t="str">
        <f>"21902020071619500329179"</f>
        <v>21902020071619500329179</v>
      </c>
      <c r="C986" s="8" t="s">
        <v>13</v>
      </c>
      <c r="D986" s="8" t="str">
        <f>"曾焕齐"</f>
        <v>曾焕齐</v>
      </c>
      <c r="E986" s="8" t="str">
        <f>"男"</f>
        <v>男</v>
      </c>
    </row>
    <row r="987" spans="1:5" ht="19.5" customHeight="1">
      <c r="A987" s="8">
        <v>985</v>
      </c>
      <c r="B987" s="8" t="str">
        <f>"21902020071620173529195"</f>
        <v>21902020071620173529195</v>
      </c>
      <c r="C987" s="8" t="s">
        <v>13</v>
      </c>
      <c r="D987" s="8" t="str">
        <f>"陈善亮"</f>
        <v>陈善亮</v>
      </c>
      <c r="E987" s="8" t="str">
        <f>"女"</f>
        <v>女</v>
      </c>
    </row>
    <row r="988" spans="1:5" ht="19.5" customHeight="1">
      <c r="A988" s="8">
        <v>986</v>
      </c>
      <c r="B988" s="8" t="str">
        <f>"21902020071620403229205"</f>
        <v>21902020071620403229205</v>
      </c>
      <c r="C988" s="8" t="s">
        <v>13</v>
      </c>
      <c r="D988" s="8" t="str">
        <f>"陈秀珍"</f>
        <v>陈秀珍</v>
      </c>
      <c r="E988" s="8" t="str">
        <f>"女"</f>
        <v>女</v>
      </c>
    </row>
    <row r="989" spans="1:5" ht="19.5" customHeight="1">
      <c r="A989" s="8">
        <v>987</v>
      </c>
      <c r="B989" s="8" t="str">
        <f>"21902020071620535429211"</f>
        <v>21902020071620535429211</v>
      </c>
      <c r="C989" s="8" t="s">
        <v>13</v>
      </c>
      <c r="D989" s="8" t="str">
        <f>"杨土美"</f>
        <v>杨土美</v>
      </c>
      <c r="E989" s="8" t="str">
        <f>"女"</f>
        <v>女</v>
      </c>
    </row>
    <row r="990" spans="1:5" ht="19.5" customHeight="1">
      <c r="A990" s="8">
        <v>988</v>
      </c>
      <c r="B990" s="8" t="str">
        <f>"21902020071621050429217"</f>
        <v>21902020071621050429217</v>
      </c>
      <c r="C990" s="8" t="s">
        <v>13</v>
      </c>
      <c r="D990" s="8" t="str">
        <f>"柯令春"</f>
        <v>柯令春</v>
      </c>
      <c r="E990" s="8" t="str">
        <f>"男"</f>
        <v>男</v>
      </c>
    </row>
    <row r="991" spans="1:5" ht="19.5" customHeight="1">
      <c r="A991" s="8">
        <v>989</v>
      </c>
      <c r="B991" s="8" t="str">
        <f>"21902020071621150629226"</f>
        <v>21902020071621150629226</v>
      </c>
      <c r="C991" s="8" t="s">
        <v>13</v>
      </c>
      <c r="D991" s="8" t="str">
        <f>"李娜"</f>
        <v>李娜</v>
      </c>
      <c r="E991" s="8" t="str">
        <f>"女"</f>
        <v>女</v>
      </c>
    </row>
    <row r="992" spans="1:5" ht="19.5" customHeight="1">
      <c r="A992" s="8">
        <v>990</v>
      </c>
      <c r="B992" s="8" t="str">
        <f>"21902020071621350429232"</f>
        <v>21902020071621350429232</v>
      </c>
      <c r="C992" s="8" t="s">
        <v>13</v>
      </c>
      <c r="D992" s="8" t="str">
        <f>"李春林"</f>
        <v>李春林</v>
      </c>
      <c r="E992" s="8" t="str">
        <f>"男"</f>
        <v>男</v>
      </c>
    </row>
    <row r="993" spans="1:5" ht="19.5" customHeight="1">
      <c r="A993" s="8">
        <v>991</v>
      </c>
      <c r="B993" s="8" t="str">
        <f>"21902020071621424329236"</f>
        <v>21902020071621424329236</v>
      </c>
      <c r="C993" s="8" t="s">
        <v>13</v>
      </c>
      <c r="D993" s="8" t="str">
        <f>"陈月美"</f>
        <v>陈月美</v>
      </c>
      <c r="E993" s="8" t="str">
        <f>"女"</f>
        <v>女</v>
      </c>
    </row>
    <row r="994" spans="1:5" ht="19.5" customHeight="1">
      <c r="A994" s="8">
        <v>992</v>
      </c>
      <c r="B994" s="8" t="str">
        <f>"21902020071622091329247"</f>
        <v>21902020071622091329247</v>
      </c>
      <c r="C994" s="8" t="s">
        <v>13</v>
      </c>
      <c r="D994" s="8" t="str">
        <f>"李榜科"</f>
        <v>李榜科</v>
      </c>
      <c r="E994" s="8" t="str">
        <f>"男"</f>
        <v>男</v>
      </c>
    </row>
    <row r="995" spans="1:5" ht="19.5" customHeight="1">
      <c r="A995" s="8">
        <v>993</v>
      </c>
      <c r="B995" s="8" t="str">
        <f>"21902020071622224029258"</f>
        <v>21902020071622224029258</v>
      </c>
      <c r="C995" s="8" t="s">
        <v>13</v>
      </c>
      <c r="D995" s="8" t="str">
        <f>"王世家"</f>
        <v>王世家</v>
      </c>
      <c r="E995" s="8" t="str">
        <f>"男"</f>
        <v>男</v>
      </c>
    </row>
    <row r="996" spans="1:5" ht="19.5" customHeight="1">
      <c r="A996" s="8">
        <v>994</v>
      </c>
      <c r="B996" s="8" t="str">
        <f>"21902020071623053629284"</f>
        <v>21902020071623053629284</v>
      </c>
      <c r="C996" s="8" t="s">
        <v>13</v>
      </c>
      <c r="D996" s="8" t="str">
        <f>"梁银娟"</f>
        <v>梁银娟</v>
      </c>
      <c r="E996" s="8" t="str">
        <f>"女"</f>
        <v>女</v>
      </c>
    </row>
    <row r="997" spans="1:5" ht="19.5" customHeight="1">
      <c r="A997" s="8">
        <v>995</v>
      </c>
      <c r="B997" s="8" t="str">
        <f>"21902020071701285029311"</f>
        <v>21902020071701285029311</v>
      </c>
      <c r="C997" s="8" t="s">
        <v>13</v>
      </c>
      <c r="D997" s="8" t="str">
        <f>"符应军"</f>
        <v>符应军</v>
      </c>
      <c r="E997" s="8" t="str">
        <f>"男"</f>
        <v>男</v>
      </c>
    </row>
    <row r="998" spans="1:5" ht="19.5" customHeight="1">
      <c r="A998" s="8">
        <v>996</v>
      </c>
      <c r="B998" s="8" t="str">
        <f>"21902020071702523129315"</f>
        <v>21902020071702523129315</v>
      </c>
      <c r="C998" s="8" t="s">
        <v>13</v>
      </c>
      <c r="D998" s="8" t="str">
        <f>"黎维良"</f>
        <v>黎维良</v>
      </c>
      <c r="E998" s="8" t="str">
        <f>"男"</f>
        <v>男</v>
      </c>
    </row>
    <row r="999" spans="1:5" ht="19.5" customHeight="1">
      <c r="A999" s="8">
        <v>997</v>
      </c>
      <c r="B999" s="8" t="str">
        <f>"21902020071707421729320"</f>
        <v>21902020071707421729320</v>
      </c>
      <c r="C999" s="8" t="s">
        <v>13</v>
      </c>
      <c r="D999" s="8" t="str">
        <f>"何以文"</f>
        <v>何以文</v>
      </c>
      <c r="E999" s="8" t="str">
        <f>"男"</f>
        <v>男</v>
      </c>
    </row>
    <row r="1000" spans="1:5" ht="19.5" customHeight="1">
      <c r="A1000" s="8">
        <v>998</v>
      </c>
      <c r="B1000" s="8" t="str">
        <f>"21902020071708154129326"</f>
        <v>21902020071708154129326</v>
      </c>
      <c r="C1000" s="8" t="s">
        <v>13</v>
      </c>
      <c r="D1000" s="8" t="str">
        <f>"叶丽霞"</f>
        <v>叶丽霞</v>
      </c>
      <c r="E1000" s="8" t="str">
        <f>"女"</f>
        <v>女</v>
      </c>
    </row>
    <row r="1001" spans="1:5" ht="19.5" customHeight="1">
      <c r="A1001" s="8">
        <v>999</v>
      </c>
      <c r="B1001" s="8" t="str">
        <f>"21902020071708333029333"</f>
        <v>21902020071708333029333</v>
      </c>
      <c r="C1001" s="8" t="s">
        <v>13</v>
      </c>
      <c r="D1001" s="8" t="str">
        <f>"陈志悦"</f>
        <v>陈志悦</v>
      </c>
      <c r="E1001" s="8" t="str">
        <f>"男"</f>
        <v>男</v>
      </c>
    </row>
    <row r="1002" spans="1:5" ht="19.5" customHeight="1">
      <c r="A1002" s="8">
        <v>1000</v>
      </c>
      <c r="B1002" s="8" t="str">
        <f>"21902020071709220629364"</f>
        <v>21902020071709220629364</v>
      </c>
      <c r="C1002" s="8" t="s">
        <v>13</v>
      </c>
      <c r="D1002" s="8" t="str">
        <f>"王彩丹"</f>
        <v>王彩丹</v>
      </c>
      <c r="E1002" s="8" t="str">
        <f>"女"</f>
        <v>女</v>
      </c>
    </row>
    <row r="1003" spans="1:5" ht="19.5" customHeight="1">
      <c r="A1003" s="8">
        <v>1001</v>
      </c>
      <c r="B1003" s="8" t="str">
        <f>"21902020071710165329402"</f>
        <v>21902020071710165329402</v>
      </c>
      <c r="C1003" s="8" t="s">
        <v>13</v>
      </c>
      <c r="D1003" s="8" t="str">
        <f>"邓丽丽"</f>
        <v>邓丽丽</v>
      </c>
      <c r="E1003" s="8" t="str">
        <f>"女"</f>
        <v>女</v>
      </c>
    </row>
    <row r="1004" spans="1:5" ht="19.5" customHeight="1">
      <c r="A1004" s="8">
        <v>1002</v>
      </c>
      <c r="B1004" s="8" t="str">
        <f>"21902020071711040529436"</f>
        <v>21902020071711040529436</v>
      </c>
      <c r="C1004" s="8" t="s">
        <v>13</v>
      </c>
      <c r="D1004" s="8" t="str">
        <f>"唐喜康"</f>
        <v>唐喜康</v>
      </c>
      <c r="E1004" s="8" t="str">
        <f aca="true" t="shared" si="117" ref="E1004:E1009">"男"</f>
        <v>男</v>
      </c>
    </row>
    <row r="1005" spans="1:5" ht="19.5" customHeight="1">
      <c r="A1005" s="8">
        <v>1003</v>
      </c>
      <c r="B1005" s="8" t="str">
        <f>"21902020071711481429470"</f>
        <v>21902020071711481429470</v>
      </c>
      <c r="C1005" s="8" t="s">
        <v>13</v>
      </c>
      <c r="D1005" s="8" t="str">
        <f>"孙贤杰"</f>
        <v>孙贤杰</v>
      </c>
      <c r="E1005" s="8" t="str">
        <f t="shared" si="117"/>
        <v>男</v>
      </c>
    </row>
    <row r="1006" spans="1:5" ht="19.5" customHeight="1">
      <c r="A1006" s="8">
        <v>1004</v>
      </c>
      <c r="B1006" s="8" t="str">
        <f>"21902020071711584529481"</f>
        <v>21902020071711584529481</v>
      </c>
      <c r="C1006" s="8" t="s">
        <v>13</v>
      </c>
      <c r="D1006" s="8" t="str">
        <f>"李冠敏"</f>
        <v>李冠敏</v>
      </c>
      <c r="E1006" s="8" t="str">
        <f t="shared" si="117"/>
        <v>男</v>
      </c>
    </row>
    <row r="1007" spans="1:5" ht="19.5" customHeight="1">
      <c r="A1007" s="8">
        <v>1005</v>
      </c>
      <c r="B1007" s="8" t="str">
        <f>"21902020071711591029482"</f>
        <v>21902020071711591029482</v>
      </c>
      <c r="C1007" s="8" t="s">
        <v>13</v>
      </c>
      <c r="D1007" s="8" t="str">
        <f>"杨鸿嘉"</f>
        <v>杨鸿嘉</v>
      </c>
      <c r="E1007" s="8" t="str">
        <f t="shared" si="117"/>
        <v>男</v>
      </c>
    </row>
    <row r="1008" spans="1:5" ht="19.5" customHeight="1">
      <c r="A1008" s="8">
        <v>1006</v>
      </c>
      <c r="B1008" s="8" t="str">
        <f>"21902020071713294629527"</f>
        <v>21902020071713294629527</v>
      </c>
      <c r="C1008" s="8" t="s">
        <v>13</v>
      </c>
      <c r="D1008" s="8" t="str">
        <f>"王应明"</f>
        <v>王应明</v>
      </c>
      <c r="E1008" s="8" t="str">
        <f t="shared" si="117"/>
        <v>男</v>
      </c>
    </row>
    <row r="1009" spans="1:5" ht="19.5" customHeight="1">
      <c r="A1009" s="8">
        <v>1007</v>
      </c>
      <c r="B1009" s="8" t="str">
        <f>"21902020071713362629529"</f>
        <v>21902020071713362629529</v>
      </c>
      <c r="C1009" s="8" t="s">
        <v>13</v>
      </c>
      <c r="D1009" s="8" t="str">
        <f>"苏敏文"</f>
        <v>苏敏文</v>
      </c>
      <c r="E1009" s="8" t="str">
        <f t="shared" si="117"/>
        <v>男</v>
      </c>
    </row>
    <row r="1010" spans="1:5" ht="19.5" customHeight="1">
      <c r="A1010" s="8">
        <v>1008</v>
      </c>
      <c r="B1010" s="8" t="str">
        <f>"21902020071714230929546"</f>
        <v>21902020071714230929546</v>
      </c>
      <c r="C1010" s="8" t="s">
        <v>13</v>
      </c>
      <c r="D1010" s="8" t="str">
        <f>"郑胜芸"</f>
        <v>郑胜芸</v>
      </c>
      <c r="E1010" s="8" t="str">
        <f>"女"</f>
        <v>女</v>
      </c>
    </row>
    <row r="1011" spans="1:5" ht="19.5" customHeight="1">
      <c r="A1011" s="8">
        <v>1009</v>
      </c>
      <c r="B1011" s="8" t="str">
        <f>"21902020071715084629577"</f>
        <v>21902020071715084629577</v>
      </c>
      <c r="C1011" s="8" t="s">
        <v>13</v>
      </c>
      <c r="D1011" s="8" t="str">
        <f>"陈文选"</f>
        <v>陈文选</v>
      </c>
      <c r="E1011" s="8" t="str">
        <f>"男"</f>
        <v>男</v>
      </c>
    </row>
    <row r="1012" spans="1:5" ht="19.5" customHeight="1">
      <c r="A1012" s="8">
        <v>1010</v>
      </c>
      <c r="B1012" s="8" t="str">
        <f>"21902020071715193529585"</f>
        <v>21902020071715193529585</v>
      </c>
      <c r="C1012" s="8" t="s">
        <v>13</v>
      </c>
      <c r="D1012" s="8" t="str">
        <f>"秦霞"</f>
        <v>秦霞</v>
      </c>
      <c r="E1012" s="8" t="str">
        <f>"女"</f>
        <v>女</v>
      </c>
    </row>
    <row r="1013" spans="1:5" ht="19.5" customHeight="1">
      <c r="A1013" s="8">
        <v>1011</v>
      </c>
      <c r="B1013" s="8" t="str">
        <f>"21902020071716115829623"</f>
        <v>21902020071716115829623</v>
      </c>
      <c r="C1013" s="8" t="s">
        <v>13</v>
      </c>
      <c r="D1013" s="8" t="str">
        <f>"王美珍"</f>
        <v>王美珍</v>
      </c>
      <c r="E1013" s="8" t="str">
        <f>"女"</f>
        <v>女</v>
      </c>
    </row>
    <row r="1014" spans="1:5" ht="19.5" customHeight="1">
      <c r="A1014" s="8">
        <v>1012</v>
      </c>
      <c r="B1014" s="8" t="str">
        <f>"21902020071716210529635"</f>
        <v>21902020071716210529635</v>
      </c>
      <c r="C1014" s="8" t="s">
        <v>13</v>
      </c>
      <c r="D1014" s="8" t="str">
        <f>"刘信倪"</f>
        <v>刘信倪</v>
      </c>
      <c r="E1014" s="8" t="str">
        <f>"女"</f>
        <v>女</v>
      </c>
    </row>
    <row r="1015" spans="1:5" ht="19.5" customHeight="1">
      <c r="A1015" s="8">
        <v>1013</v>
      </c>
      <c r="B1015" s="8" t="str">
        <f>"21902020071716363629649"</f>
        <v>21902020071716363629649</v>
      </c>
      <c r="C1015" s="8" t="s">
        <v>13</v>
      </c>
      <c r="D1015" s="8" t="str">
        <f>"苏春丽"</f>
        <v>苏春丽</v>
      </c>
      <c r="E1015" s="8" t="str">
        <f>"女"</f>
        <v>女</v>
      </c>
    </row>
    <row r="1016" spans="1:5" ht="19.5" customHeight="1">
      <c r="A1016" s="8">
        <v>1014</v>
      </c>
      <c r="B1016" s="8" t="str">
        <f>"21902020071716481429651"</f>
        <v>21902020071716481429651</v>
      </c>
      <c r="C1016" s="8" t="s">
        <v>13</v>
      </c>
      <c r="D1016" s="8" t="str">
        <f>"黄刚"</f>
        <v>黄刚</v>
      </c>
      <c r="E1016" s="8" t="str">
        <f>"男"</f>
        <v>男</v>
      </c>
    </row>
    <row r="1017" spans="1:5" ht="19.5" customHeight="1">
      <c r="A1017" s="8">
        <v>1015</v>
      </c>
      <c r="B1017" s="8" t="str">
        <f>"21902020071717441229683"</f>
        <v>21902020071717441229683</v>
      </c>
      <c r="C1017" s="8" t="s">
        <v>13</v>
      </c>
      <c r="D1017" s="8" t="str">
        <f>"苏三优"</f>
        <v>苏三优</v>
      </c>
      <c r="E1017" s="8" t="str">
        <f>"男"</f>
        <v>男</v>
      </c>
    </row>
    <row r="1018" spans="1:5" ht="19.5" customHeight="1">
      <c r="A1018" s="8">
        <v>1016</v>
      </c>
      <c r="B1018" s="8" t="str">
        <f>"21902020071717543429692"</f>
        <v>21902020071717543429692</v>
      </c>
      <c r="C1018" s="8" t="s">
        <v>13</v>
      </c>
      <c r="D1018" s="8" t="str">
        <f>"余秀庆"</f>
        <v>余秀庆</v>
      </c>
      <c r="E1018" s="8" t="str">
        <f>"女"</f>
        <v>女</v>
      </c>
    </row>
    <row r="1019" spans="1:5" ht="19.5" customHeight="1">
      <c r="A1019" s="8">
        <v>1017</v>
      </c>
      <c r="B1019" s="8" t="str">
        <f>"21902020071721043129745"</f>
        <v>21902020071721043129745</v>
      </c>
      <c r="C1019" s="8" t="s">
        <v>13</v>
      </c>
      <c r="D1019" s="8" t="str">
        <f>"郑祖家"</f>
        <v>郑祖家</v>
      </c>
      <c r="E1019" s="8" t="str">
        <f>"男"</f>
        <v>男</v>
      </c>
    </row>
    <row r="1020" spans="1:5" ht="19.5" customHeight="1">
      <c r="A1020" s="8">
        <v>1018</v>
      </c>
      <c r="B1020" s="8" t="str">
        <f>"21902020071721220529751"</f>
        <v>21902020071721220529751</v>
      </c>
      <c r="C1020" s="8" t="s">
        <v>13</v>
      </c>
      <c r="D1020" s="8" t="str">
        <f>"吴秀芳"</f>
        <v>吴秀芳</v>
      </c>
      <c r="E1020" s="8" t="str">
        <f>"女"</f>
        <v>女</v>
      </c>
    </row>
    <row r="1021" spans="1:5" ht="19.5" customHeight="1">
      <c r="A1021" s="8">
        <v>1019</v>
      </c>
      <c r="B1021" s="8" t="str">
        <f>"21902020071721292629754"</f>
        <v>21902020071721292629754</v>
      </c>
      <c r="C1021" s="8" t="s">
        <v>13</v>
      </c>
      <c r="D1021" s="8" t="str">
        <f>"朱金辉"</f>
        <v>朱金辉</v>
      </c>
      <c r="E1021" s="8" t="str">
        <f>"男"</f>
        <v>男</v>
      </c>
    </row>
    <row r="1022" spans="1:5" ht="19.5" customHeight="1">
      <c r="A1022" s="8">
        <v>1020</v>
      </c>
      <c r="B1022" s="8" t="str">
        <f>"21902020071721324729755"</f>
        <v>21902020071721324729755</v>
      </c>
      <c r="C1022" s="8" t="s">
        <v>13</v>
      </c>
      <c r="D1022" s="8" t="str">
        <f>"薛玲玲"</f>
        <v>薛玲玲</v>
      </c>
      <c r="E1022" s="8" t="str">
        <f>"女"</f>
        <v>女</v>
      </c>
    </row>
    <row r="1023" spans="1:5" ht="19.5" customHeight="1">
      <c r="A1023" s="8">
        <v>1021</v>
      </c>
      <c r="B1023" s="8" t="str">
        <f>"21902020071722124729776"</f>
        <v>21902020071722124729776</v>
      </c>
      <c r="C1023" s="8" t="s">
        <v>13</v>
      </c>
      <c r="D1023" s="8" t="str">
        <f>"张卓雄"</f>
        <v>张卓雄</v>
      </c>
      <c r="E1023" s="8" t="str">
        <f>"男"</f>
        <v>男</v>
      </c>
    </row>
    <row r="1024" spans="1:5" ht="19.5" customHeight="1">
      <c r="A1024" s="8">
        <v>1022</v>
      </c>
      <c r="B1024" s="8" t="str">
        <f>"21902020071722213929779"</f>
        <v>21902020071722213929779</v>
      </c>
      <c r="C1024" s="8" t="s">
        <v>13</v>
      </c>
      <c r="D1024" s="8" t="str">
        <f>"黎景茂"</f>
        <v>黎景茂</v>
      </c>
      <c r="E1024" s="8" t="str">
        <f>"男"</f>
        <v>男</v>
      </c>
    </row>
    <row r="1025" spans="1:5" ht="19.5" customHeight="1">
      <c r="A1025" s="8">
        <v>1023</v>
      </c>
      <c r="B1025" s="8" t="str">
        <f>"21902020071722411929785"</f>
        <v>21902020071722411929785</v>
      </c>
      <c r="C1025" s="8" t="s">
        <v>13</v>
      </c>
      <c r="D1025" s="8" t="str">
        <f>"李庆多"</f>
        <v>李庆多</v>
      </c>
      <c r="E1025" s="8" t="str">
        <f>"男"</f>
        <v>男</v>
      </c>
    </row>
    <row r="1026" spans="1:5" ht="19.5" customHeight="1">
      <c r="A1026" s="8">
        <v>1024</v>
      </c>
      <c r="B1026" s="8" t="str">
        <f>"21902020071800344329802"</f>
        <v>21902020071800344329802</v>
      </c>
      <c r="C1026" s="8" t="s">
        <v>13</v>
      </c>
      <c r="D1026" s="8" t="str">
        <f>"王发广"</f>
        <v>王发广</v>
      </c>
      <c r="E1026" s="8" t="str">
        <f>"男"</f>
        <v>男</v>
      </c>
    </row>
    <row r="1027" spans="1:5" ht="19.5" customHeight="1">
      <c r="A1027" s="8">
        <v>1025</v>
      </c>
      <c r="B1027" s="8" t="str">
        <f>"21902020071809283129823"</f>
        <v>21902020071809283129823</v>
      </c>
      <c r="C1027" s="8" t="s">
        <v>13</v>
      </c>
      <c r="D1027" s="8" t="str">
        <f>"汪爱香"</f>
        <v>汪爱香</v>
      </c>
      <c r="E1027" s="8" t="str">
        <f>"女"</f>
        <v>女</v>
      </c>
    </row>
    <row r="1028" spans="1:5" ht="19.5" customHeight="1">
      <c r="A1028" s="8">
        <v>1026</v>
      </c>
      <c r="B1028" s="8" t="str">
        <f>"21902020071810305529846"</f>
        <v>21902020071810305529846</v>
      </c>
      <c r="C1028" s="8" t="s">
        <v>13</v>
      </c>
      <c r="D1028" s="8" t="str">
        <f>"李学行"</f>
        <v>李学行</v>
      </c>
      <c r="E1028" s="8" t="str">
        <f>"男"</f>
        <v>男</v>
      </c>
    </row>
    <row r="1029" spans="1:5" ht="19.5" customHeight="1">
      <c r="A1029" s="8">
        <v>1027</v>
      </c>
      <c r="B1029" s="8" t="str">
        <f>"21902020071810575429860"</f>
        <v>21902020071810575429860</v>
      </c>
      <c r="C1029" s="8" t="s">
        <v>13</v>
      </c>
      <c r="D1029" s="8" t="str">
        <f>"薛桃秋"</f>
        <v>薛桃秋</v>
      </c>
      <c r="E1029" s="8" t="str">
        <f>"女"</f>
        <v>女</v>
      </c>
    </row>
    <row r="1030" spans="1:5" ht="19.5" customHeight="1">
      <c r="A1030" s="8">
        <v>1028</v>
      </c>
      <c r="B1030" s="8" t="str">
        <f>"21902020071811165229869"</f>
        <v>21902020071811165229869</v>
      </c>
      <c r="C1030" s="8" t="s">
        <v>13</v>
      </c>
      <c r="D1030" s="8" t="str">
        <f>"蔡楠贞"</f>
        <v>蔡楠贞</v>
      </c>
      <c r="E1030" s="8" t="str">
        <f>"男"</f>
        <v>男</v>
      </c>
    </row>
    <row r="1031" spans="1:5" ht="19.5" customHeight="1">
      <c r="A1031" s="8">
        <v>1029</v>
      </c>
      <c r="B1031" s="8" t="str">
        <f>"21902020071812345329893"</f>
        <v>21902020071812345329893</v>
      </c>
      <c r="C1031" s="8" t="s">
        <v>13</v>
      </c>
      <c r="D1031" s="8" t="str">
        <f>"吕英秀"</f>
        <v>吕英秀</v>
      </c>
      <c r="E1031" s="8" t="str">
        <f>"女"</f>
        <v>女</v>
      </c>
    </row>
    <row r="1032" spans="1:5" ht="19.5" customHeight="1">
      <c r="A1032" s="8">
        <v>1030</v>
      </c>
      <c r="B1032" s="8" t="str">
        <f>"21902020071813031329902"</f>
        <v>21902020071813031329902</v>
      </c>
      <c r="C1032" s="8" t="s">
        <v>13</v>
      </c>
      <c r="D1032" s="8" t="str">
        <f>"黎丽交"</f>
        <v>黎丽交</v>
      </c>
      <c r="E1032" s="8" t="str">
        <f>"女"</f>
        <v>女</v>
      </c>
    </row>
    <row r="1033" spans="1:5" ht="19.5" customHeight="1">
      <c r="A1033" s="8">
        <v>1031</v>
      </c>
      <c r="B1033" s="8" t="str">
        <f>"21902020071813095629908"</f>
        <v>21902020071813095629908</v>
      </c>
      <c r="C1033" s="8" t="s">
        <v>13</v>
      </c>
      <c r="D1033" s="8" t="str">
        <f>"潘莹莹"</f>
        <v>潘莹莹</v>
      </c>
      <c r="E1033" s="8" t="str">
        <f>"女"</f>
        <v>女</v>
      </c>
    </row>
    <row r="1034" spans="1:5" ht="19.5" customHeight="1">
      <c r="A1034" s="8">
        <v>1032</v>
      </c>
      <c r="B1034" s="8" t="str">
        <f>"21902020071815320229949"</f>
        <v>21902020071815320229949</v>
      </c>
      <c r="C1034" s="8" t="s">
        <v>13</v>
      </c>
      <c r="D1034" s="8" t="str">
        <f>"钟华健"</f>
        <v>钟华健</v>
      </c>
      <c r="E1034" s="8" t="str">
        <f>"男"</f>
        <v>男</v>
      </c>
    </row>
    <row r="1035" spans="1:5" ht="19.5" customHeight="1">
      <c r="A1035" s="8">
        <v>1033</v>
      </c>
      <c r="B1035" s="8" t="str">
        <f>"21902020071815541929961"</f>
        <v>21902020071815541929961</v>
      </c>
      <c r="C1035" s="8" t="s">
        <v>13</v>
      </c>
      <c r="D1035" s="8" t="str">
        <f>"陈婷"</f>
        <v>陈婷</v>
      </c>
      <c r="E1035" s="8" t="str">
        <f>"女"</f>
        <v>女</v>
      </c>
    </row>
    <row r="1036" spans="1:5" ht="19.5" customHeight="1">
      <c r="A1036" s="8">
        <v>1034</v>
      </c>
      <c r="B1036" s="8" t="str">
        <f>"21902020071818194629995"</f>
        <v>21902020071818194629995</v>
      </c>
      <c r="C1036" s="8" t="s">
        <v>13</v>
      </c>
      <c r="D1036" s="8" t="str">
        <f>"万祖成"</f>
        <v>万祖成</v>
      </c>
      <c r="E1036" s="8" t="str">
        <f>"男"</f>
        <v>男</v>
      </c>
    </row>
    <row r="1037" spans="1:5" ht="19.5" customHeight="1">
      <c r="A1037" s="8">
        <v>1035</v>
      </c>
      <c r="B1037" s="8" t="str">
        <f>"21902020071818330629999"</f>
        <v>21902020071818330629999</v>
      </c>
      <c r="C1037" s="8" t="s">
        <v>13</v>
      </c>
      <c r="D1037" s="8" t="str">
        <f>"董壮霞"</f>
        <v>董壮霞</v>
      </c>
      <c r="E1037" s="8" t="str">
        <f>"女"</f>
        <v>女</v>
      </c>
    </row>
    <row r="1038" spans="1:5" ht="19.5" customHeight="1">
      <c r="A1038" s="8">
        <v>1036</v>
      </c>
      <c r="B1038" s="8" t="str">
        <f>"21902020071819333530016"</f>
        <v>21902020071819333530016</v>
      </c>
      <c r="C1038" s="8" t="s">
        <v>13</v>
      </c>
      <c r="D1038" s="8" t="str">
        <f>"王启进"</f>
        <v>王启进</v>
      </c>
      <c r="E1038" s="8" t="str">
        <f>"男"</f>
        <v>男</v>
      </c>
    </row>
    <row r="1039" spans="1:5" ht="19.5" customHeight="1">
      <c r="A1039" s="8">
        <v>1037</v>
      </c>
      <c r="B1039" s="8" t="str">
        <f>"21902020071819563430023"</f>
        <v>21902020071819563430023</v>
      </c>
      <c r="C1039" s="8" t="s">
        <v>13</v>
      </c>
      <c r="D1039" s="8" t="str">
        <f>"张宏祥"</f>
        <v>张宏祥</v>
      </c>
      <c r="E1039" s="8" t="str">
        <f>"男"</f>
        <v>男</v>
      </c>
    </row>
    <row r="1040" spans="1:5" ht="19.5" customHeight="1">
      <c r="A1040" s="8">
        <v>1038</v>
      </c>
      <c r="B1040" s="8" t="str">
        <f>"21902020071820120330030"</f>
        <v>21902020071820120330030</v>
      </c>
      <c r="C1040" s="8" t="s">
        <v>13</v>
      </c>
      <c r="D1040" s="8" t="str">
        <f>"李如锦"</f>
        <v>李如锦</v>
      </c>
      <c r="E1040" s="8" t="str">
        <f>"男"</f>
        <v>男</v>
      </c>
    </row>
    <row r="1041" spans="1:5" ht="19.5" customHeight="1">
      <c r="A1041" s="8">
        <v>1039</v>
      </c>
      <c r="B1041" s="8" t="str">
        <f>"21902020071821443330053"</f>
        <v>21902020071821443330053</v>
      </c>
      <c r="C1041" s="8" t="s">
        <v>13</v>
      </c>
      <c r="D1041" s="8" t="str">
        <f>"郑进让"</f>
        <v>郑进让</v>
      </c>
      <c r="E1041" s="8" t="str">
        <f>"男"</f>
        <v>男</v>
      </c>
    </row>
    <row r="1042" spans="1:5" ht="19.5" customHeight="1">
      <c r="A1042" s="8">
        <v>1040</v>
      </c>
      <c r="B1042" s="8" t="str">
        <f>"21902020071821524930055"</f>
        <v>21902020071821524930055</v>
      </c>
      <c r="C1042" s="8" t="s">
        <v>13</v>
      </c>
      <c r="D1042" s="8" t="str">
        <f>"符定欢"</f>
        <v>符定欢</v>
      </c>
      <c r="E1042" s="8" t="str">
        <f>"女"</f>
        <v>女</v>
      </c>
    </row>
    <row r="1043" spans="1:5" ht="19.5" customHeight="1">
      <c r="A1043" s="8">
        <v>1041</v>
      </c>
      <c r="B1043" s="8" t="str">
        <f>"21902020071901390530086"</f>
        <v>21902020071901390530086</v>
      </c>
      <c r="C1043" s="8" t="s">
        <v>13</v>
      </c>
      <c r="D1043" s="8" t="str">
        <f>"谢庆梅"</f>
        <v>谢庆梅</v>
      </c>
      <c r="E1043" s="8" t="str">
        <f>"女"</f>
        <v>女</v>
      </c>
    </row>
    <row r="1044" spans="1:5" ht="19.5" customHeight="1">
      <c r="A1044" s="8">
        <v>1042</v>
      </c>
      <c r="B1044" s="8" t="str">
        <f>"21902020071909123130098"</f>
        <v>21902020071909123130098</v>
      </c>
      <c r="C1044" s="8" t="s">
        <v>13</v>
      </c>
      <c r="D1044" s="8" t="str">
        <f>"刘就业"</f>
        <v>刘就业</v>
      </c>
      <c r="E1044" s="8" t="str">
        <f>"男"</f>
        <v>男</v>
      </c>
    </row>
    <row r="1045" spans="1:5" ht="19.5" customHeight="1">
      <c r="A1045" s="8">
        <v>1043</v>
      </c>
      <c r="B1045" s="8" t="str">
        <f>"21902020071909260330100"</f>
        <v>21902020071909260330100</v>
      </c>
      <c r="C1045" s="8" t="s">
        <v>13</v>
      </c>
      <c r="D1045" s="8" t="str">
        <f>"王石香"</f>
        <v>王石香</v>
      </c>
      <c r="E1045" s="8" t="str">
        <f>"女"</f>
        <v>女</v>
      </c>
    </row>
    <row r="1046" spans="1:5" ht="19.5" customHeight="1">
      <c r="A1046" s="8">
        <v>1044</v>
      </c>
      <c r="B1046" s="8" t="str">
        <f>"21902020071911094730133"</f>
        <v>21902020071911094730133</v>
      </c>
      <c r="C1046" s="8" t="s">
        <v>13</v>
      </c>
      <c r="D1046" s="8" t="str">
        <f>"赵法钦"</f>
        <v>赵法钦</v>
      </c>
      <c r="E1046" s="8" t="str">
        <f>"男"</f>
        <v>男</v>
      </c>
    </row>
    <row r="1047" spans="1:5" ht="19.5" customHeight="1">
      <c r="A1047" s="8">
        <v>1045</v>
      </c>
      <c r="B1047" s="8" t="str">
        <f>"21902020071911225630139"</f>
        <v>21902020071911225630139</v>
      </c>
      <c r="C1047" s="8" t="s">
        <v>13</v>
      </c>
      <c r="D1047" s="8" t="str">
        <f>"陈丽萍"</f>
        <v>陈丽萍</v>
      </c>
      <c r="E1047" s="8" t="str">
        <f>"女"</f>
        <v>女</v>
      </c>
    </row>
    <row r="1048" spans="1:5" ht="19.5" customHeight="1">
      <c r="A1048" s="8">
        <v>1046</v>
      </c>
      <c r="B1048" s="8" t="str">
        <f>"21902020071911361530143"</f>
        <v>21902020071911361530143</v>
      </c>
      <c r="C1048" s="8" t="s">
        <v>13</v>
      </c>
      <c r="D1048" s="8" t="str">
        <f>"刘静翠"</f>
        <v>刘静翠</v>
      </c>
      <c r="E1048" s="8" t="str">
        <f>"女"</f>
        <v>女</v>
      </c>
    </row>
    <row r="1049" spans="1:5" ht="19.5" customHeight="1">
      <c r="A1049" s="8">
        <v>1047</v>
      </c>
      <c r="B1049" s="8" t="str">
        <f>"21902020071913091830182"</f>
        <v>21902020071913091830182</v>
      </c>
      <c r="C1049" s="8" t="s">
        <v>13</v>
      </c>
      <c r="D1049" s="8" t="str">
        <f>"林敏"</f>
        <v>林敏</v>
      </c>
      <c r="E1049" s="8" t="str">
        <f>"男"</f>
        <v>男</v>
      </c>
    </row>
    <row r="1050" spans="1:5" ht="19.5" customHeight="1">
      <c r="A1050" s="8">
        <v>1048</v>
      </c>
      <c r="B1050" s="8" t="str">
        <f>"21902020071916065330241"</f>
        <v>21902020071916065330241</v>
      </c>
      <c r="C1050" s="8" t="s">
        <v>13</v>
      </c>
      <c r="D1050" s="8" t="str">
        <f>"符发侬"</f>
        <v>符发侬</v>
      </c>
      <c r="E1050" s="8" t="str">
        <f>"男"</f>
        <v>男</v>
      </c>
    </row>
    <row r="1051" spans="1:5" ht="19.5" customHeight="1">
      <c r="A1051" s="8">
        <v>1049</v>
      </c>
      <c r="B1051" s="8" t="str">
        <f>"21902020071916165630246"</f>
        <v>21902020071916165630246</v>
      </c>
      <c r="C1051" s="8" t="s">
        <v>13</v>
      </c>
      <c r="D1051" s="8" t="str">
        <f>"吕石联"</f>
        <v>吕石联</v>
      </c>
      <c r="E1051" s="8" t="str">
        <f>"女"</f>
        <v>女</v>
      </c>
    </row>
    <row r="1052" spans="1:5" ht="19.5" customHeight="1">
      <c r="A1052" s="8">
        <v>1050</v>
      </c>
      <c r="B1052" s="8" t="str">
        <f>"21902020071916263930251"</f>
        <v>21902020071916263930251</v>
      </c>
      <c r="C1052" s="8" t="s">
        <v>13</v>
      </c>
      <c r="D1052" s="8" t="str">
        <f>"杨学华"</f>
        <v>杨学华</v>
      </c>
      <c r="E1052" s="8" t="str">
        <f>"男"</f>
        <v>男</v>
      </c>
    </row>
    <row r="1053" spans="1:5" ht="19.5" customHeight="1">
      <c r="A1053" s="8">
        <v>1051</v>
      </c>
      <c r="B1053" s="8" t="str">
        <f>"21902020071916455030257"</f>
        <v>21902020071916455030257</v>
      </c>
      <c r="C1053" s="8" t="s">
        <v>13</v>
      </c>
      <c r="D1053" s="8" t="str">
        <f>"吴日全"</f>
        <v>吴日全</v>
      </c>
      <c r="E1053" s="8" t="str">
        <f>"男"</f>
        <v>男</v>
      </c>
    </row>
    <row r="1054" spans="1:5" ht="19.5" customHeight="1">
      <c r="A1054" s="8">
        <v>1052</v>
      </c>
      <c r="B1054" s="8" t="str">
        <f>"21902020071917331230280"</f>
        <v>21902020071917331230280</v>
      </c>
      <c r="C1054" s="8" t="s">
        <v>13</v>
      </c>
      <c r="D1054" s="8" t="str">
        <f>"李多祚"</f>
        <v>李多祚</v>
      </c>
      <c r="E1054" s="8" t="str">
        <f>"男"</f>
        <v>男</v>
      </c>
    </row>
    <row r="1055" spans="1:5" ht="19.5" customHeight="1">
      <c r="A1055" s="8">
        <v>1053</v>
      </c>
      <c r="B1055" s="8" t="str">
        <f>"21902020071918072930288"</f>
        <v>21902020071918072930288</v>
      </c>
      <c r="C1055" s="8" t="s">
        <v>13</v>
      </c>
      <c r="D1055" s="8" t="str">
        <f>"符汉伟"</f>
        <v>符汉伟</v>
      </c>
      <c r="E1055" s="8" t="str">
        <f>"男"</f>
        <v>男</v>
      </c>
    </row>
    <row r="1056" spans="1:5" ht="19.5" customHeight="1">
      <c r="A1056" s="8">
        <v>1054</v>
      </c>
      <c r="B1056" s="8" t="str">
        <f>"21902020071918220930299"</f>
        <v>21902020071918220930299</v>
      </c>
      <c r="C1056" s="8" t="s">
        <v>13</v>
      </c>
      <c r="D1056" s="8" t="str">
        <f>"吴月妹"</f>
        <v>吴月妹</v>
      </c>
      <c r="E1056" s="8" t="str">
        <f>"女"</f>
        <v>女</v>
      </c>
    </row>
    <row r="1057" spans="1:5" ht="19.5" customHeight="1">
      <c r="A1057" s="8">
        <v>1055</v>
      </c>
      <c r="B1057" s="8" t="str">
        <f>"21902020071919561030318"</f>
        <v>21902020071919561030318</v>
      </c>
      <c r="C1057" s="8" t="s">
        <v>13</v>
      </c>
      <c r="D1057" s="8" t="str">
        <f>"符有金"</f>
        <v>符有金</v>
      </c>
      <c r="E1057" s="8" t="str">
        <f>"男"</f>
        <v>男</v>
      </c>
    </row>
    <row r="1058" spans="1:5" ht="19.5" customHeight="1">
      <c r="A1058" s="8">
        <v>1056</v>
      </c>
      <c r="B1058" s="8" t="str">
        <f>"21902020071920070730323"</f>
        <v>21902020071920070730323</v>
      </c>
      <c r="C1058" s="8" t="s">
        <v>13</v>
      </c>
      <c r="D1058" s="8" t="str">
        <f>"王博学"</f>
        <v>王博学</v>
      </c>
      <c r="E1058" s="8" t="str">
        <f>"男"</f>
        <v>男</v>
      </c>
    </row>
    <row r="1059" spans="1:5" ht="19.5" customHeight="1">
      <c r="A1059" s="8">
        <v>1057</v>
      </c>
      <c r="B1059" s="8" t="str">
        <f>"21902020071920423530332"</f>
        <v>21902020071920423530332</v>
      </c>
      <c r="C1059" s="8" t="s">
        <v>13</v>
      </c>
      <c r="D1059" s="8" t="str">
        <f>"李锦瑞"</f>
        <v>李锦瑞</v>
      </c>
      <c r="E1059" s="8" t="str">
        <f>"男"</f>
        <v>男</v>
      </c>
    </row>
    <row r="1060" spans="1:5" ht="19.5" customHeight="1">
      <c r="A1060" s="8">
        <v>1058</v>
      </c>
      <c r="B1060" s="8" t="str">
        <f>"21902020071922140430366"</f>
        <v>21902020071922140430366</v>
      </c>
      <c r="C1060" s="8" t="s">
        <v>13</v>
      </c>
      <c r="D1060" s="8" t="str">
        <f>"梁如金"</f>
        <v>梁如金</v>
      </c>
      <c r="E1060" s="8" t="str">
        <f>"男"</f>
        <v>男</v>
      </c>
    </row>
    <row r="1061" spans="1:5" ht="19.5" customHeight="1">
      <c r="A1061" s="8">
        <v>1059</v>
      </c>
      <c r="B1061" s="8" t="str">
        <f>"21902020071922195930368"</f>
        <v>21902020071922195930368</v>
      </c>
      <c r="C1061" s="8" t="s">
        <v>13</v>
      </c>
      <c r="D1061" s="8" t="str">
        <f>"陈丽玲"</f>
        <v>陈丽玲</v>
      </c>
      <c r="E1061" s="8" t="str">
        <f>"女"</f>
        <v>女</v>
      </c>
    </row>
    <row r="1062" spans="1:5" ht="19.5" customHeight="1">
      <c r="A1062" s="8">
        <v>1060</v>
      </c>
      <c r="B1062" s="8" t="str">
        <f>"21902020071923124830391"</f>
        <v>21902020071923124830391</v>
      </c>
      <c r="C1062" s="8" t="s">
        <v>13</v>
      </c>
      <c r="D1062" s="8" t="str">
        <f>"何应蕊"</f>
        <v>何应蕊</v>
      </c>
      <c r="E1062" s="8" t="str">
        <f>"女"</f>
        <v>女</v>
      </c>
    </row>
    <row r="1063" spans="1:5" ht="19.5" customHeight="1">
      <c r="A1063" s="8">
        <v>1061</v>
      </c>
      <c r="B1063" s="8" t="str">
        <f>"21902020072007583130428"</f>
        <v>21902020072007583130428</v>
      </c>
      <c r="C1063" s="8" t="s">
        <v>13</v>
      </c>
      <c r="D1063" s="8" t="str">
        <f>"王木秀"</f>
        <v>王木秀</v>
      </c>
      <c r="E1063" s="8" t="str">
        <f>"女"</f>
        <v>女</v>
      </c>
    </row>
    <row r="1064" spans="1:5" ht="19.5" customHeight="1">
      <c r="A1064" s="8">
        <v>1062</v>
      </c>
      <c r="B1064" s="8" t="str">
        <f>"21902020072009034430454"</f>
        <v>21902020072009034430454</v>
      </c>
      <c r="C1064" s="8" t="s">
        <v>13</v>
      </c>
      <c r="D1064" s="8" t="str">
        <f>"王之月"</f>
        <v>王之月</v>
      </c>
      <c r="E1064" s="8" t="str">
        <f>"女"</f>
        <v>女</v>
      </c>
    </row>
    <row r="1065" spans="1:5" ht="19.5" customHeight="1">
      <c r="A1065" s="8">
        <v>1063</v>
      </c>
      <c r="B1065" s="8" t="str">
        <f>"21902020072009465430498"</f>
        <v>21902020072009465430498</v>
      </c>
      <c r="C1065" s="8" t="s">
        <v>13</v>
      </c>
      <c r="D1065" s="8" t="str">
        <f>"王明彩"</f>
        <v>王明彩</v>
      </c>
      <c r="E1065" s="8" t="str">
        <f>"女"</f>
        <v>女</v>
      </c>
    </row>
    <row r="1066" spans="1:5" ht="19.5" customHeight="1">
      <c r="A1066" s="8">
        <v>1064</v>
      </c>
      <c r="B1066" s="8" t="str">
        <f>"21902020072009523330502"</f>
        <v>21902020072009523330502</v>
      </c>
      <c r="C1066" s="8" t="s">
        <v>13</v>
      </c>
      <c r="D1066" s="8" t="str">
        <f>"钟旭"</f>
        <v>钟旭</v>
      </c>
      <c r="E1066" s="8" t="str">
        <f>"男"</f>
        <v>男</v>
      </c>
    </row>
    <row r="1067" spans="1:5" ht="19.5" customHeight="1">
      <c r="A1067" s="8">
        <v>1065</v>
      </c>
      <c r="B1067" s="8" t="str">
        <f>"21902020072010430030535"</f>
        <v>21902020072010430030535</v>
      </c>
      <c r="C1067" s="8" t="s">
        <v>13</v>
      </c>
      <c r="D1067" s="8" t="str">
        <f>"万宁"</f>
        <v>万宁</v>
      </c>
      <c r="E1067" s="8" t="str">
        <f>"男"</f>
        <v>男</v>
      </c>
    </row>
    <row r="1068" spans="1:5" ht="19.5" customHeight="1">
      <c r="A1068" s="8">
        <v>1066</v>
      </c>
      <c r="B1068" s="8" t="str">
        <f>"21902020072010554830547"</f>
        <v>21902020072010554830547</v>
      </c>
      <c r="C1068" s="8" t="s">
        <v>13</v>
      </c>
      <c r="D1068" s="8" t="str">
        <f>"黎娜"</f>
        <v>黎娜</v>
      </c>
      <c r="E1068" s="8" t="str">
        <f>"女"</f>
        <v>女</v>
      </c>
    </row>
    <row r="1069" spans="1:5" ht="19.5" customHeight="1">
      <c r="A1069" s="8">
        <v>1067</v>
      </c>
      <c r="B1069" s="8" t="str">
        <f>"21902020072011430330581"</f>
        <v>21902020072011430330581</v>
      </c>
      <c r="C1069" s="8" t="s">
        <v>13</v>
      </c>
      <c r="D1069" s="8" t="str">
        <f>"谢群心"</f>
        <v>谢群心</v>
      </c>
      <c r="E1069" s="8" t="str">
        <f>"男"</f>
        <v>男</v>
      </c>
    </row>
    <row r="1070" spans="1:5" ht="19.5" customHeight="1">
      <c r="A1070" s="8">
        <v>1068</v>
      </c>
      <c r="B1070" s="8" t="str">
        <f>"21902020072012044030598"</f>
        <v>21902020072012044030598</v>
      </c>
      <c r="C1070" s="8" t="s">
        <v>13</v>
      </c>
      <c r="D1070" s="8" t="str">
        <f>"陈保丽"</f>
        <v>陈保丽</v>
      </c>
      <c r="E1070" s="8" t="str">
        <f>"女"</f>
        <v>女</v>
      </c>
    </row>
    <row r="1071" spans="1:5" ht="19.5" customHeight="1">
      <c r="A1071" s="8">
        <v>1069</v>
      </c>
      <c r="B1071" s="8" t="str">
        <f>"21902020072012095130601"</f>
        <v>21902020072012095130601</v>
      </c>
      <c r="C1071" s="8" t="s">
        <v>13</v>
      </c>
      <c r="D1071" s="8" t="str">
        <f>"林军明"</f>
        <v>林军明</v>
      </c>
      <c r="E1071" s="8" t="str">
        <f>"男"</f>
        <v>男</v>
      </c>
    </row>
    <row r="1072" spans="1:5" ht="19.5" customHeight="1">
      <c r="A1072" s="8">
        <v>1070</v>
      </c>
      <c r="B1072" s="8" t="str">
        <f>"21902020072012430130624"</f>
        <v>21902020072012430130624</v>
      </c>
      <c r="C1072" s="8" t="s">
        <v>13</v>
      </c>
      <c r="D1072" s="8" t="str">
        <f>"李志深"</f>
        <v>李志深</v>
      </c>
      <c r="E1072" s="8" t="str">
        <f>"男"</f>
        <v>男</v>
      </c>
    </row>
    <row r="1073" spans="1:5" ht="19.5" customHeight="1">
      <c r="A1073" s="8">
        <v>1071</v>
      </c>
      <c r="B1073" s="8" t="str">
        <f>"21902020072013293030656"</f>
        <v>21902020072013293030656</v>
      </c>
      <c r="C1073" s="8" t="s">
        <v>13</v>
      </c>
      <c r="D1073" s="8" t="str">
        <f>"秦贤妹"</f>
        <v>秦贤妹</v>
      </c>
      <c r="E1073" s="8" t="str">
        <f>"女"</f>
        <v>女</v>
      </c>
    </row>
    <row r="1074" spans="1:5" ht="19.5" customHeight="1">
      <c r="A1074" s="8">
        <v>1072</v>
      </c>
      <c r="B1074" s="8" t="str">
        <f>"21902020072015261330728"</f>
        <v>21902020072015261330728</v>
      </c>
      <c r="C1074" s="8" t="s">
        <v>13</v>
      </c>
      <c r="D1074" s="8" t="str">
        <f>"符梦莹"</f>
        <v>符梦莹</v>
      </c>
      <c r="E1074" s="8" t="str">
        <f>"女"</f>
        <v>女</v>
      </c>
    </row>
    <row r="1075" spans="1:5" ht="19.5" customHeight="1">
      <c r="A1075" s="8">
        <v>1073</v>
      </c>
      <c r="B1075" s="8" t="str">
        <f>"21902020072015481030745"</f>
        <v>21902020072015481030745</v>
      </c>
      <c r="C1075" s="8" t="s">
        <v>13</v>
      </c>
      <c r="D1075" s="8" t="str">
        <f>"陈才舜"</f>
        <v>陈才舜</v>
      </c>
      <c r="E1075" s="8" t="str">
        <f>"男"</f>
        <v>男</v>
      </c>
    </row>
    <row r="1076" spans="1:5" ht="19.5" customHeight="1">
      <c r="A1076" s="8">
        <v>1074</v>
      </c>
      <c r="B1076" s="8" t="str">
        <f>"21902020072016201030766"</f>
        <v>21902020072016201030766</v>
      </c>
      <c r="C1076" s="8" t="s">
        <v>13</v>
      </c>
      <c r="D1076" s="8" t="str">
        <f>"余莉秋"</f>
        <v>余莉秋</v>
      </c>
      <c r="E1076" s="8" t="str">
        <f>"女"</f>
        <v>女</v>
      </c>
    </row>
    <row r="1077" spans="1:5" ht="19.5" customHeight="1">
      <c r="A1077" s="8">
        <v>1075</v>
      </c>
      <c r="B1077" s="8" t="str">
        <f>"21902020072016290430773"</f>
        <v>21902020072016290430773</v>
      </c>
      <c r="C1077" s="8" t="s">
        <v>13</v>
      </c>
      <c r="D1077" s="8" t="str">
        <f>"王德丽"</f>
        <v>王德丽</v>
      </c>
      <c r="E1077" s="8" t="str">
        <f>"女"</f>
        <v>女</v>
      </c>
    </row>
    <row r="1078" spans="1:5" ht="19.5" customHeight="1">
      <c r="A1078" s="8">
        <v>1076</v>
      </c>
      <c r="B1078" s="8" t="str">
        <f>"21902020071409010725927"</f>
        <v>21902020071409010725927</v>
      </c>
      <c r="C1078" s="8" t="s">
        <v>14</v>
      </c>
      <c r="D1078" s="8" t="str">
        <f>"李家博"</f>
        <v>李家博</v>
      </c>
      <c r="E1078" s="8" t="str">
        <f>"男"</f>
        <v>男</v>
      </c>
    </row>
    <row r="1079" spans="1:5" ht="19.5" customHeight="1">
      <c r="A1079" s="8">
        <v>1077</v>
      </c>
      <c r="B1079" s="8" t="str">
        <f>"21902020071409011125930"</f>
        <v>21902020071409011125930</v>
      </c>
      <c r="C1079" s="8" t="s">
        <v>14</v>
      </c>
      <c r="D1079" s="8" t="str">
        <f>"温宝燕"</f>
        <v>温宝燕</v>
      </c>
      <c r="E1079" s="8" t="str">
        <f>"女"</f>
        <v>女</v>
      </c>
    </row>
    <row r="1080" spans="1:5" ht="19.5" customHeight="1">
      <c r="A1080" s="8">
        <v>1078</v>
      </c>
      <c r="B1080" s="8" t="str">
        <f>"21902020071409044825962"</f>
        <v>21902020071409044825962</v>
      </c>
      <c r="C1080" s="8" t="s">
        <v>14</v>
      </c>
      <c r="D1080" s="8" t="str">
        <f>"郑卫安"</f>
        <v>郑卫安</v>
      </c>
      <c r="E1080" s="8" t="str">
        <f aca="true" t="shared" si="118" ref="E1080:E1086">"男"</f>
        <v>男</v>
      </c>
    </row>
    <row r="1081" spans="1:5" ht="19.5" customHeight="1">
      <c r="A1081" s="8">
        <v>1079</v>
      </c>
      <c r="B1081" s="8" t="str">
        <f>"21902020071409055825968"</f>
        <v>21902020071409055825968</v>
      </c>
      <c r="C1081" s="8" t="s">
        <v>14</v>
      </c>
      <c r="D1081" s="8" t="str">
        <f>"符寿强"</f>
        <v>符寿强</v>
      </c>
      <c r="E1081" s="8" t="str">
        <f t="shared" si="118"/>
        <v>男</v>
      </c>
    </row>
    <row r="1082" spans="1:5" ht="19.5" customHeight="1">
      <c r="A1082" s="8">
        <v>1080</v>
      </c>
      <c r="B1082" s="8" t="str">
        <f>"21902020071409064825980"</f>
        <v>21902020071409064825980</v>
      </c>
      <c r="C1082" s="8" t="s">
        <v>14</v>
      </c>
      <c r="D1082" s="8" t="str">
        <f>"刘以敏"</f>
        <v>刘以敏</v>
      </c>
      <c r="E1082" s="8" t="str">
        <f t="shared" si="118"/>
        <v>男</v>
      </c>
    </row>
    <row r="1083" spans="1:5" ht="19.5" customHeight="1">
      <c r="A1083" s="8">
        <v>1081</v>
      </c>
      <c r="B1083" s="8" t="str">
        <f>"21902020071409070125984"</f>
        <v>21902020071409070125984</v>
      </c>
      <c r="C1083" s="8" t="s">
        <v>14</v>
      </c>
      <c r="D1083" s="8" t="str">
        <f>"林羊永"</f>
        <v>林羊永</v>
      </c>
      <c r="E1083" s="8" t="str">
        <f t="shared" si="118"/>
        <v>男</v>
      </c>
    </row>
    <row r="1084" spans="1:5" ht="19.5" customHeight="1">
      <c r="A1084" s="8">
        <v>1082</v>
      </c>
      <c r="B1084" s="8" t="str">
        <f>"21902020071409072625987"</f>
        <v>21902020071409072625987</v>
      </c>
      <c r="C1084" s="8" t="s">
        <v>14</v>
      </c>
      <c r="D1084" s="8" t="str">
        <f>"羊乃东"</f>
        <v>羊乃东</v>
      </c>
      <c r="E1084" s="8" t="str">
        <f t="shared" si="118"/>
        <v>男</v>
      </c>
    </row>
    <row r="1085" spans="1:5" ht="19.5" customHeight="1">
      <c r="A1085" s="8">
        <v>1083</v>
      </c>
      <c r="B1085" s="8" t="str">
        <f>"21902020071409080125990"</f>
        <v>21902020071409080125990</v>
      </c>
      <c r="C1085" s="8" t="s">
        <v>14</v>
      </c>
      <c r="D1085" s="8" t="str">
        <f>"唐彬"</f>
        <v>唐彬</v>
      </c>
      <c r="E1085" s="8" t="str">
        <f t="shared" si="118"/>
        <v>男</v>
      </c>
    </row>
    <row r="1086" spans="1:5" ht="19.5" customHeight="1">
      <c r="A1086" s="8">
        <v>1084</v>
      </c>
      <c r="B1086" s="8" t="str">
        <f>"21902020071409090125995"</f>
        <v>21902020071409090125995</v>
      </c>
      <c r="C1086" s="8" t="s">
        <v>14</v>
      </c>
      <c r="D1086" s="8" t="str">
        <f>"谢宝隆"</f>
        <v>谢宝隆</v>
      </c>
      <c r="E1086" s="8" t="str">
        <f t="shared" si="118"/>
        <v>男</v>
      </c>
    </row>
    <row r="1087" spans="1:5" ht="19.5" customHeight="1">
      <c r="A1087" s="8">
        <v>1085</v>
      </c>
      <c r="B1087" s="8" t="str">
        <f>"21902020071409111826012"</f>
        <v>21902020071409111826012</v>
      </c>
      <c r="C1087" s="8" t="s">
        <v>14</v>
      </c>
      <c r="D1087" s="8" t="str">
        <f>"吴月德"</f>
        <v>吴月德</v>
      </c>
      <c r="E1087" s="8" t="str">
        <f>"女"</f>
        <v>女</v>
      </c>
    </row>
    <row r="1088" spans="1:5" ht="19.5" customHeight="1">
      <c r="A1088" s="8">
        <v>1086</v>
      </c>
      <c r="B1088" s="8" t="str">
        <f>"21902020071409121026018"</f>
        <v>21902020071409121026018</v>
      </c>
      <c r="C1088" s="8" t="s">
        <v>14</v>
      </c>
      <c r="D1088" s="8" t="str">
        <f>"吴体道"</f>
        <v>吴体道</v>
      </c>
      <c r="E1088" s="8" t="str">
        <f>"男"</f>
        <v>男</v>
      </c>
    </row>
    <row r="1089" spans="1:5" ht="19.5" customHeight="1">
      <c r="A1089" s="8">
        <v>1087</v>
      </c>
      <c r="B1089" s="8" t="str">
        <f>"21902020071409141226030"</f>
        <v>21902020071409141226030</v>
      </c>
      <c r="C1089" s="8" t="s">
        <v>14</v>
      </c>
      <c r="D1089" s="8" t="str">
        <f>"张健雄"</f>
        <v>张健雄</v>
      </c>
      <c r="E1089" s="8" t="str">
        <f>"男"</f>
        <v>男</v>
      </c>
    </row>
    <row r="1090" spans="1:5" ht="19.5" customHeight="1">
      <c r="A1090" s="8">
        <v>1088</v>
      </c>
      <c r="B1090" s="8" t="str">
        <f>"21902020071409141426031"</f>
        <v>21902020071409141426031</v>
      </c>
      <c r="C1090" s="8" t="s">
        <v>14</v>
      </c>
      <c r="D1090" s="8" t="str">
        <f>"黎源清"</f>
        <v>黎源清</v>
      </c>
      <c r="E1090" s="8" t="str">
        <f>"男"</f>
        <v>男</v>
      </c>
    </row>
    <row r="1091" spans="1:5" ht="19.5" customHeight="1">
      <c r="A1091" s="8">
        <v>1089</v>
      </c>
      <c r="B1091" s="8" t="str">
        <f>"21902020071409164326045"</f>
        <v>21902020071409164326045</v>
      </c>
      <c r="C1091" s="8" t="s">
        <v>14</v>
      </c>
      <c r="D1091" s="8" t="str">
        <f>"周应政"</f>
        <v>周应政</v>
      </c>
      <c r="E1091" s="8" t="str">
        <f>"男"</f>
        <v>男</v>
      </c>
    </row>
    <row r="1092" spans="1:5" ht="19.5" customHeight="1">
      <c r="A1092" s="8">
        <v>1090</v>
      </c>
      <c r="B1092" s="8" t="str">
        <f>"21902020071409180726053"</f>
        <v>21902020071409180726053</v>
      </c>
      <c r="C1092" s="8" t="s">
        <v>14</v>
      </c>
      <c r="D1092" s="8" t="str">
        <f>"麦海婷"</f>
        <v>麦海婷</v>
      </c>
      <c r="E1092" s="8" t="str">
        <f>"女"</f>
        <v>女</v>
      </c>
    </row>
    <row r="1093" spans="1:5" ht="19.5" customHeight="1">
      <c r="A1093" s="8">
        <v>1091</v>
      </c>
      <c r="B1093" s="8" t="str">
        <f>"21902020071409185226059"</f>
        <v>21902020071409185226059</v>
      </c>
      <c r="C1093" s="8" t="s">
        <v>14</v>
      </c>
      <c r="D1093" s="8" t="str">
        <f>"陈明气"</f>
        <v>陈明气</v>
      </c>
      <c r="E1093" s="8" t="str">
        <f>"男"</f>
        <v>男</v>
      </c>
    </row>
    <row r="1094" spans="1:5" ht="19.5" customHeight="1">
      <c r="A1094" s="8">
        <v>1092</v>
      </c>
      <c r="B1094" s="8" t="str">
        <f>"21902020071409194326065"</f>
        <v>21902020071409194326065</v>
      </c>
      <c r="C1094" s="8" t="s">
        <v>14</v>
      </c>
      <c r="D1094" s="8" t="str">
        <f>"符彩丽"</f>
        <v>符彩丽</v>
      </c>
      <c r="E1094" s="8" t="str">
        <f>"女"</f>
        <v>女</v>
      </c>
    </row>
    <row r="1095" spans="1:5" ht="19.5" customHeight="1">
      <c r="A1095" s="8">
        <v>1093</v>
      </c>
      <c r="B1095" s="8" t="str">
        <f>"21902020071409194926066"</f>
        <v>21902020071409194926066</v>
      </c>
      <c r="C1095" s="8" t="s">
        <v>14</v>
      </c>
      <c r="D1095" s="8" t="str">
        <f>"黎宏望"</f>
        <v>黎宏望</v>
      </c>
      <c r="E1095" s="8" t="str">
        <f>"男"</f>
        <v>男</v>
      </c>
    </row>
    <row r="1096" spans="1:5" ht="19.5" customHeight="1">
      <c r="A1096" s="8">
        <v>1094</v>
      </c>
      <c r="B1096" s="8" t="str">
        <f>"21902020071409212926077"</f>
        <v>21902020071409212926077</v>
      </c>
      <c r="C1096" s="8" t="s">
        <v>14</v>
      </c>
      <c r="D1096" s="8" t="str">
        <f>"羊开学"</f>
        <v>羊开学</v>
      </c>
      <c r="E1096" s="8" t="str">
        <f>"男"</f>
        <v>男</v>
      </c>
    </row>
    <row r="1097" spans="1:5" ht="19.5" customHeight="1">
      <c r="A1097" s="8">
        <v>1095</v>
      </c>
      <c r="B1097" s="8" t="str">
        <f>"21902020071409224726084"</f>
        <v>21902020071409224726084</v>
      </c>
      <c r="C1097" s="8" t="s">
        <v>14</v>
      </c>
      <c r="D1097" s="8" t="str">
        <f>"苻武秀"</f>
        <v>苻武秀</v>
      </c>
      <c r="E1097" s="8" t="str">
        <f>"女"</f>
        <v>女</v>
      </c>
    </row>
    <row r="1098" spans="1:5" ht="19.5" customHeight="1">
      <c r="A1098" s="8">
        <v>1096</v>
      </c>
      <c r="B1098" s="8" t="str">
        <f>"21902020071409230726085"</f>
        <v>21902020071409230726085</v>
      </c>
      <c r="C1098" s="8" t="s">
        <v>14</v>
      </c>
      <c r="D1098" s="8" t="str">
        <f>"谭胜"</f>
        <v>谭胜</v>
      </c>
      <c r="E1098" s="8" t="str">
        <f>"男"</f>
        <v>男</v>
      </c>
    </row>
    <row r="1099" spans="1:5" ht="19.5" customHeight="1">
      <c r="A1099" s="8">
        <v>1097</v>
      </c>
      <c r="B1099" s="8" t="str">
        <f>"21902020071409231626086"</f>
        <v>21902020071409231626086</v>
      </c>
      <c r="C1099" s="8" t="s">
        <v>14</v>
      </c>
      <c r="D1099" s="8" t="str">
        <f>"秦颖"</f>
        <v>秦颖</v>
      </c>
      <c r="E1099" s="8" t="str">
        <f>"女"</f>
        <v>女</v>
      </c>
    </row>
    <row r="1100" spans="1:5" ht="19.5" customHeight="1">
      <c r="A1100" s="8">
        <v>1098</v>
      </c>
      <c r="B1100" s="8" t="str">
        <f>"21902020071409235426091"</f>
        <v>21902020071409235426091</v>
      </c>
      <c r="C1100" s="8" t="s">
        <v>14</v>
      </c>
      <c r="D1100" s="8" t="str">
        <f>"林晓"</f>
        <v>林晓</v>
      </c>
      <c r="E1100" s="8" t="str">
        <f>"女"</f>
        <v>女</v>
      </c>
    </row>
    <row r="1101" spans="1:5" ht="19.5" customHeight="1">
      <c r="A1101" s="8">
        <v>1099</v>
      </c>
      <c r="B1101" s="8" t="str">
        <f>"21902020071409263126101"</f>
        <v>21902020071409263126101</v>
      </c>
      <c r="C1101" s="8" t="s">
        <v>14</v>
      </c>
      <c r="D1101" s="8" t="str">
        <f>"万欣"</f>
        <v>万欣</v>
      </c>
      <c r="E1101" s="8" t="str">
        <f>"女"</f>
        <v>女</v>
      </c>
    </row>
    <row r="1102" spans="1:5" ht="19.5" customHeight="1">
      <c r="A1102" s="8">
        <v>1100</v>
      </c>
      <c r="B1102" s="8" t="str">
        <f>"21902020071409265126103"</f>
        <v>21902020071409265126103</v>
      </c>
      <c r="C1102" s="8" t="s">
        <v>14</v>
      </c>
      <c r="D1102" s="8" t="str">
        <f>"孙贤明"</f>
        <v>孙贤明</v>
      </c>
      <c r="E1102" s="8" t="str">
        <f>"男"</f>
        <v>男</v>
      </c>
    </row>
    <row r="1103" spans="1:5" ht="19.5" customHeight="1">
      <c r="A1103" s="8">
        <v>1101</v>
      </c>
      <c r="B1103" s="8" t="str">
        <f>"21902020071409270726105"</f>
        <v>21902020071409270726105</v>
      </c>
      <c r="C1103" s="8" t="s">
        <v>14</v>
      </c>
      <c r="D1103" s="8" t="str">
        <f>"陈乾锋"</f>
        <v>陈乾锋</v>
      </c>
      <c r="E1103" s="8" t="str">
        <f>"男"</f>
        <v>男</v>
      </c>
    </row>
    <row r="1104" spans="1:5" ht="19.5" customHeight="1">
      <c r="A1104" s="8">
        <v>1102</v>
      </c>
      <c r="B1104" s="8" t="str">
        <f>"21902020071409280926109"</f>
        <v>21902020071409280926109</v>
      </c>
      <c r="C1104" s="8" t="s">
        <v>14</v>
      </c>
      <c r="D1104" s="8" t="str">
        <f>"符卓掌"</f>
        <v>符卓掌</v>
      </c>
      <c r="E1104" s="8" t="str">
        <f>"男"</f>
        <v>男</v>
      </c>
    </row>
    <row r="1105" spans="1:5" ht="19.5" customHeight="1">
      <c r="A1105" s="8">
        <v>1103</v>
      </c>
      <c r="B1105" s="8" t="str">
        <f>"21902020071409312126116"</f>
        <v>21902020071409312126116</v>
      </c>
      <c r="C1105" s="8" t="s">
        <v>14</v>
      </c>
      <c r="D1105" s="8" t="str">
        <f>"黄爱梅"</f>
        <v>黄爱梅</v>
      </c>
      <c r="E1105" s="8" t="str">
        <f>"女"</f>
        <v>女</v>
      </c>
    </row>
    <row r="1106" spans="1:5" ht="19.5" customHeight="1">
      <c r="A1106" s="8">
        <v>1104</v>
      </c>
      <c r="B1106" s="8" t="str">
        <f>"21902020071409335126128"</f>
        <v>21902020071409335126128</v>
      </c>
      <c r="C1106" s="8" t="s">
        <v>14</v>
      </c>
      <c r="D1106" s="8" t="str">
        <f>"徐日晟"</f>
        <v>徐日晟</v>
      </c>
      <c r="E1106" s="8" t="str">
        <f>"男"</f>
        <v>男</v>
      </c>
    </row>
    <row r="1107" spans="1:5" ht="19.5" customHeight="1">
      <c r="A1107" s="8">
        <v>1105</v>
      </c>
      <c r="B1107" s="8" t="str">
        <f>"21902020071409342426134"</f>
        <v>21902020071409342426134</v>
      </c>
      <c r="C1107" s="8" t="s">
        <v>14</v>
      </c>
      <c r="D1107" s="8" t="str">
        <f>"何智青"</f>
        <v>何智青</v>
      </c>
      <c r="E1107" s="8" t="str">
        <f>"男"</f>
        <v>男</v>
      </c>
    </row>
    <row r="1108" spans="1:5" ht="19.5" customHeight="1">
      <c r="A1108" s="8">
        <v>1106</v>
      </c>
      <c r="B1108" s="8" t="str">
        <f>"21902020071409342726135"</f>
        <v>21902020071409342726135</v>
      </c>
      <c r="C1108" s="8" t="s">
        <v>14</v>
      </c>
      <c r="D1108" s="8" t="str">
        <f>"杨曼霞"</f>
        <v>杨曼霞</v>
      </c>
      <c r="E1108" s="8" t="str">
        <f>"女"</f>
        <v>女</v>
      </c>
    </row>
    <row r="1109" spans="1:5" ht="19.5" customHeight="1">
      <c r="A1109" s="8">
        <v>1107</v>
      </c>
      <c r="B1109" s="8" t="str">
        <f>"21902020071409352026142"</f>
        <v>21902020071409352026142</v>
      </c>
      <c r="C1109" s="8" t="s">
        <v>14</v>
      </c>
      <c r="D1109" s="8" t="str">
        <f>"符玉官"</f>
        <v>符玉官</v>
      </c>
      <c r="E1109" s="8" t="str">
        <f>"女"</f>
        <v>女</v>
      </c>
    </row>
    <row r="1110" spans="1:5" ht="19.5" customHeight="1">
      <c r="A1110" s="8">
        <v>1108</v>
      </c>
      <c r="B1110" s="8" t="str">
        <f>"21902020071409353426143"</f>
        <v>21902020071409353426143</v>
      </c>
      <c r="C1110" s="8" t="s">
        <v>14</v>
      </c>
      <c r="D1110" s="8" t="str">
        <f>"蒲诚"</f>
        <v>蒲诚</v>
      </c>
      <c r="E1110" s="8" t="str">
        <f>"男"</f>
        <v>男</v>
      </c>
    </row>
    <row r="1111" spans="1:5" ht="19.5" customHeight="1">
      <c r="A1111" s="8">
        <v>1109</v>
      </c>
      <c r="B1111" s="8" t="str">
        <f>"21902020071409360826144"</f>
        <v>21902020071409360826144</v>
      </c>
      <c r="C1111" s="8" t="s">
        <v>14</v>
      </c>
      <c r="D1111" s="8" t="str">
        <f>"王丽玲"</f>
        <v>王丽玲</v>
      </c>
      <c r="E1111" s="8" t="str">
        <f>"女"</f>
        <v>女</v>
      </c>
    </row>
    <row r="1112" spans="1:5" ht="19.5" customHeight="1">
      <c r="A1112" s="8">
        <v>1110</v>
      </c>
      <c r="B1112" s="8" t="str">
        <f>"21902020071409373826152"</f>
        <v>21902020071409373826152</v>
      </c>
      <c r="C1112" s="8" t="s">
        <v>14</v>
      </c>
      <c r="D1112" s="8" t="str">
        <f>"王美春"</f>
        <v>王美春</v>
      </c>
      <c r="E1112" s="8" t="str">
        <f>"男"</f>
        <v>男</v>
      </c>
    </row>
    <row r="1113" spans="1:5" ht="19.5" customHeight="1">
      <c r="A1113" s="8">
        <v>1111</v>
      </c>
      <c r="B1113" s="8" t="str">
        <f>"21902020071409375026154"</f>
        <v>21902020071409375026154</v>
      </c>
      <c r="C1113" s="8" t="s">
        <v>14</v>
      </c>
      <c r="D1113" s="8" t="str">
        <f>"朱华伟"</f>
        <v>朱华伟</v>
      </c>
      <c r="E1113" s="8" t="str">
        <f>"男"</f>
        <v>男</v>
      </c>
    </row>
    <row r="1114" spans="1:5" ht="19.5" customHeight="1">
      <c r="A1114" s="8">
        <v>1112</v>
      </c>
      <c r="B1114" s="8" t="str">
        <f>"21902020071409381626156"</f>
        <v>21902020071409381626156</v>
      </c>
      <c r="C1114" s="8" t="s">
        <v>14</v>
      </c>
      <c r="D1114" s="8" t="str">
        <f>"瞿俊强"</f>
        <v>瞿俊强</v>
      </c>
      <c r="E1114" s="8" t="str">
        <f>"男"</f>
        <v>男</v>
      </c>
    </row>
    <row r="1115" spans="1:5" ht="19.5" customHeight="1">
      <c r="A1115" s="8">
        <v>1113</v>
      </c>
      <c r="B1115" s="8" t="str">
        <f>"21902020071409444226173"</f>
        <v>21902020071409444226173</v>
      </c>
      <c r="C1115" s="8" t="s">
        <v>14</v>
      </c>
      <c r="D1115" s="8" t="str">
        <f>"林石玲"</f>
        <v>林石玲</v>
      </c>
      <c r="E1115" s="8" t="str">
        <f>"女"</f>
        <v>女</v>
      </c>
    </row>
    <row r="1116" spans="1:5" ht="19.5" customHeight="1">
      <c r="A1116" s="8">
        <v>1114</v>
      </c>
      <c r="B1116" s="8" t="str">
        <f>"21902020071409444426174"</f>
        <v>21902020071409444426174</v>
      </c>
      <c r="C1116" s="8" t="s">
        <v>14</v>
      </c>
      <c r="D1116" s="8" t="str">
        <f>"吴志伟"</f>
        <v>吴志伟</v>
      </c>
      <c r="E1116" s="8" t="str">
        <f>"男"</f>
        <v>男</v>
      </c>
    </row>
    <row r="1117" spans="1:5" ht="19.5" customHeight="1">
      <c r="A1117" s="8">
        <v>1115</v>
      </c>
      <c r="B1117" s="8" t="str">
        <f>"21902020071410014126244"</f>
        <v>21902020071410014126244</v>
      </c>
      <c r="C1117" s="8" t="s">
        <v>14</v>
      </c>
      <c r="D1117" s="8" t="str">
        <f>"吴应威"</f>
        <v>吴应威</v>
      </c>
      <c r="E1117" s="8" t="str">
        <f>"男"</f>
        <v>男</v>
      </c>
    </row>
    <row r="1118" spans="1:5" ht="19.5" customHeight="1">
      <c r="A1118" s="8">
        <v>1116</v>
      </c>
      <c r="B1118" s="8" t="str">
        <f>"21902020071410014226245"</f>
        <v>21902020071410014226245</v>
      </c>
      <c r="C1118" s="8" t="s">
        <v>14</v>
      </c>
      <c r="D1118" s="8" t="str">
        <f>"周海燕"</f>
        <v>周海燕</v>
      </c>
      <c r="E1118" s="8" t="str">
        <f>"女"</f>
        <v>女</v>
      </c>
    </row>
    <row r="1119" spans="1:5" ht="19.5" customHeight="1">
      <c r="A1119" s="8">
        <v>1117</v>
      </c>
      <c r="B1119" s="8" t="str">
        <f>"21902020071410014726248"</f>
        <v>21902020071410014726248</v>
      </c>
      <c r="C1119" s="8" t="s">
        <v>14</v>
      </c>
      <c r="D1119" s="8" t="str">
        <f>"黎寿曦"</f>
        <v>黎寿曦</v>
      </c>
      <c r="E1119" s="8" t="str">
        <f>"男"</f>
        <v>男</v>
      </c>
    </row>
    <row r="1120" spans="1:5" ht="19.5" customHeight="1">
      <c r="A1120" s="8">
        <v>1118</v>
      </c>
      <c r="B1120" s="8" t="str">
        <f>"21902020071410040026256"</f>
        <v>21902020071410040026256</v>
      </c>
      <c r="C1120" s="8" t="s">
        <v>14</v>
      </c>
      <c r="D1120" s="8" t="str">
        <f>"吴祥艳"</f>
        <v>吴祥艳</v>
      </c>
      <c r="E1120" s="8" t="str">
        <f>"女"</f>
        <v>女</v>
      </c>
    </row>
    <row r="1121" spans="1:5" ht="19.5" customHeight="1">
      <c r="A1121" s="8">
        <v>1119</v>
      </c>
      <c r="B1121" s="8" t="str">
        <f>"21902020071410041226257"</f>
        <v>21902020071410041226257</v>
      </c>
      <c r="C1121" s="8" t="s">
        <v>14</v>
      </c>
      <c r="D1121" s="8" t="str">
        <f>"郭秀梅"</f>
        <v>郭秀梅</v>
      </c>
      <c r="E1121" s="8" t="str">
        <f>"女"</f>
        <v>女</v>
      </c>
    </row>
    <row r="1122" spans="1:5" ht="19.5" customHeight="1">
      <c r="A1122" s="8">
        <v>1120</v>
      </c>
      <c r="B1122" s="8" t="str">
        <f>"21902020071410041626258"</f>
        <v>21902020071410041626258</v>
      </c>
      <c r="C1122" s="8" t="s">
        <v>14</v>
      </c>
      <c r="D1122" s="8" t="str">
        <f>"罗大伟"</f>
        <v>罗大伟</v>
      </c>
      <c r="E1122" s="8" t="str">
        <f>"男"</f>
        <v>男</v>
      </c>
    </row>
    <row r="1123" spans="1:5" ht="19.5" customHeight="1">
      <c r="A1123" s="8">
        <v>1121</v>
      </c>
      <c r="B1123" s="8" t="str">
        <f>"21902020071410042626260"</f>
        <v>21902020071410042626260</v>
      </c>
      <c r="C1123" s="8" t="s">
        <v>14</v>
      </c>
      <c r="D1123" s="8" t="str">
        <f>"麦淑珍"</f>
        <v>麦淑珍</v>
      </c>
      <c r="E1123" s="8" t="str">
        <f>"女"</f>
        <v>女</v>
      </c>
    </row>
    <row r="1124" spans="1:5" ht="19.5" customHeight="1">
      <c r="A1124" s="8">
        <v>1122</v>
      </c>
      <c r="B1124" s="8" t="str">
        <f>"21902020071410051826264"</f>
        <v>21902020071410051826264</v>
      </c>
      <c r="C1124" s="8" t="s">
        <v>14</v>
      </c>
      <c r="D1124" s="8" t="str">
        <f>"钟承津"</f>
        <v>钟承津</v>
      </c>
      <c r="E1124" s="8" t="str">
        <f>"男"</f>
        <v>男</v>
      </c>
    </row>
    <row r="1125" spans="1:5" ht="19.5" customHeight="1">
      <c r="A1125" s="8">
        <v>1123</v>
      </c>
      <c r="B1125" s="8" t="str">
        <f>"21902020071410055526269"</f>
        <v>21902020071410055526269</v>
      </c>
      <c r="C1125" s="8" t="s">
        <v>14</v>
      </c>
      <c r="D1125" s="8" t="str">
        <f>"邱恒舜"</f>
        <v>邱恒舜</v>
      </c>
      <c r="E1125" s="8" t="str">
        <f>"男"</f>
        <v>男</v>
      </c>
    </row>
    <row r="1126" spans="1:5" ht="19.5" customHeight="1">
      <c r="A1126" s="8">
        <v>1124</v>
      </c>
      <c r="B1126" s="8" t="str">
        <f>"21902020071410091626286"</f>
        <v>21902020071410091626286</v>
      </c>
      <c r="C1126" s="8" t="s">
        <v>14</v>
      </c>
      <c r="D1126" s="8" t="str">
        <f>"郭城万"</f>
        <v>郭城万</v>
      </c>
      <c r="E1126" s="8" t="str">
        <f>"男"</f>
        <v>男</v>
      </c>
    </row>
    <row r="1127" spans="1:5" ht="19.5" customHeight="1">
      <c r="A1127" s="8">
        <v>1125</v>
      </c>
      <c r="B1127" s="8" t="str">
        <f>"21902020071410104226294"</f>
        <v>21902020071410104226294</v>
      </c>
      <c r="C1127" s="8" t="s">
        <v>14</v>
      </c>
      <c r="D1127" s="8" t="str">
        <f>"王广锡"</f>
        <v>王广锡</v>
      </c>
      <c r="E1127" s="8" t="str">
        <f>"男"</f>
        <v>男</v>
      </c>
    </row>
    <row r="1128" spans="1:5" ht="19.5" customHeight="1">
      <c r="A1128" s="8">
        <v>1126</v>
      </c>
      <c r="B1128" s="8" t="str">
        <f>"21902020071410120826301"</f>
        <v>21902020071410120826301</v>
      </c>
      <c r="C1128" s="8" t="s">
        <v>14</v>
      </c>
      <c r="D1128" s="8" t="str">
        <f>"赵春金"</f>
        <v>赵春金</v>
      </c>
      <c r="E1128" s="8" t="str">
        <f>"女"</f>
        <v>女</v>
      </c>
    </row>
    <row r="1129" spans="1:5" ht="19.5" customHeight="1">
      <c r="A1129" s="8">
        <v>1127</v>
      </c>
      <c r="B1129" s="8" t="str">
        <f>"21902020071410140326313"</f>
        <v>21902020071410140326313</v>
      </c>
      <c r="C1129" s="8" t="s">
        <v>14</v>
      </c>
      <c r="D1129" s="8" t="str">
        <f>"李其艳"</f>
        <v>李其艳</v>
      </c>
      <c r="E1129" s="8" t="str">
        <f>"女"</f>
        <v>女</v>
      </c>
    </row>
    <row r="1130" spans="1:5" ht="19.5" customHeight="1">
      <c r="A1130" s="8">
        <v>1128</v>
      </c>
      <c r="B1130" s="8" t="str">
        <f>"21902020071410140826314"</f>
        <v>21902020071410140826314</v>
      </c>
      <c r="C1130" s="8" t="s">
        <v>14</v>
      </c>
      <c r="D1130" s="8" t="str">
        <f>"王瑛"</f>
        <v>王瑛</v>
      </c>
      <c r="E1130" s="8" t="str">
        <f>"女"</f>
        <v>女</v>
      </c>
    </row>
    <row r="1131" spans="1:5" ht="19.5" customHeight="1">
      <c r="A1131" s="8">
        <v>1129</v>
      </c>
      <c r="B1131" s="8" t="str">
        <f>"21902020071410141326316"</f>
        <v>21902020071410141326316</v>
      </c>
      <c r="C1131" s="8" t="s">
        <v>14</v>
      </c>
      <c r="D1131" s="8" t="str">
        <f>"卓良晟"</f>
        <v>卓良晟</v>
      </c>
      <c r="E1131" s="8" t="str">
        <f>"男"</f>
        <v>男</v>
      </c>
    </row>
    <row r="1132" spans="1:5" ht="19.5" customHeight="1">
      <c r="A1132" s="8">
        <v>1130</v>
      </c>
      <c r="B1132" s="8" t="str">
        <f>"21902020071410153726319"</f>
        <v>21902020071410153726319</v>
      </c>
      <c r="C1132" s="8" t="s">
        <v>14</v>
      </c>
      <c r="D1132" s="8" t="str">
        <f>"马丽"</f>
        <v>马丽</v>
      </c>
      <c r="E1132" s="8" t="str">
        <f>"女"</f>
        <v>女</v>
      </c>
    </row>
    <row r="1133" spans="1:5" ht="19.5" customHeight="1">
      <c r="A1133" s="8">
        <v>1131</v>
      </c>
      <c r="B1133" s="8" t="str">
        <f>"21902020071410155326321"</f>
        <v>21902020071410155326321</v>
      </c>
      <c r="C1133" s="8" t="s">
        <v>14</v>
      </c>
      <c r="D1133" s="8" t="str">
        <f>"郭铁城"</f>
        <v>郭铁城</v>
      </c>
      <c r="E1133" s="8" t="str">
        <f>"男"</f>
        <v>男</v>
      </c>
    </row>
    <row r="1134" spans="1:5" ht="19.5" customHeight="1">
      <c r="A1134" s="8">
        <v>1132</v>
      </c>
      <c r="B1134" s="8" t="str">
        <f>"21902020071410191926332"</f>
        <v>21902020071410191926332</v>
      </c>
      <c r="C1134" s="8" t="s">
        <v>14</v>
      </c>
      <c r="D1134" s="8" t="str">
        <f>"陈玲"</f>
        <v>陈玲</v>
      </c>
      <c r="E1134" s="8" t="str">
        <f>"女"</f>
        <v>女</v>
      </c>
    </row>
    <row r="1135" spans="1:5" ht="19.5" customHeight="1">
      <c r="A1135" s="8">
        <v>1133</v>
      </c>
      <c r="B1135" s="8" t="str">
        <f>"21902020071410200626334"</f>
        <v>21902020071410200626334</v>
      </c>
      <c r="C1135" s="8" t="s">
        <v>14</v>
      </c>
      <c r="D1135" s="8" t="str">
        <f>"何声辉"</f>
        <v>何声辉</v>
      </c>
      <c r="E1135" s="8" t="str">
        <f aca="true" t="shared" si="119" ref="E1135:E1143">"男"</f>
        <v>男</v>
      </c>
    </row>
    <row r="1136" spans="1:5" ht="19.5" customHeight="1">
      <c r="A1136" s="8">
        <v>1134</v>
      </c>
      <c r="B1136" s="8" t="str">
        <f>"21902020071410253126357"</f>
        <v>21902020071410253126357</v>
      </c>
      <c r="C1136" s="8" t="s">
        <v>14</v>
      </c>
      <c r="D1136" s="8" t="str">
        <f>"陈兆雄"</f>
        <v>陈兆雄</v>
      </c>
      <c r="E1136" s="8" t="str">
        <f t="shared" si="119"/>
        <v>男</v>
      </c>
    </row>
    <row r="1137" spans="1:5" ht="19.5" customHeight="1">
      <c r="A1137" s="8">
        <v>1135</v>
      </c>
      <c r="B1137" s="8" t="str">
        <f>"21902020071410292226370"</f>
        <v>21902020071410292226370</v>
      </c>
      <c r="C1137" s="8" t="s">
        <v>14</v>
      </c>
      <c r="D1137" s="8" t="str">
        <f>"曾承科"</f>
        <v>曾承科</v>
      </c>
      <c r="E1137" s="8" t="str">
        <f t="shared" si="119"/>
        <v>男</v>
      </c>
    </row>
    <row r="1138" spans="1:5" ht="19.5" customHeight="1">
      <c r="A1138" s="8">
        <v>1136</v>
      </c>
      <c r="B1138" s="8" t="str">
        <f>"21902020071410294326372"</f>
        <v>21902020071410294326372</v>
      </c>
      <c r="C1138" s="8" t="s">
        <v>14</v>
      </c>
      <c r="D1138" s="8" t="str">
        <f>"谢国贤"</f>
        <v>谢国贤</v>
      </c>
      <c r="E1138" s="8" t="str">
        <f t="shared" si="119"/>
        <v>男</v>
      </c>
    </row>
    <row r="1139" spans="1:5" ht="19.5" customHeight="1">
      <c r="A1139" s="8">
        <v>1137</v>
      </c>
      <c r="B1139" s="8" t="str">
        <f>"21902020071410305726374"</f>
        <v>21902020071410305726374</v>
      </c>
      <c r="C1139" s="8" t="s">
        <v>14</v>
      </c>
      <c r="D1139" s="8" t="str">
        <f>"彭开裕"</f>
        <v>彭开裕</v>
      </c>
      <c r="E1139" s="8" t="str">
        <f t="shared" si="119"/>
        <v>男</v>
      </c>
    </row>
    <row r="1140" spans="1:5" ht="19.5" customHeight="1">
      <c r="A1140" s="8">
        <v>1138</v>
      </c>
      <c r="B1140" s="8" t="str">
        <f>"21902020071410315626379"</f>
        <v>21902020071410315626379</v>
      </c>
      <c r="C1140" s="8" t="s">
        <v>14</v>
      </c>
      <c r="D1140" s="8" t="str">
        <f>"陈大有"</f>
        <v>陈大有</v>
      </c>
      <c r="E1140" s="8" t="str">
        <f t="shared" si="119"/>
        <v>男</v>
      </c>
    </row>
    <row r="1141" spans="1:5" ht="19.5" customHeight="1">
      <c r="A1141" s="8">
        <v>1139</v>
      </c>
      <c r="B1141" s="8" t="str">
        <f>"21902020071410324526381"</f>
        <v>21902020071410324526381</v>
      </c>
      <c r="C1141" s="8" t="s">
        <v>14</v>
      </c>
      <c r="D1141" s="8" t="str">
        <f>"符博洋"</f>
        <v>符博洋</v>
      </c>
      <c r="E1141" s="8" t="str">
        <f t="shared" si="119"/>
        <v>男</v>
      </c>
    </row>
    <row r="1142" spans="1:5" ht="19.5" customHeight="1">
      <c r="A1142" s="8">
        <v>1140</v>
      </c>
      <c r="B1142" s="8" t="str">
        <f>"21902020071410340026385"</f>
        <v>21902020071410340026385</v>
      </c>
      <c r="C1142" s="8" t="s">
        <v>14</v>
      </c>
      <c r="D1142" s="8" t="str">
        <f>"黎江"</f>
        <v>黎江</v>
      </c>
      <c r="E1142" s="8" t="str">
        <f t="shared" si="119"/>
        <v>男</v>
      </c>
    </row>
    <row r="1143" spans="1:5" ht="19.5" customHeight="1">
      <c r="A1143" s="8">
        <v>1141</v>
      </c>
      <c r="B1143" s="8" t="str">
        <f>"21902020071410363426396"</f>
        <v>21902020071410363426396</v>
      </c>
      <c r="C1143" s="8" t="s">
        <v>14</v>
      </c>
      <c r="D1143" s="8" t="str">
        <f>"陈辉"</f>
        <v>陈辉</v>
      </c>
      <c r="E1143" s="8" t="str">
        <f t="shared" si="119"/>
        <v>男</v>
      </c>
    </row>
    <row r="1144" spans="1:5" ht="19.5" customHeight="1">
      <c r="A1144" s="8">
        <v>1142</v>
      </c>
      <c r="B1144" s="8" t="str">
        <f>"21902020071410375226400"</f>
        <v>21902020071410375226400</v>
      </c>
      <c r="C1144" s="8" t="s">
        <v>14</v>
      </c>
      <c r="D1144" s="8" t="str">
        <f>"郑玉梅"</f>
        <v>郑玉梅</v>
      </c>
      <c r="E1144" s="8" t="str">
        <f>"女"</f>
        <v>女</v>
      </c>
    </row>
    <row r="1145" spans="1:5" ht="19.5" customHeight="1">
      <c r="A1145" s="8">
        <v>1143</v>
      </c>
      <c r="B1145" s="8" t="str">
        <f>"21902020071410411526412"</f>
        <v>21902020071410411526412</v>
      </c>
      <c r="C1145" s="8" t="s">
        <v>14</v>
      </c>
      <c r="D1145" s="8" t="str">
        <f>"麦朗燕"</f>
        <v>麦朗燕</v>
      </c>
      <c r="E1145" s="8" t="str">
        <f>"女"</f>
        <v>女</v>
      </c>
    </row>
    <row r="1146" spans="1:5" ht="19.5" customHeight="1">
      <c r="A1146" s="8">
        <v>1144</v>
      </c>
      <c r="B1146" s="8" t="str">
        <f>"21902020071410413426413"</f>
        <v>21902020071410413426413</v>
      </c>
      <c r="C1146" s="8" t="s">
        <v>14</v>
      </c>
      <c r="D1146" s="8" t="str">
        <f>"符庆莉"</f>
        <v>符庆莉</v>
      </c>
      <c r="E1146" s="8" t="str">
        <f>"女"</f>
        <v>女</v>
      </c>
    </row>
    <row r="1147" spans="1:5" ht="19.5" customHeight="1">
      <c r="A1147" s="8">
        <v>1145</v>
      </c>
      <c r="B1147" s="8" t="str">
        <f>"21902020071410421226415"</f>
        <v>21902020071410421226415</v>
      </c>
      <c r="C1147" s="8" t="s">
        <v>14</v>
      </c>
      <c r="D1147" s="8" t="str">
        <f>"陈见朝"</f>
        <v>陈见朝</v>
      </c>
      <c r="E1147" s="8" t="str">
        <f>"男"</f>
        <v>男</v>
      </c>
    </row>
    <row r="1148" spans="1:5" ht="19.5" customHeight="1">
      <c r="A1148" s="8">
        <v>1146</v>
      </c>
      <c r="B1148" s="8" t="str">
        <f>"21902020071410421426416"</f>
        <v>21902020071410421426416</v>
      </c>
      <c r="C1148" s="8" t="s">
        <v>14</v>
      </c>
      <c r="D1148" s="8" t="str">
        <f>"高锦锋"</f>
        <v>高锦锋</v>
      </c>
      <c r="E1148" s="8" t="str">
        <f>"男"</f>
        <v>男</v>
      </c>
    </row>
    <row r="1149" spans="1:5" ht="19.5" customHeight="1">
      <c r="A1149" s="8">
        <v>1147</v>
      </c>
      <c r="B1149" s="8" t="str">
        <f>"21902020071410453526427"</f>
        <v>21902020071410453526427</v>
      </c>
      <c r="C1149" s="8" t="s">
        <v>14</v>
      </c>
      <c r="D1149" s="8" t="str">
        <f>"王翠魁"</f>
        <v>王翠魁</v>
      </c>
      <c r="E1149" s="8" t="str">
        <f>"女"</f>
        <v>女</v>
      </c>
    </row>
    <row r="1150" spans="1:5" ht="19.5" customHeight="1">
      <c r="A1150" s="8">
        <v>1148</v>
      </c>
      <c r="B1150" s="8" t="str">
        <f>"21902020071410471426433"</f>
        <v>21902020071410471426433</v>
      </c>
      <c r="C1150" s="8" t="s">
        <v>14</v>
      </c>
      <c r="D1150" s="8" t="str">
        <f>"黄永明"</f>
        <v>黄永明</v>
      </c>
      <c r="E1150" s="8" t="str">
        <f>"男"</f>
        <v>男</v>
      </c>
    </row>
    <row r="1151" spans="1:5" ht="19.5" customHeight="1">
      <c r="A1151" s="8">
        <v>1149</v>
      </c>
      <c r="B1151" s="8" t="str">
        <f>"21902020071410471826434"</f>
        <v>21902020071410471826434</v>
      </c>
      <c r="C1151" s="8" t="s">
        <v>14</v>
      </c>
      <c r="D1151" s="8" t="str">
        <f>"郑祖扶"</f>
        <v>郑祖扶</v>
      </c>
      <c r="E1151" s="8" t="str">
        <f>"男"</f>
        <v>男</v>
      </c>
    </row>
    <row r="1152" spans="1:5" ht="19.5" customHeight="1">
      <c r="A1152" s="8">
        <v>1150</v>
      </c>
      <c r="B1152" s="8" t="str">
        <f>"21902020071410480026438"</f>
        <v>21902020071410480026438</v>
      </c>
      <c r="C1152" s="8" t="s">
        <v>14</v>
      </c>
      <c r="D1152" s="8" t="str">
        <f>"胡贤精"</f>
        <v>胡贤精</v>
      </c>
      <c r="E1152" s="8" t="str">
        <f>"男"</f>
        <v>男</v>
      </c>
    </row>
    <row r="1153" spans="1:5" ht="19.5" customHeight="1">
      <c r="A1153" s="8">
        <v>1151</v>
      </c>
      <c r="B1153" s="8" t="str">
        <f>"21902020071410482126441"</f>
        <v>21902020071410482126441</v>
      </c>
      <c r="C1153" s="8" t="s">
        <v>14</v>
      </c>
      <c r="D1153" s="8" t="str">
        <f>"羊德娟"</f>
        <v>羊德娟</v>
      </c>
      <c r="E1153" s="8" t="str">
        <f>"女"</f>
        <v>女</v>
      </c>
    </row>
    <row r="1154" spans="1:5" ht="19.5" customHeight="1">
      <c r="A1154" s="8">
        <v>1152</v>
      </c>
      <c r="B1154" s="8" t="str">
        <f>"21902020071410492326443"</f>
        <v>21902020071410492326443</v>
      </c>
      <c r="C1154" s="8" t="s">
        <v>14</v>
      </c>
      <c r="D1154" s="8" t="str">
        <f>"何彩月"</f>
        <v>何彩月</v>
      </c>
      <c r="E1154" s="8" t="str">
        <f>"女"</f>
        <v>女</v>
      </c>
    </row>
    <row r="1155" spans="1:5" ht="19.5" customHeight="1">
      <c r="A1155" s="8">
        <v>1153</v>
      </c>
      <c r="B1155" s="8" t="str">
        <f>"21902020071410502926447"</f>
        <v>21902020071410502926447</v>
      </c>
      <c r="C1155" s="8" t="s">
        <v>14</v>
      </c>
      <c r="D1155" s="8" t="str">
        <f>"符彩女"</f>
        <v>符彩女</v>
      </c>
      <c r="E1155" s="8" t="str">
        <f>"女"</f>
        <v>女</v>
      </c>
    </row>
    <row r="1156" spans="1:5" ht="19.5" customHeight="1">
      <c r="A1156" s="8">
        <v>1154</v>
      </c>
      <c r="B1156" s="8" t="str">
        <f>"21902020071410511926452"</f>
        <v>21902020071410511926452</v>
      </c>
      <c r="C1156" s="8" t="s">
        <v>14</v>
      </c>
      <c r="D1156" s="8" t="str">
        <f>"潘艳"</f>
        <v>潘艳</v>
      </c>
      <c r="E1156" s="8" t="str">
        <f>"女"</f>
        <v>女</v>
      </c>
    </row>
    <row r="1157" spans="1:5" ht="19.5" customHeight="1">
      <c r="A1157" s="8">
        <v>1155</v>
      </c>
      <c r="B1157" s="8" t="str">
        <f>"21902020071410541726458"</f>
        <v>21902020071410541726458</v>
      </c>
      <c r="C1157" s="8" t="s">
        <v>14</v>
      </c>
      <c r="D1157" s="8" t="str">
        <f>"徐木交"</f>
        <v>徐木交</v>
      </c>
      <c r="E1157" s="8" t="str">
        <f>"女"</f>
        <v>女</v>
      </c>
    </row>
    <row r="1158" spans="1:5" ht="19.5" customHeight="1">
      <c r="A1158" s="8">
        <v>1156</v>
      </c>
      <c r="B1158" s="8" t="str">
        <f>"21902020071410543526459"</f>
        <v>21902020071410543526459</v>
      </c>
      <c r="C1158" s="8" t="s">
        <v>14</v>
      </c>
      <c r="D1158" s="8" t="str">
        <f>"羊贵东"</f>
        <v>羊贵东</v>
      </c>
      <c r="E1158" s="8" t="str">
        <f>"男"</f>
        <v>男</v>
      </c>
    </row>
    <row r="1159" spans="1:5" ht="19.5" customHeight="1">
      <c r="A1159" s="8">
        <v>1157</v>
      </c>
      <c r="B1159" s="8" t="str">
        <f>"21902020071410554826462"</f>
        <v>21902020071410554826462</v>
      </c>
      <c r="C1159" s="8" t="s">
        <v>14</v>
      </c>
      <c r="D1159" s="8" t="str">
        <f>"郑应平"</f>
        <v>郑应平</v>
      </c>
      <c r="E1159" s="8" t="str">
        <f>"男"</f>
        <v>男</v>
      </c>
    </row>
    <row r="1160" spans="1:5" ht="19.5" customHeight="1">
      <c r="A1160" s="8">
        <v>1158</v>
      </c>
      <c r="B1160" s="8" t="str">
        <f>"21902020071410570426468"</f>
        <v>21902020071410570426468</v>
      </c>
      <c r="C1160" s="8" t="s">
        <v>14</v>
      </c>
      <c r="D1160" s="8" t="str">
        <f>"符启庵"</f>
        <v>符启庵</v>
      </c>
      <c r="E1160" s="8" t="str">
        <f>"男"</f>
        <v>男</v>
      </c>
    </row>
    <row r="1161" spans="1:5" ht="19.5" customHeight="1">
      <c r="A1161" s="8">
        <v>1159</v>
      </c>
      <c r="B1161" s="8" t="str">
        <f>"21902020071410584326471"</f>
        <v>21902020071410584326471</v>
      </c>
      <c r="C1161" s="8" t="s">
        <v>14</v>
      </c>
      <c r="D1161" s="8" t="str">
        <f>"覃湘湘"</f>
        <v>覃湘湘</v>
      </c>
      <c r="E1161" s="8" t="str">
        <f>"女"</f>
        <v>女</v>
      </c>
    </row>
    <row r="1162" spans="1:5" ht="19.5" customHeight="1">
      <c r="A1162" s="8">
        <v>1160</v>
      </c>
      <c r="B1162" s="8" t="str">
        <f>"21902020071410584826472"</f>
        <v>21902020071410584826472</v>
      </c>
      <c r="C1162" s="8" t="s">
        <v>14</v>
      </c>
      <c r="D1162" s="8" t="str">
        <f>"王安琪"</f>
        <v>王安琪</v>
      </c>
      <c r="E1162" s="8" t="str">
        <f>"女"</f>
        <v>女</v>
      </c>
    </row>
    <row r="1163" spans="1:5" ht="19.5" customHeight="1">
      <c r="A1163" s="8">
        <v>1161</v>
      </c>
      <c r="B1163" s="8" t="str">
        <f>"21902020071411032326481"</f>
        <v>21902020071411032326481</v>
      </c>
      <c r="C1163" s="8" t="s">
        <v>14</v>
      </c>
      <c r="D1163" s="8" t="str">
        <f>"张泽廷"</f>
        <v>张泽廷</v>
      </c>
      <c r="E1163" s="8" t="str">
        <f>"男"</f>
        <v>男</v>
      </c>
    </row>
    <row r="1164" spans="1:5" ht="19.5" customHeight="1">
      <c r="A1164" s="8">
        <v>1162</v>
      </c>
      <c r="B1164" s="8" t="str">
        <f>"21902020071411041226484"</f>
        <v>21902020071411041226484</v>
      </c>
      <c r="C1164" s="8" t="s">
        <v>14</v>
      </c>
      <c r="D1164" s="8" t="str">
        <f>"谢爱玲"</f>
        <v>谢爱玲</v>
      </c>
      <c r="E1164" s="8" t="str">
        <f>"女"</f>
        <v>女</v>
      </c>
    </row>
    <row r="1165" spans="1:5" ht="19.5" customHeight="1">
      <c r="A1165" s="8">
        <v>1163</v>
      </c>
      <c r="B1165" s="8" t="str">
        <f>"21902020071411084526505"</f>
        <v>21902020071411084526505</v>
      </c>
      <c r="C1165" s="8" t="s">
        <v>14</v>
      </c>
      <c r="D1165" s="8" t="str">
        <f>"李栋统"</f>
        <v>李栋统</v>
      </c>
      <c r="E1165" s="8" t="str">
        <f>"男"</f>
        <v>男</v>
      </c>
    </row>
    <row r="1166" spans="1:5" ht="19.5" customHeight="1">
      <c r="A1166" s="8">
        <v>1164</v>
      </c>
      <c r="B1166" s="8" t="str">
        <f>"21902020071411093726506"</f>
        <v>21902020071411093726506</v>
      </c>
      <c r="C1166" s="8" t="s">
        <v>14</v>
      </c>
      <c r="D1166" s="8" t="str">
        <f>"符儒群"</f>
        <v>符儒群</v>
      </c>
      <c r="E1166" s="8" t="str">
        <f>"男"</f>
        <v>男</v>
      </c>
    </row>
    <row r="1167" spans="1:5" ht="19.5" customHeight="1">
      <c r="A1167" s="8">
        <v>1165</v>
      </c>
      <c r="B1167" s="8" t="str">
        <f>"21902020071411111426514"</f>
        <v>21902020071411111426514</v>
      </c>
      <c r="C1167" s="8" t="s">
        <v>14</v>
      </c>
      <c r="D1167" s="8" t="str">
        <f>"郭卓参"</f>
        <v>郭卓参</v>
      </c>
      <c r="E1167" s="8" t="str">
        <f>"男"</f>
        <v>男</v>
      </c>
    </row>
    <row r="1168" spans="1:5" ht="19.5" customHeight="1">
      <c r="A1168" s="8">
        <v>1166</v>
      </c>
      <c r="B1168" s="8" t="str">
        <f>"21902020071411120726519"</f>
        <v>21902020071411120726519</v>
      </c>
      <c r="C1168" s="8" t="s">
        <v>14</v>
      </c>
      <c r="D1168" s="8" t="str">
        <f>"符英平"</f>
        <v>符英平</v>
      </c>
      <c r="E1168" s="8" t="str">
        <f>"男"</f>
        <v>男</v>
      </c>
    </row>
    <row r="1169" spans="1:5" ht="19.5" customHeight="1">
      <c r="A1169" s="8">
        <v>1167</v>
      </c>
      <c r="B1169" s="8" t="str">
        <f>"21902020071411122326521"</f>
        <v>21902020071411122326521</v>
      </c>
      <c r="C1169" s="8" t="s">
        <v>14</v>
      </c>
      <c r="D1169" s="8" t="str">
        <f>"黎琼博"</f>
        <v>黎琼博</v>
      </c>
      <c r="E1169" s="8" t="str">
        <f>"男"</f>
        <v>男</v>
      </c>
    </row>
    <row r="1170" spans="1:5" ht="19.5" customHeight="1">
      <c r="A1170" s="8">
        <v>1168</v>
      </c>
      <c r="B1170" s="8" t="str">
        <f>"21902020071411131026524"</f>
        <v>21902020071411131026524</v>
      </c>
      <c r="C1170" s="8" t="s">
        <v>14</v>
      </c>
      <c r="D1170" s="8" t="str">
        <f>"符代玉"</f>
        <v>符代玉</v>
      </c>
      <c r="E1170" s="8" t="str">
        <f>"女"</f>
        <v>女</v>
      </c>
    </row>
    <row r="1171" spans="1:5" ht="19.5" customHeight="1">
      <c r="A1171" s="8">
        <v>1169</v>
      </c>
      <c r="B1171" s="8" t="str">
        <f>"21902020071411131826525"</f>
        <v>21902020071411131826525</v>
      </c>
      <c r="C1171" s="8" t="s">
        <v>14</v>
      </c>
      <c r="D1171" s="8" t="str">
        <f>"李永晋"</f>
        <v>李永晋</v>
      </c>
      <c r="E1171" s="8" t="str">
        <f aca="true" t="shared" si="120" ref="E1171:E1176">"男"</f>
        <v>男</v>
      </c>
    </row>
    <row r="1172" spans="1:5" ht="19.5" customHeight="1">
      <c r="A1172" s="8">
        <v>1170</v>
      </c>
      <c r="B1172" s="8" t="str">
        <f>"21902020071411161126531"</f>
        <v>21902020071411161126531</v>
      </c>
      <c r="C1172" s="8" t="s">
        <v>14</v>
      </c>
      <c r="D1172" s="8" t="str">
        <f>"符崇慧"</f>
        <v>符崇慧</v>
      </c>
      <c r="E1172" s="8" t="str">
        <f t="shared" si="120"/>
        <v>男</v>
      </c>
    </row>
    <row r="1173" spans="1:5" ht="19.5" customHeight="1">
      <c r="A1173" s="8">
        <v>1171</v>
      </c>
      <c r="B1173" s="8" t="str">
        <f>"21902020071411191026540"</f>
        <v>21902020071411191026540</v>
      </c>
      <c r="C1173" s="8" t="s">
        <v>14</v>
      </c>
      <c r="D1173" s="8" t="str">
        <f>"陈东蕃"</f>
        <v>陈东蕃</v>
      </c>
      <c r="E1173" s="8" t="str">
        <f t="shared" si="120"/>
        <v>男</v>
      </c>
    </row>
    <row r="1174" spans="1:5" ht="19.5" customHeight="1">
      <c r="A1174" s="8">
        <v>1172</v>
      </c>
      <c r="B1174" s="8" t="str">
        <f>"21902020071411235826552"</f>
        <v>21902020071411235826552</v>
      </c>
      <c r="C1174" s="8" t="s">
        <v>14</v>
      </c>
      <c r="D1174" s="8" t="str">
        <f>"李达波"</f>
        <v>李达波</v>
      </c>
      <c r="E1174" s="8" t="str">
        <f t="shared" si="120"/>
        <v>男</v>
      </c>
    </row>
    <row r="1175" spans="1:5" ht="19.5" customHeight="1">
      <c r="A1175" s="8">
        <v>1173</v>
      </c>
      <c r="B1175" s="8" t="str">
        <f>"21902020071411303026560"</f>
        <v>21902020071411303026560</v>
      </c>
      <c r="C1175" s="8" t="s">
        <v>14</v>
      </c>
      <c r="D1175" s="8" t="str">
        <f>"黄启臣"</f>
        <v>黄启臣</v>
      </c>
      <c r="E1175" s="8" t="str">
        <f t="shared" si="120"/>
        <v>男</v>
      </c>
    </row>
    <row r="1176" spans="1:5" ht="19.5" customHeight="1">
      <c r="A1176" s="8">
        <v>1174</v>
      </c>
      <c r="B1176" s="8" t="str">
        <f>"21902020071411431226587"</f>
        <v>21902020071411431226587</v>
      </c>
      <c r="C1176" s="8" t="s">
        <v>14</v>
      </c>
      <c r="D1176" s="8" t="str">
        <f>"李梁统"</f>
        <v>李梁统</v>
      </c>
      <c r="E1176" s="8" t="str">
        <f t="shared" si="120"/>
        <v>男</v>
      </c>
    </row>
    <row r="1177" spans="1:5" ht="19.5" customHeight="1">
      <c r="A1177" s="8">
        <v>1175</v>
      </c>
      <c r="B1177" s="8" t="str">
        <f>"21902020071411431726590"</f>
        <v>21902020071411431726590</v>
      </c>
      <c r="C1177" s="8" t="s">
        <v>14</v>
      </c>
      <c r="D1177" s="8" t="str">
        <f>"何秀花"</f>
        <v>何秀花</v>
      </c>
      <c r="E1177" s="8" t="str">
        <f>"女"</f>
        <v>女</v>
      </c>
    </row>
    <row r="1178" spans="1:5" ht="19.5" customHeight="1">
      <c r="A1178" s="8">
        <v>1176</v>
      </c>
      <c r="B1178" s="8" t="str">
        <f>"21902020071411525026618"</f>
        <v>21902020071411525026618</v>
      </c>
      <c r="C1178" s="8" t="s">
        <v>14</v>
      </c>
      <c r="D1178" s="8" t="str">
        <f>"黄丽宏"</f>
        <v>黄丽宏</v>
      </c>
      <c r="E1178" s="8" t="str">
        <f>"女"</f>
        <v>女</v>
      </c>
    </row>
    <row r="1179" spans="1:5" ht="19.5" customHeight="1">
      <c r="A1179" s="8">
        <v>1177</v>
      </c>
      <c r="B1179" s="8" t="str">
        <f>"21902020071411532526620"</f>
        <v>21902020071411532526620</v>
      </c>
      <c r="C1179" s="8" t="s">
        <v>14</v>
      </c>
      <c r="D1179" s="8" t="str">
        <f>"朱树帜"</f>
        <v>朱树帜</v>
      </c>
      <c r="E1179" s="8" t="str">
        <f>"男"</f>
        <v>男</v>
      </c>
    </row>
    <row r="1180" spans="1:5" ht="19.5" customHeight="1">
      <c r="A1180" s="8">
        <v>1178</v>
      </c>
      <c r="B1180" s="8" t="str">
        <f>"21902020071411535326621"</f>
        <v>21902020071411535326621</v>
      </c>
      <c r="C1180" s="8" t="s">
        <v>14</v>
      </c>
      <c r="D1180" s="8" t="str">
        <f>"石珠花"</f>
        <v>石珠花</v>
      </c>
      <c r="E1180" s="8" t="str">
        <f>"女"</f>
        <v>女</v>
      </c>
    </row>
    <row r="1181" spans="1:5" ht="19.5" customHeight="1">
      <c r="A1181" s="8">
        <v>1179</v>
      </c>
      <c r="B1181" s="8" t="str">
        <f>"21902020071411545526624"</f>
        <v>21902020071411545526624</v>
      </c>
      <c r="C1181" s="8" t="s">
        <v>14</v>
      </c>
      <c r="D1181" s="8" t="str">
        <f>"张俊扬"</f>
        <v>张俊扬</v>
      </c>
      <c r="E1181" s="8" t="str">
        <f>"男"</f>
        <v>男</v>
      </c>
    </row>
    <row r="1182" spans="1:5" ht="19.5" customHeight="1">
      <c r="A1182" s="8">
        <v>1180</v>
      </c>
      <c r="B1182" s="8" t="str">
        <f>"21902020071411553626626"</f>
        <v>21902020071411553626626</v>
      </c>
      <c r="C1182" s="8" t="s">
        <v>14</v>
      </c>
      <c r="D1182" s="8" t="str">
        <f>"陈德珅"</f>
        <v>陈德珅</v>
      </c>
      <c r="E1182" s="8" t="str">
        <f>"男"</f>
        <v>男</v>
      </c>
    </row>
    <row r="1183" spans="1:5" ht="19.5" customHeight="1">
      <c r="A1183" s="8">
        <v>1181</v>
      </c>
      <c r="B1183" s="8" t="str">
        <f>"21902020071412050526643"</f>
        <v>21902020071412050526643</v>
      </c>
      <c r="C1183" s="8" t="s">
        <v>14</v>
      </c>
      <c r="D1183" s="8" t="str">
        <f>"李江海"</f>
        <v>李江海</v>
      </c>
      <c r="E1183" s="8" t="str">
        <f>"男"</f>
        <v>男</v>
      </c>
    </row>
    <row r="1184" spans="1:5" ht="19.5" customHeight="1">
      <c r="A1184" s="8">
        <v>1182</v>
      </c>
      <c r="B1184" s="8" t="str">
        <f>"21902020071412062926646"</f>
        <v>21902020071412062926646</v>
      </c>
      <c r="C1184" s="8" t="s">
        <v>14</v>
      </c>
      <c r="D1184" s="8" t="str">
        <f>"莫莹婷"</f>
        <v>莫莹婷</v>
      </c>
      <c r="E1184" s="8" t="str">
        <f>"女"</f>
        <v>女</v>
      </c>
    </row>
    <row r="1185" spans="1:5" ht="19.5" customHeight="1">
      <c r="A1185" s="8">
        <v>1183</v>
      </c>
      <c r="B1185" s="8" t="str">
        <f>"21902020071412075326649"</f>
        <v>21902020071412075326649</v>
      </c>
      <c r="C1185" s="8" t="s">
        <v>14</v>
      </c>
      <c r="D1185" s="8" t="str">
        <f>"陈丹兰"</f>
        <v>陈丹兰</v>
      </c>
      <c r="E1185" s="8" t="str">
        <f>"女"</f>
        <v>女</v>
      </c>
    </row>
    <row r="1186" spans="1:5" ht="19.5" customHeight="1">
      <c r="A1186" s="8">
        <v>1184</v>
      </c>
      <c r="B1186" s="8" t="str">
        <f>"21902020071412165426657"</f>
        <v>21902020071412165426657</v>
      </c>
      <c r="C1186" s="8" t="s">
        <v>14</v>
      </c>
      <c r="D1186" s="8" t="str">
        <f>"曾常凤"</f>
        <v>曾常凤</v>
      </c>
      <c r="E1186" s="8" t="str">
        <f>"女"</f>
        <v>女</v>
      </c>
    </row>
    <row r="1187" spans="1:5" ht="19.5" customHeight="1">
      <c r="A1187" s="8">
        <v>1185</v>
      </c>
      <c r="B1187" s="8" t="str">
        <f>"21902020071412193526661"</f>
        <v>21902020071412193526661</v>
      </c>
      <c r="C1187" s="8" t="s">
        <v>14</v>
      </c>
      <c r="D1187" s="8" t="str">
        <f>"符以全"</f>
        <v>符以全</v>
      </c>
      <c r="E1187" s="8" t="str">
        <f>"男"</f>
        <v>男</v>
      </c>
    </row>
    <row r="1188" spans="1:5" ht="19.5" customHeight="1">
      <c r="A1188" s="8">
        <v>1186</v>
      </c>
      <c r="B1188" s="8" t="str">
        <f>"21902020071412201126664"</f>
        <v>21902020071412201126664</v>
      </c>
      <c r="C1188" s="8" t="s">
        <v>14</v>
      </c>
      <c r="D1188" s="8" t="str">
        <f>"吴秋荣"</f>
        <v>吴秋荣</v>
      </c>
      <c r="E1188" s="8" t="str">
        <f>"男"</f>
        <v>男</v>
      </c>
    </row>
    <row r="1189" spans="1:5" ht="19.5" customHeight="1">
      <c r="A1189" s="8">
        <v>1187</v>
      </c>
      <c r="B1189" s="8" t="str">
        <f>"21902020071412225526669"</f>
        <v>21902020071412225526669</v>
      </c>
      <c r="C1189" s="8" t="s">
        <v>14</v>
      </c>
      <c r="D1189" s="8" t="str">
        <f>"许学尚"</f>
        <v>许学尚</v>
      </c>
      <c r="E1189" s="8" t="str">
        <f>"男"</f>
        <v>男</v>
      </c>
    </row>
    <row r="1190" spans="1:5" ht="19.5" customHeight="1">
      <c r="A1190" s="8">
        <v>1188</v>
      </c>
      <c r="B1190" s="8" t="str">
        <f>"21902020071412241626672"</f>
        <v>21902020071412241626672</v>
      </c>
      <c r="C1190" s="8" t="s">
        <v>14</v>
      </c>
      <c r="D1190" s="8" t="str">
        <f>"孙玉莹"</f>
        <v>孙玉莹</v>
      </c>
      <c r="E1190" s="8" t="str">
        <f>"女"</f>
        <v>女</v>
      </c>
    </row>
    <row r="1191" spans="1:5" ht="19.5" customHeight="1">
      <c r="A1191" s="8">
        <v>1189</v>
      </c>
      <c r="B1191" s="8" t="str">
        <f>"21902020071412245326673"</f>
        <v>21902020071412245326673</v>
      </c>
      <c r="C1191" s="8" t="s">
        <v>14</v>
      </c>
      <c r="D1191" s="8" t="str">
        <f>"符席珍"</f>
        <v>符席珍</v>
      </c>
      <c r="E1191" s="8" t="str">
        <f>"男"</f>
        <v>男</v>
      </c>
    </row>
    <row r="1192" spans="1:5" ht="19.5" customHeight="1">
      <c r="A1192" s="8">
        <v>1190</v>
      </c>
      <c r="B1192" s="8" t="str">
        <f>"21902020071412321126685"</f>
        <v>21902020071412321126685</v>
      </c>
      <c r="C1192" s="8" t="s">
        <v>14</v>
      </c>
      <c r="D1192" s="8" t="str">
        <f>"李儒贤"</f>
        <v>李儒贤</v>
      </c>
      <c r="E1192" s="8" t="str">
        <f>"男"</f>
        <v>男</v>
      </c>
    </row>
    <row r="1193" spans="1:5" ht="19.5" customHeight="1">
      <c r="A1193" s="8">
        <v>1191</v>
      </c>
      <c r="B1193" s="8" t="str">
        <f>"21902020071412342926690"</f>
        <v>21902020071412342926690</v>
      </c>
      <c r="C1193" s="8" t="s">
        <v>14</v>
      </c>
      <c r="D1193" s="8" t="str">
        <f>"符春香"</f>
        <v>符春香</v>
      </c>
      <c r="E1193" s="8" t="str">
        <f>"女"</f>
        <v>女</v>
      </c>
    </row>
    <row r="1194" spans="1:5" ht="19.5" customHeight="1">
      <c r="A1194" s="8">
        <v>1192</v>
      </c>
      <c r="B1194" s="8" t="str">
        <f>"21902020071412352726692"</f>
        <v>21902020071412352726692</v>
      </c>
      <c r="C1194" s="8" t="s">
        <v>14</v>
      </c>
      <c r="D1194" s="8" t="str">
        <f>"符锡秋"</f>
        <v>符锡秋</v>
      </c>
      <c r="E1194" s="8" t="str">
        <f>"男"</f>
        <v>男</v>
      </c>
    </row>
    <row r="1195" spans="1:5" ht="19.5" customHeight="1">
      <c r="A1195" s="8">
        <v>1193</v>
      </c>
      <c r="B1195" s="8" t="str">
        <f>"21902020071412383226696"</f>
        <v>21902020071412383226696</v>
      </c>
      <c r="C1195" s="8" t="s">
        <v>14</v>
      </c>
      <c r="D1195" s="8" t="str">
        <f>"吴启庭"</f>
        <v>吴启庭</v>
      </c>
      <c r="E1195" s="8" t="str">
        <f>"男"</f>
        <v>男</v>
      </c>
    </row>
    <row r="1196" spans="1:5" ht="19.5" customHeight="1">
      <c r="A1196" s="8">
        <v>1194</v>
      </c>
      <c r="B1196" s="8" t="str">
        <f>"21902020071412400626700"</f>
        <v>21902020071412400626700</v>
      </c>
      <c r="C1196" s="8" t="s">
        <v>14</v>
      </c>
      <c r="D1196" s="8" t="str">
        <f>"陆玉楠"</f>
        <v>陆玉楠</v>
      </c>
      <c r="E1196" s="8" t="str">
        <f>"男"</f>
        <v>男</v>
      </c>
    </row>
    <row r="1197" spans="1:5" ht="19.5" customHeight="1">
      <c r="A1197" s="8">
        <v>1195</v>
      </c>
      <c r="B1197" s="8" t="str">
        <f>"21902020071412481326715"</f>
        <v>21902020071412481326715</v>
      </c>
      <c r="C1197" s="8" t="s">
        <v>14</v>
      </c>
      <c r="D1197" s="8" t="str">
        <f>"陈君候"</f>
        <v>陈君候</v>
      </c>
      <c r="E1197" s="8" t="str">
        <f>"男"</f>
        <v>男</v>
      </c>
    </row>
    <row r="1198" spans="1:5" ht="19.5" customHeight="1">
      <c r="A1198" s="8">
        <v>1196</v>
      </c>
      <c r="B1198" s="8" t="str">
        <f>"21902020071412523926720"</f>
        <v>21902020071412523926720</v>
      </c>
      <c r="C1198" s="8" t="s">
        <v>14</v>
      </c>
      <c r="D1198" s="8" t="str">
        <f>"陈翅洪"</f>
        <v>陈翅洪</v>
      </c>
      <c r="E1198" s="8" t="str">
        <f>"男"</f>
        <v>男</v>
      </c>
    </row>
    <row r="1199" spans="1:5" ht="19.5" customHeight="1">
      <c r="A1199" s="8">
        <v>1197</v>
      </c>
      <c r="B1199" s="8" t="str">
        <f>"21902020071412574926729"</f>
        <v>21902020071412574926729</v>
      </c>
      <c r="C1199" s="8" t="s">
        <v>14</v>
      </c>
      <c r="D1199" s="8" t="str">
        <f>"庞玉婕"</f>
        <v>庞玉婕</v>
      </c>
      <c r="E1199" s="8" t="str">
        <f>"女"</f>
        <v>女</v>
      </c>
    </row>
    <row r="1200" spans="1:5" ht="19.5" customHeight="1">
      <c r="A1200" s="8">
        <v>1198</v>
      </c>
      <c r="B1200" s="8" t="str">
        <f>"21902020071413030626585"</f>
        <v>21902020071413030626585</v>
      </c>
      <c r="C1200" s="8" t="s">
        <v>14</v>
      </c>
      <c r="D1200" s="8" t="str">
        <f>"唐用恒"</f>
        <v>唐用恒</v>
      </c>
      <c r="E1200" s="8" t="str">
        <f>"男"</f>
        <v>男</v>
      </c>
    </row>
    <row r="1201" spans="1:5" ht="19.5" customHeight="1">
      <c r="A1201" s="8">
        <v>1199</v>
      </c>
      <c r="B1201" s="8" t="str">
        <f>"21902020071413161926761"</f>
        <v>21902020071413161926761</v>
      </c>
      <c r="C1201" s="8" t="s">
        <v>14</v>
      </c>
      <c r="D1201" s="8" t="str">
        <f>"陈精贤"</f>
        <v>陈精贤</v>
      </c>
      <c r="E1201" s="8" t="str">
        <f>"男"</f>
        <v>男</v>
      </c>
    </row>
    <row r="1202" spans="1:5" ht="19.5" customHeight="1">
      <c r="A1202" s="8">
        <v>1200</v>
      </c>
      <c r="B1202" s="8" t="str">
        <f>"21902020071413164926762"</f>
        <v>21902020071413164926762</v>
      </c>
      <c r="C1202" s="8" t="s">
        <v>14</v>
      </c>
      <c r="D1202" s="8" t="str">
        <f>"叶发连"</f>
        <v>叶发连</v>
      </c>
      <c r="E1202" s="8" t="str">
        <f>"女"</f>
        <v>女</v>
      </c>
    </row>
    <row r="1203" spans="1:5" ht="19.5" customHeight="1">
      <c r="A1203" s="8">
        <v>1201</v>
      </c>
      <c r="B1203" s="8" t="str">
        <f>"21902020071413342726789"</f>
        <v>21902020071413342726789</v>
      </c>
      <c r="C1203" s="8" t="s">
        <v>14</v>
      </c>
      <c r="D1203" s="8" t="str">
        <f>"徐斯桦"</f>
        <v>徐斯桦</v>
      </c>
      <c r="E1203" s="8" t="str">
        <f>"女"</f>
        <v>女</v>
      </c>
    </row>
    <row r="1204" spans="1:5" ht="19.5" customHeight="1">
      <c r="A1204" s="8">
        <v>1202</v>
      </c>
      <c r="B1204" s="8" t="str">
        <f>"21902020071413442626799"</f>
        <v>21902020071413442626799</v>
      </c>
      <c r="C1204" s="8" t="s">
        <v>14</v>
      </c>
      <c r="D1204" s="8" t="str">
        <f>"陈金凤"</f>
        <v>陈金凤</v>
      </c>
      <c r="E1204" s="8" t="str">
        <f>"女"</f>
        <v>女</v>
      </c>
    </row>
    <row r="1205" spans="1:5" ht="19.5" customHeight="1">
      <c r="A1205" s="8">
        <v>1203</v>
      </c>
      <c r="B1205" s="8" t="str">
        <f>"21902020071413485626805"</f>
        <v>21902020071413485626805</v>
      </c>
      <c r="C1205" s="8" t="s">
        <v>14</v>
      </c>
      <c r="D1205" s="8" t="str">
        <f>"陈其像"</f>
        <v>陈其像</v>
      </c>
      <c r="E1205" s="8" t="str">
        <f>"男"</f>
        <v>男</v>
      </c>
    </row>
    <row r="1206" spans="1:5" ht="19.5" customHeight="1">
      <c r="A1206" s="8">
        <v>1204</v>
      </c>
      <c r="B1206" s="8" t="str">
        <f>"21902020071414042326820"</f>
        <v>21902020071414042326820</v>
      </c>
      <c r="C1206" s="8" t="s">
        <v>14</v>
      </c>
      <c r="D1206" s="8" t="str">
        <f>"李文秀"</f>
        <v>李文秀</v>
      </c>
      <c r="E1206" s="8" t="str">
        <f>"女"</f>
        <v>女</v>
      </c>
    </row>
    <row r="1207" spans="1:5" ht="19.5" customHeight="1">
      <c r="A1207" s="8">
        <v>1205</v>
      </c>
      <c r="B1207" s="8" t="str">
        <f>"21902020071414154026834"</f>
        <v>21902020071414154026834</v>
      </c>
      <c r="C1207" s="8" t="s">
        <v>14</v>
      </c>
      <c r="D1207" s="8" t="str">
        <f>"陈彩虹"</f>
        <v>陈彩虹</v>
      </c>
      <c r="E1207" s="8" t="str">
        <f>"女"</f>
        <v>女</v>
      </c>
    </row>
    <row r="1208" spans="1:5" ht="19.5" customHeight="1">
      <c r="A1208" s="8">
        <v>1206</v>
      </c>
      <c r="B1208" s="8" t="str">
        <f>"21902020071414165926835"</f>
        <v>21902020071414165926835</v>
      </c>
      <c r="C1208" s="8" t="s">
        <v>14</v>
      </c>
      <c r="D1208" s="8" t="str">
        <f>"李夏精"</f>
        <v>李夏精</v>
      </c>
      <c r="E1208" s="8" t="str">
        <f>"男"</f>
        <v>男</v>
      </c>
    </row>
    <row r="1209" spans="1:5" ht="19.5" customHeight="1">
      <c r="A1209" s="8">
        <v>1207</v>
      </c>
      <c r="B1209" s="8" t="str">
        <f>"21902020071414190526839"</f>
        <v>21902020071414190526839</v>
      </c>
      <c r="C1209" s="8" t="s">
        <v>14</v>
      </c>
      <c r="D1209" s="8" t="str">
        <f>"钟照莲"</f>
        <v>钟照莲</v>
      </c>
      <c r="E1209" s="8" t="str">
        <f>"女"</f>
        <v>女</v>
      </c>
    </row>
    <row r="1210" spans="1:5" ht="19.5" customHeight="1">
      <c r="A1210" s="8">
        <v>1208</v>
      </c>
      <c r="B1210" s="8" t="str">
        <f>"21902020071414331726859"</f>
        <v>21902020071414331726859</v>
      </c>
      <c r="C1210" s="8" t="s">
        <v>14</v>
      </c>
      <c r="D1210" s="8" t="str">
        <f>"许卓科"</f>
        <v>许卓科</v>
      </c>
      <c r="E1210" s="8" t="str">
        <f>"男"</f>
        <v>男</v>
      </c>
    </row>
    <row r="1211" spans="1:5" ht="19.5" customHeight="1">
      <c r="A1211" s="8">
        <v>1209</v>
      </c>
      <c r="B1211" s="8" t="str">
        <f>"21902020071414334626861"</f>
        <v>21902020071414334626861</v>
      </c>
      <c r="C1211" s="8" t="s">
        <v>14</v>
      </c>
      <c r="D1211" s="8" t="str">
        <f>"黎祖平"</f>
        <v>黎祖平</v>
      </c>
      <c r="E1211" s="8" t="str">
        <f>"男"</f>
        <v>男</v>
      </c>
    </row>
    <row r="1212" spans="1:5" ht="19.5" customHeight="1">
      <c r="A1212" s="8">
        <v>1210</v>
      </c>
      <c r="B1212" s="8" t="str">
        <f>"21902020071414362026868"</f>
        <v>21902020071414362026868</v>
      </c>
      <c r="C1212" s="8" t="s">
        <v>14</v>
      </c>
      <c r="D1212" s="8" t="str">
        <f>"韦美英"</f>
        <v>韦美英</v>
      </c>
      <c r="E1212" s="8" t="str">
        <f>"女"</f>
        <v>女</v>
      </c>
    </row>
    <row r="1213" spans="1:5" ht="19.5" customHeight="1">
      <c r="A1213" s="8">
        <v>1211</v>
      </c>
      <c r="B1213" s="8" t="str">
        <f>"21902020071414403126874"</f>
        <v>21902020071414403126874</v>
      </c>
      <c r="C1213" s="8" t="s">
        <v>14</v>
      </c>
      <c r="D1213" s="8" t="str">
        <f>"唐仁精"</f>
        <v>唐仁精</v>
      </c>
      <c r="E1213" s="8" t="str">
        <f>"男"</f>
        <v>男</v>
      </c>
    </row>
    <row r="1214" spans="1:5" ht="19.5" customHeight="1">
      <c r="A1214" s="8">
        <v>1212</v>
      </c>
      <c r="B1214" s="8" t="str">
        <f>"21902020071414543226901"</f>
        <v>21902020071414543226901</v>
      </c>
      <c r="C1214" s="8" t="s">
        <v>14</v>
      </c>
      <c r="D1214" s="8" t="str">
        <f>"朱春芳"</f>
        <v>朱春芳</v>
      </c>
      <c r="E1214" s="8" t="str">
        <f>"女"</f>
        <v>女</v>
      </c>
    </row>
    <row r="1215" spans="1:5" ht="19.5" customHeight="1">
      <c r="A1215" s="8">
        <v>1213</v>
      </c>
      <c r="B1215" s="8" t="str">
        <f>"21902020071414555526903"</f>
        <v>21902020071414555526903</v>
      </c>
      <c r="C1215" s="8" t="s">
        <v>14</v>
      </c>
      <c r="D1215" s="8" t="str">
        <f>"符磊"</f>
        <v>符磊</v>
      </c>
      <c r="E1215" s="8" t="str">
        <f>"男"</f>
        <v>男</v>
      </c>
    </row>
    <row r="1216" spans="1:5" ht="19.5" customHeight="1">
      <c r="A1216" s="8">
        <v>1214</v>
      </c>
      <c r="B1216" s="8" t="str">
        <f>"21902020071415003326913"</f>
        <v>21902020071415003326913</v>
      </c>
      <c r="C1216" s="8" t="s">
        <v>14</v>
      </c>
      <c r="D1216" s="8" t="str">
        <f>"黎万师"</f>
        <v>黎万师</v>
      </c>
      <c r="E1216" s="8" t="str">
        <f>"男"</f>
        <v>男</v>
      </c>
    </row>
    <row r="1217" spans="1:5" ht="19.5" customHeight="1">
      <c r="A1217" s="8">
        <v>1215</v>
      </c>
      <c r="B1217" s="8" t="str">
        <f>"21902020071415075626925"</f>
        <v>21902020071415075626925</v>
      </c>
      <c r="C1217" s="8" t="s">
        <v>14</v>
      </c>
      <c r="D1217" s="8" t="str">
        <f>"李爱菊"</f>
        <v>李爱菊</v>
      </c>
      <c r="E1217" s="8" t="str">
        <f>"女"</f>
        <v>女</v>
      </c>
    </row>
    <row r="1218" spans="1:5" ht="19.5" customHeight="1">
      <c r="A1218" s="8">
        <v>1216</v>
      </c>
      <c r="B1218" s="8" t="str">
        <f>"21902020071415163026935"</f>
        <v>21902020071415163026935</v>
      </c>
      <c r="C1218" s="8" t="s">
        <v>14</v>
      </c>
      <c r="D1218" s="8" t="str">
        <f>"张英莉"</f>
        <v>张英莉</v>
      </c>
      <c r="E1218" s="8" t="str">
        <f>"女"</f>
        <v>女</v>
      </c>
    </row>
    <row r="1219" spans="1:5" ht="19.5" customHeight="1">
      <c r="A1219" s="8">
        <v>1217</v>
      </c>
      <c r="B1219" s="8" t="str">
        <f>"21902020071415195926943"</f>
        <v>21902020071415195926943</v>
      </c>
      <c r="C1219" s="8" t="s">
        <v>14</v>
      </c>
      <c r="D1219" s="8" t="str">
        <f>"林克彬"</f>
        <v>林克彬</v>
      </c>
      <c r="E1219" s="8" t="str">
        <f>"男"</f>
        <v>男</v>
      </c>
    </row>
    <row r="1220" spans="1:5" ht="19.5" customHeight="1">
      <c r="A1220" s="8">
        <v>1218</v>
      </c>
      <c r="B1220" s="8" t="str">
        <f>"21902020071415223426945"</f>
        <v>21902020071415223426945</v>
      </c>
      <c r="C1220" s="8" t="s">
        <v>14</v>
      </c>
      <c r="D1220" s="8" t="str">
        <f>"李秋金"</f>
        <v>李秋金</v>
      </c>
      <c r="E1220" s="8" t="str">
        <f>"女"</f>
        <v>女</v>
      </c>
    </row>
    <row r="1221" spans="1:5" ht="19.5" customHeight="1">
      <c r="A1221" s="8">
        <v>1219</v>
      </c>
      <c r="B1221" s="8" t="str">
        <f>"21902020071415333326964"</f>
        <v>21902020071415333326964</v>
      </c>
      <c r="C1221" s="8" t="s">
        <v>14</v>
      </c>
      <c r="D1221" s="8" t="str">
        <f>"周永山"</f>
        <v>周永山</v>
      </c>
      <c r="E1221" s="8" t="str">
        <f>"男"</f>
        <v>男</v>
      </c>
    </row>
    <row r="1222" spans="1:5" ht="19.5" customHeight="1">
      <c r="A1222" s="8">
        <v>1220</v>
      </c>
      <c r="B1222" s="8" t="str">
        <f>"21902020071415422526979"</f>
        <v>21902020071415422526979</v>
      </c>
      <c r="C1222" s="8" t="s">
        <v>14</v>
      </c>
      <c r="D1222" s="8" t="str">
        <f>"杨俊毅"</f>
        <v>杨俊毅</v>
      </c>
      <c r="E1222" s="8" t="str">
        <f>"男"</f>
        <v>男</v>
      </c>
    </row>
    <row r="1223" spans="1:5" ht="19.5" customHeight="1">
      <c r="A1223" s="8">
        <v>1221</v>
      </c>
      <c r="B1223" s="8" t="str">
        <f>"21902020071415462426981"</f>
        <v>21902020071415462426981</v>
      </c>
      <c r="C1223" s="8" t="s">
        <v>14</v>
      </c>
      <c r="D1223" s="8" t="str">
        <f>"麦豪强"</f>
        <v>麦豪强</v>
      </c>
      <c r="E1223" s="8" t="str">
        <f>"男"</f>
        <v>男</v>
      </c>
    </row>
    <row r="1224" spans="1:5" ht="19.5" customHeight="1">
      <c r="A1224" s="8">
        <v>1222</v>
      </c>
      <c r="B1224" s="8" t="str">
        <f>"21902020071415495126988"</f>
        <v>21902020071415495126988</v>
      </c>
      <c r="C1224" s="8" t="s">
        <v>14</v>
      </c>
      <c r="D1224" s="8" t="str">
        <f>"符亮梅"</f>
        <v>符亮梅</v>
      </c>
      <c r="E1224" s="8" t="str">
        <f>"女"</f>
        <v>女</v>
      </c>
    </row>
    <row r="1225" spans="1:5" ht="19.5" customHeight="1">
      <c r="A1225" s="8">
        <v>1223</v>
      </c>
      <c r="B1225" s="8" t="str">
        <f>"21902020071415555126997"</f>
        <v>21902020071415555126997</v>
      </c>
      <c r="C1225" s="8" t="s">
        <v>14</v>
      </c>
      <c r="D1225" s="8" t="str">
        <f>"黎妹珠"</f>
        <v>黎妹珠</v>
      </c>
      <c r="E1225" s="8" t="str">
        <f>"女"</f>
        <v>女</v>
      </c>
    </row>
    <row r="1226" spans="1:5" ht="19.5" customHeight="1">
      <c r="A1226" s="8">
        <v>1224</v>
      </c>
      <c r="B1226" s="8" t="str">
        <f>"21902020071415571926999"</f>
        <v>21902020071415571926999</v>
      </c>
      <c r="C1226" s="8" t="s">
        <v>14</v>
      </c>
      <c r="D1226" s="8" t="str">
        <f>"陈允丹"</f>
        <v>陈允丹</v>
      </c>
      <c r="E1226" s="8" t="str">
        <f>"女"</f>
        <v>女</v>
      </c>
    </row>
    <row r="1227" spans="1:5" ht="19.5" customHeight="1">
      <c r="A1227" s="8">
        <v>1225</v>
      </c>
      <c r="B1227" s="8" t="str">
        <f>"21902020071416010227012"</f>
        <v>21902020071416010227012</v>
      </c>
      <c r="C1227" s="8" t="s">
        <v>14</v>
      </c>
      <c r="D1227" s="8" t="str">
        <f>"羊月丹"</f>
        <v>羊月丹</v>
      </c>
      <c r="E1227" s="8" t="str">
        <f>"女"</f>
        <v>女</v>
      </c>
    </row>
    <row r="1228" spans="1:5" ht="19.5" customHeight="1">
      <c r="A1228" s="8">
        <v>1226</v>
      </c>
      <c r="B1228" s="8" t="str">
        <f>"21902020071416042727017"</f>
        <v>21902020071416042727017</v>
      </c>
      <c r="C1228" s="8" t="s">
        <v>14</v>
      </c>
      <c r="D1228" s="8" t="str">
        <f>"符琼瑜"</f>
        <v>符琼瑜</v>
      </c>
      <c r="E1228" s="8" t="str">
        <f>"男"</f>
        <v>男</v>
      </c>
    </row>
    <row r="1229" spans="1:5" ht="19.5" customHeight="1">
      <c r="A1229" s="8">
        <v>1227</v>
      </c>
      <c r="B1229" s="8" t="str">
        <f>"21902020071416181727037"</f>
        <v>21902020071416181727037</v>
      </c>
      <c r="C1229" s="8" t="s">
        <v>14</v>
      </c>
      <c r="D1229" s="8" t="str">
        <f>"符可意"</f>
        <v>符可意</v>
      </c>
      <c r="E1229" s="8" t="str">
        <f>"男"</f>
        <v>男</v>
      </c>
    </row>
    <row r="1230" spans="1:5" ht="19.5" customHeight="1">
      <c r="A1230" s="8">
        <v>1228</v>
      </c>
      <c r="B1230" s="8" t="str">
        <f>"21902020071416212527043"</f>
        <v>21902020071416212527043</v>
      </c>
      <c r="C1230" s="8" t="s">
        <v>14</v>
      </c>
      <c r="D1230" s="8" t="str">
        <f>"谢国栋"</f>
        <v>谢国栋</v>
      </c>
      <c r="E1230" s="8" t="str">
        <f>"男"</f>
        <v>男</v>
      </c>
    </row>
    <row r="1231" spans="1:5" ht="19.5" customHeight="1">
      <c r="A1231" s="8">
        <v>1229</v>
      </c>
      <c r="B1231" s="8" t="str">
        <f>"21902020071416220027046"</f>
        <v>21902020071416220027046</v>
      </c>
      <c r="C1231" s="8" t="s">
        <v>14</v>
      </c>
      <c r="D1231" s="8" t="str">
        <f>"董开安"</f>
        <v>董开安</v>
      </c>
      <c r="E1231" s="8" t="str">
        <f>"男"</f>
        <v>男</v>
      </c>
    </row>
    <row r="1232" spans="1:5" ht="19.5" customHeight="1">
      <c r="A1232" s="8">
        <v>1230</v>
      </c>
      <c r="B1232" s="8" t="str">
        <f>"21902020071416231527050"</f>
        <v>21902020071416231527050</v>
      </c>
      <c r="C1232" s="8" t="s">
        <v>14</v>
      </c>
      <c r="D1232" s="8" t="str">
        <f>"吴健娜"</f>
        <v>吴健娜</v>
      </c>
      <c r="E1232" s="8" t="str">
        <f>"女"</f>
        <v>女</v>
      </c>
    </row>
    <row r="1233" spans="1:5" ht="19.5" customHeight="1">
      <c r="A1233" s="8">
        <v>1231</v>
      </c>
      <c r="B1233" s="8" t="str">
        <f>"21902020071416272827062"</f>
        <v>21902020071416272827062</v>
      </c>
      <c r="C1233" s="8" t="s">
        <v>14</v>
      </c>
      <c r="D1233" s="8" t="str">
        <f>"何丽花"</f>
        <v>何丽花</v>
      </c>
      <c r="E1233" s="8" t="str">
        <f>"女"</f>
        <v>女</v>
      </c>
    </row>
    <row r="1234" spans="1:5" ht="19.5" customHeight="1">
      <c r="A1234" s="8">
        <v>1232</v>
      </c>
      <c r="B1234" s="8" t="str">
        <f>"21902020071416311427066"</f>
        <v>21902020071416311427066</v>
      </c>
      <c r="C1234" s="8" t="s">
        <v>14</v>
      </c>
      <c r="D1234" s="8" t="str">
        <f>"张森"</f>
        <v>张森</v>
      </c>
      <c r="E1234" s="8" t="str">
        <f>"男"</f>
        <v>男</v>
      </c>
    </row>
    <row r="1235" spans="1:5" ht="19.5" customHeight="1">
      <c r="A1235" s="8">
        <v>1233</v>
      </c>
      <c r="B1235" s="8" t="str">
        <f>"21902020071416360527079"</f>
        <v>21902020071416360527079</v>
      </c>
      <c r="C1235" s="8" t="s">
        <v>14</v>
      </c>
      <c r="D1235" s="8" t="str">
        <f>"朱圣臣"</f>
        <v>朱圣臣</v>
      </c>
      <c r="E1235" s="8" t="str">
        <f>"男"</f>
        <v>男</v>
      </c>
    </row>
    <row r="1236" spans="1:5" ht="19.5" customHeight="1">
      <c r="A1236" s="8">
        <v>1234</v>
      </c>
      <c r="B1236" s="8" t="str">
        <f>"21902020071416381227084"</f>
        <v>21902020071416381227084</v>
      </c>
      <c r="C1236" s="8" t="s">
        <v>14</v>
      </c>
      <c r="D1236" s="8" t="str">
        <f>"何天"</f>
        <v>何天</v>
      </c>
      <c r="E1236" s="8" t="str">
        <f>"男"</f>
        <v>男</v>
      </c>
    </row>
    <row r="1237" spans="1:5" ht="19.5" customHeight="1">
      <c r="A1237" s="8">
        <v>1235</v>
      </c>
      <c r="B1237" s="8" t="str">
        <f>"21902020071416420427089"</f>
        <v>21902020071416420427089</v>
      </c>
      <c r="C1237" s="8" t="s">
        <v>14</v>
      </c>
      <c r="D1237" s="8" t="str">
        <f>"符必熙"</f>
        <v>符必熙</v>
      </c>
      <c r="E1237" s="8" t="str">
        <f>"男"</f>
        <v>男</v>
      </c>
    </row>
    <row r="1238" spans="1:5" ht="19.5" customHeight="1">
      <c r="A1238" s="8">
        <v>1236</v>
      </c>
      <c r="B1238" s="8" t="str">
        <f>"21902020071416471227098"</f>
        <v>21902020071416471227098</v>
      </c>
      <c r="C1238" s="8" t="s">
        <v>14</v>
      </c>
      <c r="D1238" s="8" t="str">
        <f>"李大儒"</f>
        <v>李大儒</v>
      </c>
      <c r="E1238" s="8" t="str">
        <f>"男"</f>
        <v>男</v>
      </c>
    </row>
    <row r="1239" spans="1:5" ht="19.5" customHeight="1">
      <c r="A1239" s="8">
        <v>1237</v>
      </c>
      <c r="B1239" s="8" t="str">
        <f>"21902020071416584027121"</f>
        <v>21902020071416584027121</v>
      </c>
      <c r="C1239" s="8" t="s">
        <v>14</v>
      </c>
      <c r="D1239" s="8" t="str">
        <f>"李露晶"</f>
        <v>李露晶</v>
      </c>
      <c r="E1239" s="8" t="str">
        <f>"女"</f>
        <v>女</v>
      </c>
    </row>
    <row r="1240" spans="1:5" ht="19.5" customHeight="1">
      <c r="A1240" s="8">
        <v>1238</v>
      </c>
      <c r="B1240" s="8" t="str">
        <f>"21902020071417101627144"</f>
        <v>21902020071417101627144</v>
      </c>
      <c r="C1240" s="8" t="s">
        <v>14</v>
      </c>
      <c r="D1240" s="8" t="str">
        <f>"吴永照"</f>
        <v>吴永照</v>
      </c>
      <c r="E1240" s="8" t="str">
        <f>"男"</f>
        <v>男</v>
      </c>
    </row>
    <row r="1241" spans="1:5" ht="19.5" customHeight="1">
      <c r="A1241" s="8">
        <v>1239</v>
      </c>
      <c r="B1241" s="8" t="str">
        <f>"21902020071417104027145"</f>
        <v>21902020071417104027145</v>
      </c>
      <c r="C1241" s="8" t="s">
        <v>14</v>
      </c>
      <c r="D1241" s="8" t="str">
        <f>"符秀坤"</f>
        <v>符秀坤</v>
      </c>
      <c r="E1241" s="8" t="str">
        <f>"女"</f>
        <v>女</v>
      </c>
    </row>
    <row r="1242" spans="1:5" ht="19.5" customHeight="1">
      <c r="A1242" s="8">
        <v>1240</v>
      </c>
      <c r="B1242" s="8" t="str">
        <f>"21902020071417161327151"</f>
        <v>21902020071417161327151</v>
      </c>
      <c r="C1242" s="8" t="s">
        <v>14</v>
      </c>
      <c r="D1242" s="8" t="str">
        <f>"符锡宣"</f>
        <v>符锡宣</v>
      </c>
      <c r="E1242" s="8" t="str">
        <f>"男"</f>
        <v>男</v>
      </c>
    </row>
    <row r="1243" spans="1:5" ht="19.5" customHeight="1">
      <c r="A1243" s="8">
        <v>1241</v>
      </c>
      <c r="B1243" s="8" t="str">
        <f>"21902020071417211727162"</f>
        <v>21902020071417211727162</v>
      </c>
      <c r="C1243" s="8" t="s">
        <v>14</v>
      </c>
      <c r="D1243" s="8" t="str">
        <f>"唐弘雍"</f>
        <v>唐弘雍</v>
      </c>
      <c r="E1243" s="8" t="str">
        <f>"男"</f>
        <v>男</v>
      </c>
    </row>
    <row r="1244" spans="1:5" ht="19.5" customHeight="1">
      <c r="A1244" s="8">
        <v>1242</v>
      </c>
      <c r="B1244" s="8" t="str">
        <f>"21902020071417270627166"</f>
        <v>21902020071417270627166</v>
      </c>
      <c r="C1244" s="8" t="s">
        <v>14</v>
      </c>
      <c r="D1244" s="8" t="str">
        <f>"王珍菊"</f>
        <v>王珍菊</v>
      </c>
      <c r="E1244" s="8" t="str">
        <f>"女"</f>
        <v>女</v>
      </c>
    </row>
    <row r="1245" spans="1:5" ht="19.5" customHeight="1">
      <c r="A1245" s="8">
        <v>1243</v>
      </c>
      <c r="B1245" s="8" t="str">
        <f>"21902020071417304927174"</f>
        <v>21902020071417304927174</v>
      </c>
      <c r="C1245" s="8" t="s">
        <v>14</v>
      </c>
      <c r="D1245" s="8" t="str">
        <f>"谢耀和"</f>
        <v>谢耀和</v>
      </c>
      <c r="E1245" s="8" t="str">
        <f>"男"</f>
        <v>男</v>
      </c>
    </row>
    <row r="1246" spans="1:5" ht="19.5" customHeight="1">
      <c r="A1246" s="8">
        <v>1244</v>
      </c>
      <c r="B1246" s="8" t="str">
        <f>"21902020071417470727196"</f>
        <v>21902020071417470727196</v>
      </c>
      <c r="C1246" s="8" t="s">
        <v>14</v>
      </c>
      <c r="D1246" s="8" t="str">
        <f>"符小苗"</f>
        <v>符小苗</v>
      </c>
      <c r="E1246" s="8" t="str">
        <f>"女"</f>
        <v>女</v>
      </c>
    </row>
    <row r="1247" spans="1:5" ht="19.5" customHeight="1">
      <c r="A1247" s="8">
        <v>1245</v>
      </c>
      <c r="B1247" s="8" t="str">
        <f>"21902020071417553127209"</f>
        <v>21902020071417553127209</v>
      </c>
      <c r="C1247" s="8" t="s">
        <v>14</v>
      </c>
      <c r="D1247" s="8" t="str">
        <f>"苏军梅"</f>
        <v>苏军梅</v>
      </c>
      <c r="E1247" s="8" t="str">
        <f>"女"</f>
        <v>女</v>
      </c>
    </row>
    <row r="1248" spans="1:5" ht="19.5" customHeight="1">
      <c r="A1248" s="8">
        <v>1246</v>
      </c>
      <c r="B1248" s="8" t="str">
        <f>"21902020071417564627211"</f>
        <v>21902020071417564627211</v>
      </c>
      <c r="C1248" s="8" t="s">
        <v>14</v>
      </c>
      <c r="D1248" s="8" t="str">
        <f>"谢卓伟"</f>
        <v>谢卓伟</v>
      </c>
      <c r="E1248" s="8" t="str">
        <f>"男"</f>
        <v>男</v>
      </c>
    </row>
    <row r="1249" spans="1:5" ht="19.5" customHeight="1">
      <c r="A1249" s="8">
        <v>1247</v>
      </c>
      <c r="B1249" s="8" t="str">
        <f>"21902020071418072027223"</f>
        <v>21902020071418072027223</v>
      </c>
      <c r="C1249" s="8" t="s">
        <v>14</v>
      </c>
      <c r="D1249" s="8" t="str">
        <f>"谢明丽"</f>
        <v>谢明丽</v>
      </c>
      <c r="E1249" s="8" t="str">
        <f>"女"</f>
        <v>女</v>
      </c>
    </row>
    <row r="1250" spans="1:5" ht="19.5" customHeight="1">
      <c r="A1250" s="8">
        <v>1248</v>
      </c>
      <c r="B1250" s="8" t="str">
        <f>"21902020071418161127238"</f>
        <v>21902020071418161127238</v>
      </c>
      <c r="C1250" s="8" t="s">
        <v>14</v>
      </c>
      <c r="D1250" s="8" t="str">
        <f>"羊明"</f>
        <v>羊明</v>
      </c>
      <c r="E1250" s="8" t="str">
        <f>"男"</f>
        <v>男</v>
      </c>
    </row>
    <row r="1251" spans="1:5" ht="19.5" customHeight="1">
      <c r="A1251" s="8">
        <v>1249</v>
      </c>
      <c r="B1251" s="8" t="str">
        <f>"21902020071418253427247"</f>
        <v>21902020071418253427247</v>
      </c>
      <c r="C1251" s="8" t="s">
        <v>14</v>
      </c>
      <c r="D1251" s="8" t="str">
        <f>"陈日德"</f>
        <v>陈日德</v>
      </c>
      <c r="E1251" s="8" t="str">
        <f>"女"</f>
        <v>女</v>
      </c>
    </row>
    <row r="1252" spans="1:5" ht="19.5" customHeight="1">
      <c r="A1252" s="8">
        <v>1250</v>
      </c>
      <c r="B1252" s="8" t="str">
        <f>"21902020071418265327248"</f>
        <v>21902020071418265327248</v>
      </c>
      <c r="C1252" s="8" t="s">
        <v>14</v>
      </c>
      <c r="D1252" s="8" t="str">
        <f>"符笔江"</f>
        <v>符笔江</v>
      </c>
      <c r="E1252" s="8" t="str">
        <f>"男"</f>
        <v>男</v>
      </c>
    </row>
    <row r="1253" spans="1:5" ht="19.5" customHeight="1">
      <c r="A1253" s="8">
        <v>1251</v>
      </c>
      <c r="B1253" s="8" t="str">
        <f>"21902020071418282527250"</f>
        <v>21902020071418282527250</v>
      </c>
      <c r="C1253" s="8" t="s">
        <v>14</v>
      </c>
      <c r="D1253" s="8" t="str">
        <f>"符正华"</f>
        <v>符正华</v>
      </c>
      <c r="E1253" s="8" t="str">
        <f>"男"</f>
        <v>男</v>
      </c>
    </row>
    <row r="1254" spans="1:5" ht="19.5" customHeight="1">
      <c r="A1254" s="8">
        <v>1252</v>
      </c>
      <c r="B1254" s="8" t="str">
        <f>"21902020071418295027251"</f>
        <v>21902020071418295027251</v>
      </c>
      <c r="C1254" s="8" t="s">
        <v>14</v>
      </c>
      <c r="D1254" s="8" t="str">
        <f>"李春美"</f>
        <v>李春美</v>
      </c>
      <c r="E1254" s="8" t="str">
        <f>"女"</f>
        <v>女</v>
      </c>
    </row>
    <row r="1255" spans="1:5" ht="19.5" customHeight="1">
      <c r="A1255" s="8">
        <v>1253</v>
      </c>
      <c r="B1255" s="8" t="str">
        <f>"21902020071418333127255"</f>
        <v>21902020071418333127255</v>
      </c>
      <c r="C1255" s="8" t="s">
        <v>14</v>
      </c>
      <c r="D1255" s="8" t="str">
        <f>"符家荣"</f>
        <v>符家荣</v>
      </c>
      <c r="E1255" s="8" t="str">
        <f>"男"</f>
        <v>男</v>
      </c>
    </row>
    <row r="1256" spans="1:5" ht="19.5" customHeight="1">
      <c r="A1256" s="8">
        <v>1254</v>
      </c>
      <c r="B1256" s="8" t="str">
        <f>"21902020071418360827258"</f>
        <v>21902020071418360827258</v>
      </c>
      <c r="C1256" s="8" t="s">
        <v>14</v>
      </c>
      <c r="D1256" s="8" t="str">
        <f>"符认宁"</f>
        <v>符认宁</v>
      </c>
      <c r="E1256" s="8" t="str">
        <f>"男"</f>
        <v>男</v>
      </c>
    </row>
    <row r="1257" spans="1:5" ht="19.5" customHeight="1">
      <c r="A1257" s="8">
        <v>1255</v>
      </c>
      <c r="B1257" s="8" t="str">
        <f>"21902020071418480427279"</f>
        <v>21902020071418480427279</v>
      </c>
      <c r="C1257" s="8" t="s">
        <v>14</v>
      </c>
      <c r="D1257" s="8" t="str">
        <f>"黄柏文"</f>
        <v>黄柏文</v>
      </c>
      <c r="E1257" s="8" t="str">
        <f>"男"</f>
        <v>男</v>
      </c>
    </row>
    <row r="1258" spans="1:5" ht="19.5" customHeight="1">
      <c r="A1258" s="8">
        <v>1256</v>
      </c>
      <c r="B1258" s="8" t="str">
        <f>"21902020071418495827282"</f>
        <v>21902020071418495827282</v>
      </c>
      <c r="C1258" s="8" t="s">
        <v>14</v>
      </c>
      <c r="D1258" s="8" t="str">
        <f>"符秀凤"</f>
        <v>符秀凤</v>
      </c>
      <c r="E1258" s="8" t="str">
        <f>"女"</f>
        <v>女</v>
      </c>
    </row>
    <row r="1259" spans="1:5" ht="19.5" customHeight="1">
      <c r="A1259" s="8">
        <v>1257</v>
      </c>
      <c r="B1259" s="8" t="str">
        <f>"21902020071418563427290"</f>
        <v>21902020071418563427290</v>
      </c>
      <c r="C1259" s="8" t="s">
        <v>14</v>
      </c>
      <c r="D1259" s="8" t="str">
        <f>"刘金荣"</f>
        <v>刘金荣</v>
      </c>
      <c r="E1259" s="8" t="str">
        <f aca="true" t="shared" si="121" ref="E1259:E1266">"男"</f>
        <v>男</v>
      </c>
    </row>
    <row r="1260" spans="1:5" ht="19.5" customHeight="1">
      <c r="A1260" s="8">
        <v>1258</v>
      </c>
      <c r="B1260" s="8" t="str">
        <f>"21902020071419003127293"</f>
        <v>21902020071419003127293</v>
      </c>
      <c r="C1260" s="8" t="s">
        <v>14</v>
      </c>
      <c r="D1260" s="8" t="str">
        <f>"陈可臣"</f>
        <v>陈可臣</v>
      </c>
      <c r="E1260" s="8" t="str">
        <f t="shared" si="121"/>
        <v>男</v>
      </c>
    </row>
    <row r="1261" spans="1:5" ht="19.5" customHeight="1">
      <c r="A1261" s="8">
        <v>1259</v>
      </c>
      <c r="B1261" s="8" t="str">
        <f>"21902020071419024227300"</f>
        <v>21902020071419024227300</v>
      </c>
      <c r="C1261" s="8" t="s">
        <v>14</v>
      </c>
      <c r="D1261" s="8" t="str">
        <f>"黎进德"</f>
        <v>黎进德</v>
      </c>
      <c r="E1261" s="8" t="str">
        <f t="shared" si="121"/>
        <v>男</v>
      </c>
    </row>
    <row r="1262" spans="1:5" ht="19.5" customHeight="1">
      <c r="A1262" s="8">
        <v>1260</v>
      </c>
      <c r="B1262" s="8" t="str">
        <f>"21902020071419141627320"</f>
        <v>21902020071419141627320</v>
      </c>
      <c r="C1262" s="8" t="s">
        <v>14</v>
      </c>
      <c r="D1262" s="8" t="str">
        <f>"符武胄"</f>
        <v>符武胄</v>
      </c>
      <c r="E1262" s="8" t="str">
        <f t="shared" si="121"/>
        <v>男</v>
      </c>
    </row>
    <row r="1263" spans="1:5" ht="19.5" customHeight="1">
      <c r="A1263" s="8">
        <v>1261</v>
      </c>
      <c r="B1263" s="8" t="str">
        <f>"21902020071419154527322"</f>
        <v>21902020071419154527322</v>
      </c>
      <c r="C1263" s="8" t="s">
        <v>14</v>
      </c>
      <c r="D1263" s="8" t="str">
        <f>"陈笑"</f>
        <v>陈笑</v>
      </c>
      <c r="E1263" s="8" t="str">
        <f t="shared" si="121"/>
        <v>男</v>
      </c>
    </row>
    <row r="1264" spans="1:5" ht="19.5" customHeight="1">
      <c r="A1264" s="8">
        <v>1262</v>
      </c>
      <c r="B1264" s="8" t="str">
        <f>"21902020071419183727326"</f>
        <v>21902020071419183727326</v>
      </c>
      <c r="C1264" s="8" t="s">
        <v>14</v>
      </c>
      <c r="D1264" s="8" t="str">
        <f>"冯祥盛"</f>
        <v>冯祥盛</v>
      </c>
      <c r="E1264" s="8" t="str">
        <f t="shared" si="121"/>
        <v>男</v>
      </c>
    </row>
    <row r="1265" spans="1:5" ht="19.5" customHeight="1">
      <c r="A1265" s="8">
        <v>1263</v>
      </c>
      <c r="B1265" s="8" t="str">
        <f>"21902020071419200827328"</f>
        <v>21902020071419200827328</v>
      </c>
      <c r="C1265" s="8" t="s">
        <v>14</v>
      </c>
      <c r="D1265" s="8" t="str">
        <f>"薛恒信"</f>
        <v>薛恒信</v>
      </c>
      <c r="E1265" s="8" t="str">
        <f t="shared" si="121"/>
        <v>男</v>
      </c>
    </row>
    <row r="1266" spans="1:5" ht="19.5" customHeight="1">
      <c r="A1266" s="8">
        <v>1264</v>
      </c>
      <c r="B1266" s="8" t="str">
        <f>"21902020071419322627339"</f>
        <v>21902020071419322627339</v>
      </c>
      <c r="C1266" s="8" t="s">
        <v>14</v>
      </c>
      <c r="D1266" s="8" t="str">
        <f>"符绍斌"</f>
        <v>符绍斌</v>
      </c>
      <c r="E1266" s="8" t="str">
        <f t="shared" si="121"/>
        <v>男</v>
      </c>
    </row>
    <row r="1267" spans="1:5" ht="19.5" customHeight="1">
      <c r="A1267" s="8">
        <v>1265</v>
      </c>
      <c r="B1267" s="8" t="str">
        <f>"21902020071419365427345"</f>
        <v>21902020071419365427345</v>
      </c>
      <c r="C1267" s="8" t="s">
        <v>14</v>
      </c>
      <c r="D1267" s="8" t="str">
        <f>"吴月丽"</f>
        <v>吴月丽</v>
      </c>
      <c r="E1267" s="8" t="str">
        <f>"女"</f>
        <v>女</v>
      </c>
    </row>
    <row r="1268" spans="1:5" ht="19.5" customHeight="1">
      <c r="A1268" s="8">
        <v>1266</v>
      </c>
      <c r="B1268" s="8" t="str">
        <f>"21902020071419410927349"</f>
        <v>21902020071419410927349</v>
      </c>
      <c r="C1268" s="8" t="s">
        <v>14</v>
      </c>
      <c r="D1268" s="8" t="str">
        <f>"吴祉纲"</f>
        <v>吴祉纲</v>
      </c>
      <c r="E1268" s="8" t="str">
        <f>"男"</f>
        <v>男</v>
      </c>
    </row>
    <row r="1269" spans="1:5" ht="19.5" customHeight="1">
      <c r="A1269" s="8">
        <v>1267</v>
      </c>
      <c r="B1269" s="8" t="str">
        <f>"21902020071420010727362"</f>
        <v>21902020071420010727362</v>
      </c>
      <c r="C1269" s="8" t="s">
        <v>14</v>
      </c>
      <c r="D1269" s="8" t="str">
        <f>"林全"</f>
        <v>林全</v>
      </c>
      <c r="E1269" s="8" t="str">
        <f>"男"</f>
        <v>男</v>
      </c>
    </row>
    <row r="1270" spans="1:5" ht="19.5" customHeight="1">
      <c r="A1270" s="8">
        <v>1268</v>
      </c>
      <c r="B1270" s="8" t="str">
        <f>"21902020071420011327363"</f>
        <v>21902020071420011327363</v>
      </c>
      <c r="C1270" s="8" t="s">
        <v>14</v>
      </c>
      <c r="D1270" s="8" t="str">
        <f>"何定昆"</f>
        <v>何定昆</v>
      </c>
      <c r="E1270" s="8" t="str">
        <f>"男"</f>
        <v>男</v>
      </c>
    </row>
    <row r="1271" spans="1:5" ht="19.5" customHeight="1">
      <c r="A1271" s="8">
        <v>1269</v>
      </c>
      <c r="B1271" s="8" t="str">
        <f>"21902020071420044527369"</f>
        <v>21902020071420044527369</v>
      </c>
      <c r="C1271" s="8" t="s">
        <v>14</v>
      </c>
      <c r="D1271" s="8" t="str">
        <f>"李业昌"</f>
        <v>李业昌</v>
      </c>
      <c r="E1271" s="8" t="str">
        <f>"男"</f>
        <v>男</v>
      </c>
    </row>
    <row r="1272" spans="1:5" ht="19.5" customHeight="1">
      <c r="A1272" s="8">
        <v>1270</v>
      </c>
      <c r="B1272" s="8" t="str">
        <f>"21902020071420184327384"</f>
        <v>21902020071420184327384</v>
      </c>
      <c r="C1272" s="8" t="s">
        <v>14</v>
      </c>
      <c r="D1272" s="8" t="str">
        <f>"林贺宇"</f>
        <v>林贺宇</v>
      </c>
      <c r="E1272" s="8" t="str">
        <f>"男"</f>
        <v>男</v>
      </c>
    </row>
    <row r="1273" spans="1:5" ht="19.5" customHeight="1">
      <c r="A1273" s="8">
        <v>1271</v>
      </c>
      <c r="B1273" s="8" t="str">
        <f>"21902020071420221527387"</f>
        <v>21902020071420221527387</v>
      </c>
      <c r="C1273" s="8" t="s">
        <v>14</v>
      </c>
      <c r="D1273" s="8" t="str">
        <f>"李心宇"</f>
        <v>李心宇</v>
      </c>
      <c r="E1273" s="8" t="str">
        <f>"女"</f>
        <v>女</v>
      </c>
    </row>
    <row r="1274" spans="1:5" ht="19.5" customHeight="1">
      <c r="A1274" s="8">
        <v>1272</v>
      </c>
      <c r="B1274" s="8" t="str">
        <f>"21902020071420462327418"</f>
        <v>21902020071420462327418</v>
      </c>
      <c r="C1274" s="8" t="s">
        <v>14</v>
      </c>
      <c r="D1274" s="8" t="str">
        <f>"洪凌美"</f>
        <v>洪凌美</v>
      </c>
      <c r="E1274" s="8" t="str">
        <f>"女"</f>
        <v>女</v>
      </c>
    </row>
    <row r="1275" spans="1:5" ht="19.5" customHeight="1">
      <c r="A1275" s="8">
        <v>1273</v>
      </c>
      <c r="B1275" s="8" t="str">
        <f>"21902020071421010427435"</f>
        <v>21902020071421010427435</v>
      </c>
      <c r="C1275" s="8" t="s">
        <v>14</v>
      </c>
      <c r="D1275" s="8" t="str">
        <f>"许旭东"</f>
        <v>许旭东</v>
      </c>
      <c r="E1275" s="8" t="str">
        <f>"男"</f>
        <v>男</v>
      </c>
    </row>
    <row r="1276" spans="1:5" ht="19.5" customHeight="1">
      <c r="A1276" s="8">
        <v>1274</v>
      </c>
      <c r="B1276" s="8" t="str">
        <f>"21902020071421022527438"</f>
        <v>21902020071421022527438</v>
      </c>
      <c r="C1276" s="8" t="s">
        <v>14</v>
      </c>
      <c r="D1276" s="8" t="str">
        <f>"符克播"</f>
        <v>符克播</v>
      </c>
      <c r="E1276" s="8" t="str">
        <f>"男"</f>
        <v>男</v>
      </c>
    </row>
    <row r="1277" spans="1:5" ht="19.5" customHeight="1">
      <c r="A1277" s="8">
        <v>1275</v>
      </c>
      <c r="B1277" s="8" t="str">
        <f>"21902020071421052627443"</f>
        <v>21902020071421052627443</v>
      </c>
      <c r="C1277" s="8" t="s">
        <v>14</v>
      </c>
      <c r="D1277" s="8" t="str">
        <f>"张俊舞"</f>
        <v>张俊舞</v>
      </c>
      <c r="E1277" s="8" t="str">
        <f>"男"</f>
        <v>男</v>
      </c>
    </row>
    <row r="1278" spans="1:5" ht="19.5" customHeight="1">
      <c r="A1278" s="8">
        <v>1276</v>
      </c>
      <c r="B1278" s="8" t="str">
        <f>"21902020071421063027446"</f>
        <v>21902020071421063027446</v>
      </c>
      <c r="C1278" s="8" t="s">
        <v>14</v>
      </c>
      <c r="D1278" s="8" t="str">
        <f>"洪蔚华"</f>
        <v>洪蔚华</v>
      </c>
      <c r="E1278" s="8" t="str">
        <f>"男"</f>
        <v>男</v>
      </c>
    </row>
    <row r="1279" spans="1:5" ht="19.5" customHeight="1">
      <c r="A1279" s="8">
        <v>1277</v>
      </c>
      <c r="B1279" s="8" t="str">
        <f>"21902020071421292527473"</f>
        <v>21902020071421292527473</v>
      </c>
      <c r="C1279" s="8" t="s">
        <v>14</v>
      </c>
      <c r="D1279" s="8" t="str">
        <f>"张珍妮"</f>
        <v>张珍妮</v>
      </c>
      <c r="E1279" s="8" t="str">
        <f>"女"</f>
        <v>女</v>
      </c>
    </row>
    <row r="1280" spans="1:5" ht="19.5" customHeight="1">
      <c r="A1280" s="8">
        <v>1278</v>
      </c>
      <c r="B1280" s="8" t="str">
        <f>"21902020071421373227478"</f>
        <v>21902020071421373227478</v>
      </c>
      <c r="C1280" s="8" t="s">
        <v>14</v>
      </c>
      <c r="D1280" s="8" t="str">
        <f>"欧诒聪"</f>
        <v>欧诒聪</v>
      </c>
      <c r="E1280" s="8" t="str">
        <f>"男"</f>
        <v>男</v>
      </c>
    </row>
    <row r="1281" spans="1:5" ht="19.5" customHeight="1">
      <c r="A1281" s="8">
        <v>1279</v>
      </c>
      <c r="B1281" s="8" t="str">
        <f>"21902020071421443427481"</f>
        <v>21902020071421443427481</v>
      </c>
      <c r="C1281" s="8" t="s">
        <v>14</v>
      </c>
      <c r="D1281" s="8" t="str">
        <f>"王永精"</f>
        <v>王永精</v>
      </c>
      <c r="E1281" s="8" t="str">
        <f>"男"</f>
        <v>男</v>
      </c>
    </row>
    <row r="1282" spans="1:5" ht="19.5" customHeight="1">
      <c r="A1282" s="8">
        <v>1280</v>
      </c>
      <c r="B1282" s="8" t="str">
        <f>"21902020071421470427482"</f>
        <v>21902020071421470427482</v>
      </c>
      <c r="C1282" s="8" t="s">
        <v>14</v>
      </c>
      <c r="D1282" s="8" t="str">
        <f>"周赞斌"</f>
        <v>周赞斌</v>
      </c>
      <c r="E1282" s="8" t="str">
        <f>"男"</f>
        <v>男</v>
      </c>
    </row>
    <row r="1283" spans="1:5" ht="19.5" customHeight="1">
      <c r="A1283" s="8">
        <v>1281</v>
      </c>
      <c r="B1283" s="8" t="str">
        <f>"21902020071421535527492"</f>
        <v>21902020071421535527492</v>
      </c>
      <c r="C1283" s="8" t="s">
        <v>14</v>
      </c>
      <c r="D1283" s="8" t="str">
        <f>"唐可颖"</f>
        <v>唐可颖</v>
      </c>
      <c r="E1283" s="8" t="str">
        <f>"女"</f>
        <v>女</v>
      </c>
    </row>
    <row r="1284" spans="1:5" ht="19.5" customHeight="1">
      <c r="A1284" s="8">
        <v>1282</v>
      </c>
      <c r="B1284" s="8" t="str">
        <f>"21902020071421594227500"</f>
        <v>21902020071421594227500</v>
      </c>
      <c r="C1284" s="8" t="s">
        <v>14</v>
      </c>
      <c r="D1284" s="8" t="str">
        <f>"叶喜博"</f>
        <v>叶喜博</v>
      </c>
      <c r="E1284" s="8" t="str">
        <f>"男"</f>
        <v>男</v>
      </c>
    </row>
    <row r="1285" spans="1:5" ht="19.5" customHeight="1">
      <c r="A1285" s="8">
        <v>1283</v>
      </c>
      <c r="B1285" s="8" t="str">
        <f>"21902020071422080627506"</f>
        <v>21902020071422080627506</v>
      </c>
      <c r="C1285" s="8" t="s">
        <v>14</v>
      </c>
      <c r="D1285" s="8" t="str">
        <f>"蒲丁健"</f>
        <v>蒲丁健</v>
      </c>
      <c r="E1285" s="8" t="str">
        <f>"男"</f>
        <v>男</v>
      </c>
    </row>
    <row r="1286" spans="1:5" ht="19.5" customHeight="1">
      <c r="A1286" s="8">
        <v>1284</v>
      </c>
      <c r="B1286" s="8" t="str">
        <f>"21902020071422115327519"</f>
        <v>21902020071422115327519</v>
      </c>
      <c r="C1286" s="8" t="s">
        <v>14</v>
      </c>
      <c r="D1286" s="8" t="str">
        <f>"赵鸿平"</f>
        <v>赵鸿平</v>
      </c>
      <c r="E1286" s="8" t="str">
        <f>"男"</f>
        <v>男</v>
      </c>
    </row>
    <row r="1287" spans="1:5" ht="19.5" customHeight="1">
      <c r="A1287" s="8">
        <v>1285</v>
      </c>
      <c r="B1287" s="8" t="str">
        <f>"21902020071422185827527"</f>
        <v>21902020071422185827527</v>
      </c>
      <c r="C1287" s="8" t="s">
        <v>14</v>
      </c>
      <c r="D1287" s="8" t="str">
        <f>"高风凯"</f>
        <v>高风凯</v>
      </c>
      <c r="E1287" s="8" t="str">
        <f>"男"</f>
        <v>男</v>
      </c>
    </row>
    <row r="1288" spans="1:5" ht="19.5" customHeight="1">
      <c r="A1288" s="8">
        <v>1286</v>
      </c>
      <c r="B1288" s="8" t="str">
        <f>"21902020071422252727538"</f>
        <v>21902020071422252727538</v>
      </c>
      <c r="C1288" s="8" t="s">
        <v>14</v>
      </c>
      <c r="D1288" s="8" t="str">
        <f>"许美丽"</f>
        <v>许美丽</v>
      </c>
      <c r="E1288" s="8" t="str">
        <f>"女"</f>
        <v>女</v>
      </c>
    </row>
    <row r="1289" spans="1:5" ht="19.5" customHeight="1">
      <c r="A1289" s="8">
        <v>1287</v>
      </c>
      <c r="B1289" s="8" t="str">
        <f>"21902020071422324827550"</f>
        <v>21902020071422324827550</v>
      </c>
      <c r="C1289" s="8" t="s">
        <v>14</v>
      </c>
      <c r="D1289" s="8" t="str">
        <f>"苏必爱"</f>
        <v>苏必爱</v>
      </c>
      <c r="E1289" s="8" t="str">
        <f>"女"</f>
        <v>女</v>
      </c>
    </row>
    <row r="1290" spans="1:5" ht="19.5" customHeight="1">
      <c r="A1290" s="8">
        <v>1288</v>
      </c>
      <c r="B1290" s="8" t="str">
        <f>"21902020071422355127555"</f>
        <v>21902020071422355127555</v>
      </c>
      <c r="C1290" s="8" t="s">
        <v>14</v>
      </c>
      <c r="D1290" s="8" t="str">
        <f>"郭衍图"</f>
        <v>郭衍图</v>
      </c>
      <c r="E1290" s="8" t="str">
        <f>"男"</f>
        <v>男</v>
      </c>
    </row>
    <row r="1291" spans="1:5" ht="19.5" customHeight="1">
      <c r="A1291" s="8">
        <v>1289</v>
      </c>
      <c r="B1291" s="8" t="str">
        <f>"21902020071422470427565"</f>
        <v>21902020071422470427565</v>
      </c>
      <c r="C1291" s="8" t="s">
        <v>14</v>
      </c>
      <c r="D1291" s="8" t="str">
        <f>"洪桂婷"</f>
        <v>洪桂婷</v>
      </c>
      <c r="E1291" s="8" t="str">
        <f>"女"</f>
        <v>女</v>
      </c>
    </row>
    <row r="1292" spans="1:5" ht="19.5" customHeight="1">
      <c r="A1292" s="8">
        <v>1290</v>
      </c>
      <c r="B1292" s="8" t="str">
        <f>"21902020071422525227574"</f>
        <v>21902020071422525227574</v>
      </c>
      <c r="C1292" s="8" t="s">
        <v>14</v>
      </c>
      <c r="D1292" s="8" t="str">
        <f>"唐咏蛟"</f>
        <v>唐咏蛟</v>
      </c>
      <c r="E1292" s="8" t="str">
        <f>"男"</f>
        <v>男</v>
      </c>
    </row>
    <row r="1293" spans="1:5" ht="19.5" customHeight="1">
      <c r="A1293" s="8">
        <v>1291</v>
      </c>
      <c r="B1293" s="8" t="str">
        <f>"21902020071423061027593"</f>
        <v>21902020071423061027593</v>
      </c>
      <c r="C1293" s="8" t="s">
        <v>14</v>
      </c>
      <c r="D1293" s="8" t="str">
        <f>"陈振豪"</f>
        <v>陈振豪</v>
      </c>
      <c r="E1293" s="8" t="str">
        <f>"男"</f>
        <v>男</v>
      </c>
    </row>
    <row r="1294" spans="1:5" ht="19.5" customHeight="1">
      <c r="A1294" s="8">
        <v>1292</v>
      </c>
      <c r="B1294" s="8" t="str">
        <f>"21902020071423061927594"</f>
        <v>21902020071423061927594</v>
      </c>
      <c r="C1294" s="8" t="s">
        <v>14</v>
      </c>
      <c r="D1294" s="8" t="str">
        <f>"黎建彪"</f>
        <v>黎建彪</v>
      </c>
      <c r="E1294" s="8" t="str">
        <f>"男"</f>
        <v>男</v>
      </c>
    </row>
    <row r="1295" spans="1:5" ht="19.5" customHeight="1">
      <c r="A1295" s="8">
        <v>1293</v>
      </c>
      <c r="B1295" s="8" t="str">
        <f>"21902020071423084727596"</f>
        <v>21902020071423084727596</v>
      </c>
      <c r="C1295" s="8" t="s">
        <v>14</v>
      </c>
      <c r="D1295" s="8" t="str">
        <f>"黄嘉凤"</f>
        <v>黄嘉凤</v>
      </c>
      <c r="E1295" s="8" t="str">
        <f>"女"</f>
        <v>女</v>
      </c>
    </row>
    <row r="1296" spans="1:5" ht="19.5" customHeight="1">
      <c r="A1296" s="8">
        <v>1294</v>
      </c>
      <c r="B1296" s="8" t="str">
        <f>"21902020071423145827604"</f>
        <v>21902020071423145827604</v>
      </c>
      <c r="C1296" s="8" t="s">
        <v>14</v>
      </c>
      <c r="D1296" s="8" t="str">
        <f>"符峻熙"</f>
        <v>符峻熙</v>
      </c>
      <c r="E1296" s="8" t="str">
        <f aca="true" t="shared" si="122" ref="E1296:E1304">"男"</f>
        <v>男</v>
      </c>
    </row>
    <row r="1297" spans="1:5" ht="19.5" customHeight="1">
      <c r="A1297" s="8">
        <v>1295</v>
      </c>
      <c r="B1297" s="8" t="str">
        <f>"21902020071423273127614"</f>
        <v>21902020071423273127614</v>
      </c>
      <c r="C1297" s="8" t="s">
        <v>14</v>
      </c>
      <c r="D1297" s="8" t="str">
        <f>"谢世广"</f>
        <v>谢世广</v>
      </c>
      <c r="E1297" s="8" t="str">
        <f t="shared" si="122"/>
        <v>男</v>
      </c>
    </row>
    <row r="1298" spans="1:5" ht="19.5" customHeight="1">
      <c r="A1298" s="8">
        <v>1296</v>
      </c>
      <c r="B1298" s="8" t="str">
        <f>"21902020071423290427615"</f>
        <v>21902020071423290427615</v>
      </c>
      <c r="C1298" s="8" t="s">
        <v>14</v>
      </c>
      <c r="D1298" s="8" t="str">
        <f>"符华豪"</f>
        <v>符华豪</v>
      </c>
      <c r="E1298" s="8" t="str">
        <f t="shared" si="122"/>
        <v>男</v>
      </c>
    </row>
    <row r="1299" spans="1:5" ht="19.5" customHeight="1">
      <c r="A1299" s="8">
        <v>1297</v>
      </c>
      <c r="B1299" s="8" t="str">
        <f>"21902020071423480527625"</f>
        <v>21902020071423480527625</v>
      </c>
      <c r="C1299" s="8" t="s">
        <v>14</v>
      </c>
      <c r="D1299" s="8" t="str">
        <f>"谢东昀"</f>
        <v>谢东昀</v>
      </c>
      <c r="E1299" s="8" t="str">
        <f t="shared" si="122"/>
        <v>男</v>
      </c>
    </row>
    <row r="1300" spans="1:5" ht="19.5" customHeight="1">
      <c r="A1300" s="8">
        <v>1298</v>
      </c>
      <c r="B1300" s="8" t="str">
        <f>"21902020071500043927634"</f>
        <v>21902020071500043927634</v>
      </c>
      <c r="C1300" s="8" t="s">
        <v>14</v>
      </c>
      <c r="D1300" s="8" t="str">
        <f>"谢逢麟"</f>
        <v>谢逢麟</v>
      </c>
      <c r="E1300" s="8" t="str">
        <f t="shared" si="122"/>
        <v>男</v>
      </c>
    </row>
    <row r="1301" spans="1:5" ht="19.5" customHeight="1">
      <c r="A1301" s="8">
        <v>1299</v>
      </c>
      <c r="B1301" s="8" t="str">
        <f>"21902020071500064427636"</f>
        <v>21902020071500064427636</v>
      </c>
      <c r="C1301" s="8" t="s">
        <v>14</v>
      </c>
      <c r="D1301" s="8" t="str">
        <f>"温在煌"</f>
        <v>温在煌</v>
      </c>
      <c r="E1301" s="8" t="str">
        <f t="shared" si="122"/>
        <v>男</v>
      </c>
    </row>
    <row r="1302" spans="1:5" ht="19.5" customHeight="1">
      <c r="A1302" s="8">
        <v>1300</v>
      </c>
      <c r="B1302" s="8" t="str">
        <f>"21902020071502221727661"</f>
        <v>21902020071502221727661</v>
      </c>
      <c r="C1302" s="8" t="s">
        <v>14</v>
      </c>
      <c r="D1302" s="8" t="str">
        <f>"刘鑫胤"</f>
        <v>刘鑫胤</v>
      </c>
      <c r="E1302" s="8" t="str">
        <f t="shared" si="122"/>
        <v>男</v>
      </c>
    </row>
    <row r="1303" spans="1:5" ht="19.5" customHeight="1">
      <c r="A1303" s="8">
        <v>1301</v>
      </c>
      <c r="B1303" s="8" t="str">
        <f>"21902020071502391127663"</f>
        <v>21902020071502391127663</v>
      </c>
      <c r="C1303" s="8" t="s">
        <v>14</v>
      </c>
      <c r="D1303" s="8" t="str">
        <f>"李观平"</f>
        <v>李观平</v>
      </c>
      <c r="E1303" s="8" t="str">
        <f t="shared" si="122"/>
        <v>男</v>
      </c>
    </row>
    <row r="1304" spans="1:5" ht="19.5" customHeight="1">
      <c r="A1304" s="8">
        <v>1302</v>
      </c>
      <c r="B1304" s="8" t="str">
        <f>"21902020071502450827664"</f>
        <v>21902020071502450827664</v>
      </c>
      <c r="C1304" s="8" t="s">
        <v>14</v>
      </c>
      <c r="D1304" s="8" t="str">
        <f>"李晓康"</f>
        <v>李晓康</v>
      </c>
      <c r="E1304" s="8" t="str">
        <f t="shared" si="122"/>
        <v>男</v>
      </c>
    </row>
    <row r="1305" spans="1:5" ht="19.5" customHeight="1">
      <c r="A1305" s="8">
        <v>1303</v>
      </c>
      <c r="B1305" s="8" t="str">
        <f>"21902020071507413727671"</f>
        <v>21902020071507413727671</v>
      </c>
      <c r="C1305" s="8" t="s">
        <v>14</v>
      </c>
      <c r="D1305" s="8" t="str">
        <f>"刘淑娜"</f>
        <v>刘淑娜</v>
      </c>
      <c r="E1305" s="8" t="str">
        <f>"女"</f>
        <v>女</v>
      </c>
    </row>
    <row r="1306" spans="1:5" ht="19.5" customHeight="1">
      <c r="A1306" s="8">
        <v>1304</v>
      </c>
      <c r="B1306" s="8" t="str">
        <f>"21902020071508082827678"</f>
        <v>21902020071508082827678</v>
      </c>
      <c r="C1306" s="8" t="s">
        <v>14</v>
      </c>
      <c r="D1306" s="8" t="str">
        <f>"万里梅"</f>
        <v>万里梅</v>
      </c>
      <c r="E1306" s="8" t="str">
        <f>"女"</f>
        <v>女</v>
      </c>
    </row>
    <row r="1307" spans="1:5" ht="19.5" customHeight="1">
      <c r="A1307" s="8">
        <v>1305</v>
      </c>
      <c r="B1307" s="8" t="str">
        <f>"21902020071508180727681"</f>
        <v>21902020071508180727681</v>
      </c>
      <c r="C1307" s="8" t="s">
        <v>14</v>
      </c>
      <c r="D1307" s="8" t="str">
        <f>"刘传建"</f>
        <v>刘传建</v>
      </c>
      <c r="E1307" s="8" t="str">
        <f>"男"</f>
        <v>男</v>
      </c>
    </row>
    <row r="1308" spans="1:5" ht="19.5" customHeight="1">
      <c r="A1308" s="8">
        <v>1306</v>
      </c>
      <c r="B1308" s="8" t="str">
        <f>"21902020071508193327683"</f>
        <v>21902020071508193327683</v>
      </c>
      <c r="C1308" s="8" t="s">
        <v>14</v>
      </c>
      <c r="D1308" s="8" t="str">
        <f>"符秀梅"</f>
        <v>符秀梅</v>
      </c>
      <c r="E1308" s="8" t="str">
        <f>"女"</f>
        <v>女</v>
      </c>
    </row>
    <row r="1309" spans="1:5" ht="19.5" customHeight="1">
      <c r="A1309" s="8">
        <v>1307</v>
      </c>
      <c r="B1309" s="8" t="str">
        <f>"21902020071508230327685"</f>
        <v>21902020071508230327685</v>
      </c>
      <c r="C1309" s="8" t="s">
        <v>14</v>
      </c>
      <c r="D1309" s="8" t="str">
        <f>"李金水"</f>
        <v>李金水</v>
      </c>
      <c r="E1309" s="8" t="str">
        <f>"男"</f>
        <v>男</v>
      </c>
    </row>
    <row r="1310" spans="1:5" ht="19.5" customHeight="1">
      <c r="A1310" s="8">
        <v>1308</v>
      </c>
      <c r="B1310" s="8" t="str">
        <f>"21902020071508302527688"</f>
        <v>21902020071508302527688</v>
      </c>
      <c r="C1310" s="8" t="s">
        <v>14</v>
      </c>
      <c r="D1310" s="8" t="str">
        <f>"吴淑珊"</f>
        <v>吴淑珊</v>
      </c>
      <c r="E1310" s="8" t="str">
        <f>"女"</f>
        <v>女</v>
      </c>
    </row>
    <row r="1311" spans="1:5" ht="19.5" customHeight="1">
      <c r="A1311" s="8">
        <v>1309</v>
      </c>
      <c r="B1311" s="8" t="str">
        <f>"21902020071508324927690"</f>
        <v>21902020071508324927690</v>
      </c>
      <c r="C1311" s="8" t="s">
        <v>14</v>
      </c>
      <c r="D1311" s="8" t="str">
        <f>"曾子恒"</f>
        <v>曾子恒</v>
      </c>
      <c r="E1311" s="8" t="str">
        <f>"男"</f>
        <v>男</v>
      </c>
    </row>
    <row r="1312" spans="1:5" ht="19.5" customHeight="1">
      <c r="A1312" s="8">
        <v>1310</v>
      </c>
      <c r="B1312" s="8" t="str">
        <f>"21902020071508394327693"</f>
        <v>21902020071508394327693</v>
      </c>
      <c r="C1312" s="8" t="s">
        <v>14</v>
      </c>
      <c r="D1312" s="8" t="str">
        <f>"张洁颖"</f>
        <v>张洁颖</v>
      </c>
      <c r="E1312" s="8" t="str">
        <f>"女"</f>
        <v>女</v>
      </c>
    </row>
    <row r="1313" spans="1:5" ht="19.5" customHeight="1">
      <c r="A1313" s="8">
        <v>1311</v>
      </c>
      <c r="B1313" s="8" t="str">
        <f>"21902020071508463227701"</f>
        <v>21902020071508463227701</v>
      </c>
      <c r="C1313" s="8" t="s">
        <v>14</v>
      </c>
      <c r="D1313" s="8" t="str">
        <f>"王国兴"</f>
        <v>王国兴</v>
      </c>
      <c r="E1313" s="8" t="str">
        <f>"男"</f>
        <v>男</v>
      </c>
    </row>
    <row r="1314" spans="1:5" ht="19.5" customHeight="1">
      <c r="A1314" s="8">
        <v>1312</v>
      </c>
      <c r="B1314" s="8" t="str">
        <f>"21902020071508475427704"</f>
        <v>21902020071508475427704</v>
      </c>
      <c r="C1314" s="8" t="s">
        <v>14</v>
      </c>
      <c r="D1314" s="8" t="str">
        <f>"符汉兴"</f>
        <v>符汉兴</v>
      </c>
      <c r="E1314" s="8" t="str">
        <f>"男"</f>
        <v>男</v>
      </c>
    </row>
    <row r="1315" spans="1:5" ht="19.5" customHeight="1">
      <c r="A1315" s="8">
        <v>1313</v>
      </c>
      <c r="B1315" s="8" t="str">
        <f>"21902020071508570627713"</f>
        <v>21902020071508570627713</v>
      </c>
      <c r="C1315" s="8" t="s">
        <v>14</v>
      </c>
      <c r="D1315" s="8" t="str">
        <f>"韦婷婷"</f>
        <v>韦婷婷</v>
      </c>
      <c r="E1315" s="8" t="str">
        <f>"女"</f>
        <v>女</v>
      </c>
    </row>
    <row r="1316" spans="1:5" ht="19.5" customHeight="1">
      <c r="A1316" s="8">
        <v>1314</v>
      </c>
      <c r="B1316" s="8" t="str">
        <f>"21902020071508573427714"</f>
        <v>21902020071508573427714</v>
      </c>
      <c r="C1316" s="8" t="s">
        <v>14</v>
      </c>
      <c r="D1316" s="8" t="str">
        <f>"何永彪"</f>
        <v>何永彪</v>
      </c>
      <c r="E1316" s="8" t="str">
        <f>"男"</f>
        <v>男</v>
      </c>
    </row>
    <row r="1317" spans="1:5" ht="19.5" customHeight="1">
      <c r="A1317" s="8">
        <v>1315</v>
      </c>
      <c r="B1317" s="8" t="str">
        <f>"21902020071509033727732"</f>
        <v>21902020071509033727732</v>
      </c>
      <c r="C1317" s="8" t="s">
        <v>14</v>
      </c>
      <c r="D1317" s="8" t="str">
        <f>"符延荡"</f>
        <v>符延荡</v>
      </c>
      <c r="E1317" s="8" t="str">
        <f>"男"</f>
        <v>男</v>
      </c>
    </row>
    <row r="1318" spans="1:5" ht="19.5" customHeight="1">
      <c r="A1318" s="8">
        <v>1316</v>
      </c>
      <c r="B1318" s="8" t="str">
        <f>"21902020071509080427749"</f>
        <v>21902020071509080427749</v>
      </c>
      <c r="C1318" s="8" t="s">
        <v>14</v>
      </c>
      <c r="D1318" s="8" t="str">
        <f>"符庆莉"</f>
        <v>符庆莉</v>
      </c>
      <c r="E1318" s="8" t="str">
        <f>"女"</f>
        <v>女</v>
      </c>
    </row>
    <row r="1319" spans="1:5" ht="19.5" customHeight="1">
      <c r="A1319" s="8">
        <v>1317</v>
      </c>
      <c r="B1319" s="8" t="str">
        <f>"21902020071509154527760"</f>
        <v>21902020071509154527760</v>
      </c>
      <c r="C1319" s="8" t="s">
        <v>14</v>
      </c>
      <c r="D1319" s="8" t="str">
        <f>"黄秋梦"</f>
        <v>黄秋梦</v>
      </c>
      <c r="E1319" s="8" t="str">
        <f>"女"</f>
        <v>女</v>
      </c>
    </row>
    <row r="1320" spans="1:5" ht="19.5" customHeight="1">
      <c r="A1320" s="8">
        <v>1318</v>
      </c>
      <c r="B1320" s="8" t="str">
        <f>"21902020071509202427768"</f>
        <v>21902020071509202427768</v>
      </c>
      <c r="C1320" s="8" t="s">
        <v>14</v>
      </c>
      <c r="D1320" s="8" t="str">
        <f>"李兰花"</f>
        <v>李兰花</v>
      </c>
      <c r="E1320" s="8" t="str">
        <f>"女"</f>
        <v>女</v>
      </c>
    </row>
    <row r="1321" spans="1:5" ht="19.5" customHeight="1">
      <c r="A1321" s="8">
        <v>1319</v>
      </c>
      <c r="B1321" s="8" t="str">
        <f>"21902020071509281027781"</f>
        <v>21902020071509281027781</v>
      </c>
      <c r="C1321" s="8" t="s">
        <v>14</v>
      </c>
      <c r="D1321" s="8" t="str">
        <f>"陈貌红"</f>
        <v>陈貌红</v>
      </c>
      <c r="E1321" s="8" t="str">
        <f>"女"</f>
        <v>女</v>
      </c>
    </row>
    <row r="1322" spans="1:5" ht="19.5" customHeight="1">
      <c r="A1322" s="8">
        <v>1320</v>
      </c>
      <c r="B1322" s="8" t="str">
        <f>"21902020071509453027807"</f>
        <v>21902020071509453027807</v>
      </c>
      <c r="C1322" s="8" t="s">
        <v>14</v>
      </c>
      <c r="D1322" s="8" t="str">
        <f>"郭光杰"</f>
        <v>郭光杰</v>
      </c>
      <c r="E1322" s="8" t="str">
        <f>"男"</f>
        <v>男</v>
      </c>
    </row>
    <row r="1323" spans="1:5" ht="19.5" customHeight="1">
      <c r="A1323" s="8">
        <v>1321</v>
      </c>
      <c r="B1323" s="8" t="str">
        <f>"21902020071509533227819"</f>
        <v>21902020071509533227819</v>
      </c>
      <c r="C1323" s="8" t="s">
        <v>14</v>
      </c>
      <c r="D1323" s="8" t="str">
        <f>"李石带"</f>
        <v>李石带</v>
      </c>
      <c r="E1323" s="8" t="str">
        <f>"女"</f>
        <v>女</v>
      </c>
    </row>
    <row r="1324" spans="1:5" ht="19.5" customHeight="1">
      <c r="A1324" s="8">
        <v>1322</v>
      </c>
      <c r="B1324" s="8" t="str">
        <f>"21902020071509540827820"</f>
        <v>21902020071509540827820</v>
      </c>
      <c r="C1324" s="8" t="s">
        <v>14</v>
      </c>
      <c r="D1324" s="8" t="str">
        <f>"符崇河"</f>
        <v>符崇河</v>
      </c>
      <c r="E1324" s="8" t="str">
        <f>"男"</f>
        <v>男</v>
      </c>
    </row>
    <row r="1325" spans="1:5" ht="19.5" customHeight="1">
      <c r="A1325" s="8">
        <v>1323</v>
      </c>
      <c r="B1325" s="8" t="str">
        <f>"21902020071509562927825"</f>
        <v>21902020071509562927825</v>
      </c>
      <c r="C1325" s="8" t="s">
        <v>14</v>
      </c>
      <c r="D1325" s="8" t="str">
        <f>"李梅"</f>
        <v>李梅</v>
      </c>
      <c r="E1325" s="8" t="str">
        <f>"女"</f>
        <v>女</v>
      </c>
    </row>
    <row r="1326" spans="1:5" ht="19.5" customHeight="1">
      <c r="A1326" s="8">
        <v>1324</v>
      </c>
      <c r="B1326" s="8" t="str">
        <f>"21902020071510194427857"</f>
        <v>21902020071510194427857</v>
      </c>
      <c r="C1326" s="8" t="s">
        <v>14</v>
      </c>
      <c r="D1326" s="8" t="str">
        <f>"符万城"</f>
        <v>符万城</v>
      </c>
      <c r="E1326" s="8" t="str">
        <f>"男"</f>
        <v>男</v>
      </c>
    </row>
    <row r="1327" spans="1:5" ht="19.5" customHeight="1">
      <c r="A1327" s="8">
        <v>1325</v>
      </c>
      <c r="B1327" s="8" t="str">
        <f>"21902020071510275827867"</f>
        <v>21902020071510275827867</v>
      </c>
      <c r="C1327" s="8" t="s">
        <v>14</v>
      </c>
      <c r="D1327" s="8" t="str">
        <f>"羊庆兰"</f>
        <v>羊庆兰</v>
      </c>
      <c r="E1327" s="8" t="str">
        <f>"女"</f>
        <v>女</v>
      </c>
    </row>
    <row r="1328" spans="1:5" ht="19.5" customHeight="1">
      <c r="A1328" s="8">
        <v>1326</v>
      </c>
      <c r="B1328" s="8" t="str">
        <f>"21902020071510292227870"</f>
        <v>21902020071510292227870</v>
      </c>
      <c r="C1328" s="8" t="s">
        <v>14</v>
      </c>
      <c r="D1328" s="8" t="str">
        <f>"童敏秋"</f>
        <v>童敏秋</v>
      </c>
      <c r="E1328" s="8" t="str">
        <f>"女"</f>
        <v>女</v>
      </c>
    </row>
    <row r="1329" spans="1:5" ht="19.5" customHeight="1">
      <c r="A1329" s="8">
        <v>1327</v>
      </c>
      <c r="B1329" s="8" t="str">
        <f>"21902020071510432927896"</f>
        <v>21902020071510432927896</v>
      </c>
      <c r="C1329" s="8" t="s">
        <v>14</v>
      </c>
      <c r="D1329" s="8" t="str">
        <f>"符汝芳"</f>
        <v>符汝芳</v>
      </c>
      <c r="E1329" s="8" t="str">
        <f>"女"</f>
        <v>女</v>
      </c>
    </row>
    <row r="1330" spans="1:5" ht="19.5" customHeight="1">
      <c r="A1330" s="8">
        <v>1328</v>
      </c>
      <c r="B1330" s="8" t="str">
        <f>"21902020071510550627915"</f>
        <v>21902020071510550627915</v>
      </c>
      <c r="C1330" s="8" t="s">
        <v>14</v>
      </c>
      <c r="D1330" s="8" t="str">
        <f>"李海燕"</f>
        <v>李海燕</v>
      </c>
      <c r="E1330" s="8" t="str">
        <f>"女"</f>
        <v>女</v>
      </c>
    </row>
    <row r="1331" spans="1:5" ht="19.5" customHeight="1">
      <c r="A1331" s="8">
        <v>1329</v>
      </c>
      <c r="B1331" s="8" t="str">
        <f>"21902020071510560827916"</f>
        <v>21902020071510560827916</v>
      </c>
      <c r="C1331" s="8" t="s">
        <v>14</v>
      </c>
      <c r="D1331" s="8" t="str">
        <f>"范兴尚"</f>
        <v>范兴尚</v>
      </c>
      <c r="E1331" s="8" t="str">
        <f>"男"</f>
        <v>男</v>
      </c>
    </row>
    <row r="1332" spans="1:5" ht="19.5" customHeight="1">
      <c r="A1332" s="8">
        <v>1330</v>
      </c>
      <c r="B1332" s="8" t="str">
        <f>"21902020071511172327946"</f>
        <v>21902020071511172327946</v>
      </c>
      <c r="C1332" s="8" t="s">
        <v>14</v>
      </c>
      <c r="D1332" s="8" t="str">
        <f>"陈祥养"</f>
        <v>陈祥养</v>
      </c>
      <c r="E1332" s="8" t="str">
        <f>"男"</f>
        <v>男</v>
      </c>
    </row>
    <row r="1333" spans="1:5" ht="19.5" customHeight="1">
      <c r="A1333" s="8">
        <v>1331</v>
      </c>
      <c r="B1333" s="8" t="str">
        <f>"21902020071511195827950"</f>
        <v>21902020071511195827950</v>
      </c>
      <c r="C1333" s="8" t="s">
        <v>14</v>
      </c>
      <c r="D1333" s="8" t="str">
        <f>"羊丽"</f>
        <v>羊丽</v>
      </c>
      <c r="E1333" s="8" t="str">
        <f>"女"</f>
        <v>女</v>
      </c>
    </row>
    <row r="1334" spans="1:5" ht="19.5" customHeight="1">
      <c r="A1334" s="8">
        <v>1332</v>
      </c>
      <c r="B1334" s="8" t="str">
        <f>"21902020071511364527971"</f>
        <v>21902020071511364527971</v>
      </c>
      <c r="C1334" s="8" t="s">
        <v>14</v>
      </c>
      <c r="D1334" s="8" t="str">
        <f>"薛行彦"</f>
        <v>薛行彦</v>
      </c>
      <c r="E1334" s="8" t="str">
        <f>"男"</f>
        <v>男</v>
      </c>
    </row>
    <row r="1335" spans="1:5" ht="19.5" customHeight="1">
      <c r="A1335" s="8">
        <v>1333</v>
      </c>
      <c r="B1335" s="8" t="str">
        <f>"21902020071511444127979"</f>
        <v>21902020071511444127979</v>
      </c>
      <c r="C1335" s="8" t="s">
        <v>14</v>
      </c>
      <c r="D1335" s="8" t="str">
        <f>"曾一鹏"</f>
        <v>曾一鹏</v>
      </c>
      <c r="E1335" s="8" t="str">
        <f>"女"</f>
        <v>女</v>
      </c>
    </row>
    <row r="1336" spans="1:5" ht="19.5" customHeight="1">
      <c r="A1336" s="8">
        <v>1334</v>
      </c>
      <c r="B1336" s="8" t="str">
        <f>"21902020071511510327992"</f>
        <v>21902020071511510327992</v>
      </c>
      <c r="C1336" s="8" t="s">
        <v>14</v>
      </c>
      <c r="D1336" s="8" t="str">
        <f>"曾娟"</f>
        <v>曾娟</v>
      </c>
      <c r="E1336" s="8" t="str">
        <f>"女"</f>
        <v>女</v>
      </c>
    </row>
    <row r="1337" spans="1:5" ht="19.5" customHeight="1">
      <c r="A1337" s="8">
        <v>1335</v>
      </c>
      <c r="B1337" s="8" t="str">
        <f>"21902020071512465128046"</f>
        <v>21902020071512465128046</v>
      </c>
      <c r="C1337" s="8" t="s">
        <v>14</v>
      </c>
      <c r="D1337" s="8" t="str">
        <f>"林升龙"</f>
        <v>林升龙</v>
      </c>
      <c r="E1337" s="8" t="str">
        <f>"男"</f>
        <v>男</v>
      </c>
    </row>
    <row r="1338" spans="1:5" ht="19.5" customHeight="1">
      <c r="A1338" s="8">
        <v>1336</v>
      </c>
      <c r="B1338" s="8" t="str">
        <f>"21902020071512545928055"</f>
        <v>21902020071512545928055</v>
      </c>
      <c r="C1338" s="8" t="s">
        <v>14</v>
      </c>
      <c r="D1338" s="8" t="str">
        <f>"朱妹兰"</f>
        <v>朱妹兰</v>
      </c>
      <c r="E1338" s="8" t="str">
        <f>"女"</f>
        <v>女</v>
      </c>
    </row>
    <row r="1339" spans="1:5" ht="19.5" customHeight="1">
      <c r="A1339" s="8">
        <v>1337</v>
      </c>
      <c r="B1339" s="8" t="str">
        <f>"21902020071513044328061"</f>
        <v>21902020071513044328061</v>
      </c>
      <c r="C1339" s="8" t="s">
        <v>14</v>
      </c>
      <c r="D1339" s="8" t="str">
        <f>"王本立"</f>
        <v>王本立</v>
      </c>
      <c r="E1339" s="8" t="str">
        <f>"男"</f>
        <v>男</v>
      </c>
    </row>
    <row r="1340" spans="1:5" ht="19.5" customHeight="1">
      <c r="A1340" s="8">
        <v>1338</v>
      </c>
      <c r="B1340" s="8" t="str">
        <f>"21902020071513202228070"</f>
        <v>21902020071513202228070</v>
      </c>
      <c r="C1340" s="8" t="s">
        <v>14</v>
      </c>
      <c r="D1340" s="8" t="str">
        <f>"胡燕莉"</f>
        <v>胡燕莉</v>
      </c>
      <c r="E1340" s="8" t="str">
        <f>"女"</f>
        <v>女</v>
      </c>
    </row>
    <row r="1341" spans="1:5" ht="19.5" customHeight="1">
      <c r="A1341" s="8">
        <v>1339</v>
      </c>
      <c r="B1341" s="8" t="str">
        <f>"21902020071513321128079"</f>
        <v>21902020071513321128079</v>
      </c>
      <c r="C1341" s="8" t="s">
        <v>14</v>
      </c>
      <c r="D1341" s="8" t="str">
        <f>"陈锦平"</f>
        <v>陈锦平</v>
      </c>
      <c r="E1341" s="8" t="str">
        <f>"男"</f>
        <v>男</v>
      </c>
    </row>
    <row r="1342" spans="1:5" ht="19.5" customHeight="1">
      <c r="A1342" s="8">
        <v>1340</v>
      </c>
      <c r="B1342" s="8" t="str">
        <f>"21902020071513405628086"</f>
        <v>21902020071513405628086</v>
      </c>
      <c r="C1342" s="8" t="s">
        <v>14</v>
      </c>
      <c r="D1342" s="8" t="str">
        <f>"梁克明"</f>
        <v>梁克明</v>
      </c>
      <c r="E1342" s="8" t="str">
        <f>"男"</f>
        <v>男</v>
      </c>
    </row>
    <row r="1343" spans="1:5" ht="19.5" customHeight="1">
      <c r="A1343" s="8">
        <v>1341</v>
      </c>
      <c r="B1343" s="8" t="str">
        <f>"21902020071514162328110"</f>
        <v>21902020071514162328110</v>
      </c>
      <c r="C1343" s="8" t="s">
        <v>14</v>
      </c>
      <c r="D1343" s="8" t="str">
        <f>"符允赛"</f>
        <v>符允赛</v>
      </c>
      <c r="E1343" s="8" t="str">
        <f>"女"</f>
        <v>女</v>
      </c>
    </row>
    <row r="1344" spans="1:5" ht="19.5" customHeight="1">
      <c r="A1344" s="8">
        <v>1342</v>
      </c>
      <c r="B1344" s="8" t="str">
        <f>"21902020071514163228111"</f>
        <v>21902020071514163228111</v>
      </c>
      <c r="C1344" s="8" t="s">
        <v>14</v>
      </c>
      <c r="D1344" s="8" t="str">
        <f>"符朝显"</f>
        <v>符朝显</v>
      </c>
      <c r="E1344" s="8" t="str">
        <f>"男"</f>
        <v>男</v>
      </c>
    </row>
    <row r="1345" spans="1:5" ht="19.5" customHeight="1">
      <c r="A1345" s="8">
        <v>1343</v>
      </c>
      <c r="B1345" s="8" t="str">
        <f>"21902020071514581628147"</f>
        <v>21902020071514581628147</v>
      </c>
      <c r="C1345" s="8" t="s">
        <v>14</v>
      </c>
      <c r="D1345" s="8" t="str">
        <f>"许若扬"</f>
        <v>许若扬</v>
      </c>
      <c r="E1345" s="8" t="str">
        <f>"男"</f>
        <v>男</v>
      </c>
    </row>
    <row r="1346" spans="1:5" ht="19.5" customHeight="1">
      <c r="A1346" s="8">
        <v>1344</v>
      </c>
      <c r="B1346" s="8" t="str">
        <f>"21902020071515193628166"</f>
        <v>21902020071515193628166</v>
      </c>
      <c r="C1346" s="8" t="s">
        <v>14</v>
      </c>
      <c r="D1346" s="8" t="str">
        <f>"万金妹"</f>
        <v>万金妹</v>
      </c>
      <c r="E1346" s="8" t="str">
        <f>"女"</f>
        <v>女</v>
      </c>
    </row>
    <row r="1347" spans="1:5" ht="19.5" customHeight="1">
      <c r="A1347" s="8">
        <v>1345</v>
      </c>
      <c r="B1347" s="8" t="str">
        <f>"21902020071515224228168"</f>
        <v>21902020071515224228168</v>
      </c>
      <c r="C1347" s="8" t="s">
        <v>14</v>
      </c>
      <c r="D1347" s="8" t="str">
        <f>"谢善庆"</f>
        <v>谢善庆</v>
      </c>
      <c r="E1347" s="8" t="str">
        <f>"男"</f>
        <v>男</v>
      </c>
    </row>
    <row r="1348" spans="1:5" ht="19.5" customHeight="1">
      <c r="A1348" s="8">
        <v>1346</v>
      </c>
      <c r="B1348" s="8" t="str">
        <f>"21902020071515351728184"</f>
        <v>21902020071515351728184</v>
      </c>
      <c r="C1348" s="8" t="s">
        <v>14</v>
      </c>
      <c r="D1348" s="8" t="str">
        <f>"林靖植"</f>
        <v>林靖植</v>
      </c>
      <c r="E1348" s="8" t="str">
        <f>"男"</f>
        <v>男</v>
      </c>
    </row>
    <row r="1349" spans="1:5" ht="19.5" customHeight="1">
      <c r="A1349" s="8">
        <v>1347</v>
      </c>
      <c r="B1349" s="8" t="str">
        <f>"21902020071515391828193"</f>
        <v>21902020071515391828193</v>
      </c>
      <c r="C1349" s="8" t="s">
        <v>14</v>
      </c>
      <c r="D1349" s="8" t="str">
        <f>"李源"</f>
        <v>李源</v>
      </c>
      <c r="E1349" s="8" t="str">
        <f>"女"</f>
        <v>女</v>
      </c>
    </row>
    <row r="1350" spans="1:5" ht="19.5" customHeight="1">
      <c r="A1350" s="8">
        <v>1348</v>
      </c>
      <c r="B1350" s="8" t="str">
        <f>"21902020071515421728197"</f>
        <v>21902020071515421728197</v>
      </c>
      <c r="C1350" s="8" t="s">
        <v>14</v>
      </c>
      <c r="D1350" s="8" t="str">
        <f>"朱世伟"</f>
        <v>朱世伟</v>
      </c>
      <c r="E1350" s="8" t="str">
        <f>"男"</f>
        <v>男</v>
      </c>
    </row>
    <row r="1351" spans="1:5" ht="19.5" customHeight="1">
      <c r="A1351" s="8">
        <v>1349</v>
      </c>
      <c r="B1351" s="8" t="str">
        <f>"21902020071515592428214"</f>
        <v>21902020071515592428214</v>
      </c>
      <c r="C1351" s="8" t="s">
        <v>14</v>
      </c>
      <c r="D1351" s="8" t="str">
        <f>"李平"</f>
        <v>李平</v>
      </c>
      <c r="E1351" s="8" t="str">
        <f>"男"</f>
        <v>男</v>
      </c>
    </row>
    <row r="1352" spans="1:5" ht="19.5" customHeight="1">
      <c r="A1352" s="8">
        <v>1350</v>
      </c>
      <c r="B1352" s="8" t="str">
        <f>"21902020071516100628232"</f>
        <v>21902020071516100628232</v>
      </c>
      <c r="C1352" s="8" t="s">
        <v>14</v>
      </c>
      <c r="D1352" s="8" t="str">
        <f>"吴艳"</f>
        <v>吴艳</v>
      </c>
      <c r="E1352" s="8" t="str">
        <f>"女"</f>
        <v>女</v>
      </c>
    </row>
    <row r="1353" spans="1:5" ht="19.5" customHeight="1">
      <c r="A1353" s="8">
        <v>1351</v>
      </c>
      <c r="B1353" s="8" t="str">
        <f>"21902020071516141428238"</f>
        <v>21902020071516141428238</v>
      </c>
      <c r="C1353" s="8" t="s">
        <v>14</v>
      </c>
      <c r="D1353" s="8" t="str">
        <f>"万晓静"</f>
        <v>万晓静</v>
      </c>
      <c r="E1353" s="8" t="str">
        <f>"女"</f>
        <v>女</v>
      </c>
    </row>
    <row r="1354" spans="1:5" ht="19.5" customHeight="1">
      <c r="A1354" s="8">
        <v>1352</v>
      </c>
      <c r="B1354" s="8" t="str">
        <f>"21902020071516235728247"</f>
        <v>21902020071516235728247</v>
      </c>
      <c r="C1354" s="8" t="s">
        <v>14</v>
      </c>
      <c r="D1354" s="8" t="str">
        <f>"符美娟"</f>
        <v>符美娟</v>
      </c>
      <c r="E1354" s="8" t="str">
        <f>"女"</f>
        <v>女</v>
      </c>
    </row>
    <row r="1355" spans="1:5" ht="19.5" customHeight="1">
      <c r="A1355" s="8">
        <v>1353</v>
      </c>
      <c r="B1355" s="8" t="str">
        <f>"21902020071516243828249"</f>
        <v>21902020071516243828249</v>
      </c>
      <c r="C1355" s="8" t="s">
        <v>14</v>
      </c>
      <c r="D1355" s="8" t="str">
        <f>"林长治"</f>
        <v>林长治</v>
      </c>
      <c r="E1355" s="8" t="str">
        <f>"男"</f>
        <v>男</v>
      </c>
    </row>
    <row r="1356" spans="1:5" ht="19.5" customHeight="1">
      <c r="A1356" s="8">
        <v>1354</v>
      </c>
      <c r="B1356" s="8" t="str">
        <f>"21902020071516320028255"</f>
        <v>21902020071516320028255</v>
      </c>
      <c r="C1356" s="8" t="s">
        <v>14</v>
      </c>
      <c r="D1356" s="8" t="str">
        <f>"黄菁梅"</f>
        <v>黄菁梅</v>
      </c>
      <c r="E1356" s="8" t="str">
        <f>"女"</f>
        <v>女</v>
      </c>
    </row>
    <row r="1357" spans="1:5" ht="19.5" customHeight="1">
      <c r="A1357" s="8">
        <v>1355</v>
      </c>
      <c r="B1357" s="8" t="str">
        <f>"21902020071516441028273"</f>
        <v>21902020071516441028273</v>
      </c>
      <c r="C1357" s="8" t="s">
        <v>14</v>
      </c>
      <c r="D1357" s="8" t="str">
        <f>"李承浦"</f>
        <v>李承浦</v>
      </c>
      <c r="E1357" s="8" t="str">
        <f aca="true" t="shared" si="123" ref="E1357:E1363">"男"</f>
        <v>男</v>
      </c>
    </row>
    <row r="1358" spans="1:5" ht="19.5" customHeight="1">
      <c r="A1358" s="8">
        <v>1356</v>
      </c>
      <c r="B1358" s="8" t="str">
        <f>"21902020071517135128309"</f>
        <v>21902020071517135128309</v>
      </c>
      <c r="C1358" s="8" t="s">
        <v>14</v>
      </c>
      <c r="D1358" s="8" t="str">
        <f>"陈光炫"</f>
        <v>陈光炫</v>
      </c>
      <c r="E1358" s="8" t="str">
        <f t="shared" si="123"/>
        <v>男</v>
      </c>
    </row>
    <row r="1359" spans="1:5" ht="19.5" customHeight="1">
      <c r="A1359" s="8">
        <v>1357</v>
      </c>
      <c r="B1359" s="8" t="str">
        <f>"21902020071517185728315"</f>
        <v>21902020071517185728315</v>
      </c>
      <c r="C1359" s="8" t="s">
        <v>14</v>
      </c>
      <c r="D1359" s="8" t="str">
        <f>"梁皇燕"</f>
        <v>梁皇燕</v>
      </c>
      <c r="E1359" s="8" t="str">
        <f t="shared" si="123"/>
        <v>男</v>
      </c>
    </row>
    <row r="1360" spans="1:5" ht="19.5" customHeight="1">
      <c r="A1360" s="8">
        <v>1358</v>
      </c>
      <c r="B1360" s="8" t="str">
        <f>"21902020071517214328318"</f>
        <v>21902020071517214328318</v>
      </c>
      <c r="C1360" s="8" t="s">
        <v>14</v>
      </c>
      <c r="D1360" s="8" t="str">
        <f>"吴立国"</f>
        <v>吴立国</v>
      </c>
      <c r="E1360" s="8" t="str">
        <f t="shared" si="123"/>
        <v>男</v>
      </c>
    </row>
    <row r="1361" spans="1:5" ht="19.5" customHeight="1">
      <c r="A1361" s="8">
        <v>1359</v>
      </c>
      <c r="B1361" s="8" t="str">
        <f>"21902020071517371628334"</f>
        <v>21902020071517371628334</v>
      </c>
      <c r="C1361" s="8" t="s">
        <v>14</v>
      </c>
      <c r="D1361" s="8" t="str">
        <f>"羊江华"</f>
        <v>羊江华</v>
      </c>
      <c r="E1361" s="8" t="str">
        <f t="shared" si="123"/>
        <v>男</v>
      </c>
    </row>
    <row r="1362" spans="1:5" ht="19.5" customHeight="1">
      <c r="A1362" s="8">
        <v>1360</v>
      </c>
      <c r="B1362" s="8" t="str">
        <f>"21902020071517411528338"</f>
        <v>21902020071517411528338</v>
      </c>
      <c r="C1362" s="8" t="s">
        <v>14</v>
      </c>
      <c r="D1362" s="8" t="str">
        <f>"郭军强"</f>
        <v>郭军强</v>
      </c>
      <c r="E1362" s="8" t="str">
        <f t="shared" si="123"/>
        <v>男</v>
      </c>
    </row>
    <row r="1363" spans="1:5" ht="19.5" customHeight="1">
      <c r="A1363" s="8">
        <v>1361</v>
      </c>
      <c r="B1363" s="8" t="str">
        <f>"21902020071517541028351"</f>
        <v>21902020071517541028351</v>
      </c>
      <c r="C1363" s="8" t="s">
        <v>14</v>
      </c>
      <c r="D1363" s="8" t="str">
        <f>"王德祥"</f>
        <v>王德祥</v>
      </c>
      <c r="E1363" s="8" t="str">
        <f t="shared" si="123"/>
        <v>男</v>
      </c>
    </row>
    <row r="1364" spans="1:5" ht="19.5" customHeight="1">
      <c r="A1364" s="8">
        <v>1362</v>
      </c>
      <c r="B1364" s="8" t="str">
        <f>"21902020071518103528361"</f>
        <v>21902020071518103528361</v>
      </c>
      <c r="C1364" s="8" t="s">
        <v>14</v>
      </c>
      <c r="D1364" s="8" t="str">
        <f>"符应鸟"</f>
        <v>符应鸟</v>
      </c>
      <c r="E1364" s="8" t="str">
        <f>"女"</f>
        <v>女</v>
      </c>
    </row>
    <row r="1365" spans="1:5" ht="19.5" customHeight="1">
      <c r="A1365" s="8">
        <v>1363</v>
      </c>
      <c r="B1365" s="8" t="str">
        <f>"21902020071518124628364"</f>
        <v>21902020071518124628364</v>
      </c>
      <c r="C1365" s="8" t="s">
        <v>14</v>
      </c>
      <c r="D1365" s="8" t="str">
        <f>"李国帅"</f>
        <v>李国帅</v>
      </c>
      <c r="E1365" s="8" t="str">
        <f>"男"</f>
        <v>男</v>
      </c>
    </row>
    <row r="1366" spans="1:5" ht="19.5" customHeight="1">
      <c r="A1366" s="8">
        <v>1364</v>
      </c>
      <c r="B1366" s="8" t="str">
        <f>"21902020071518521528391"</f>
        <v>21902020071518521528391</v>
      </c>
      <c r="C1366" s="8" t="s">
        <v>14</v>
      </c>
      <c r="D1366" s="8" t="str">
        <f>"李双吉"</f>
        <v>李双吉</v>
      </c>
      <c r="E1366" s="8" t="str">
        <f>"女"</f>
        <v>女</v>
      </c>
    </row>
    <row r="1367" spans="1:5" ht="19.5" customHeight="1">
      <c r="A1367" s="8">
        <v>1365</v>
      </c>
      <c r="B1367" s="8" t="str">
        <f>"21902020071518533728392"</f>
        <v>21902020071518533728392</v>
      </c>
      <c r="C1367" s="8" t="s">
        <v>14</v>
      </c>
      <c r="D1367" s="8" t="str">
        <f>"谢造卓"</f>
        <v>谢造卓</v>
      </c>
      <c r="E1367" s="8" t="str">
        <f>"男"</f>
        <v>男</v>
      </c>
    </row>
    <row r="1368" spans="1:5" ht="19.5" customHeight="1">
      <c r="A1368" s="8">
        <v>1366</v>
      </c>
      <c r="B1368" s="8" t="str">
        <f>"21902020071519013828397"</f>
        <v>21902020071519013828397</v>
      </c>
      <c r="C1368" s="8" t="s">
        <v>14</v>
      </c>
      <c r="D1368" s="8" t="str">
        <f>"欧祥科"</f>
        <v>欧祥科</v>
      </c>
      <c r="E1368" s="8" t="str">
        <f>"男"</f>
        <v>男</v>
      </c>
    </row>
    <row r="1369" spans="1:5" ht="19.5" customHeight="1">
      <c r="A1369" s="8">
        <v>1367</v>
      </c>
      <c r="B1369" s="8" t="str">
        <f>"21902020071519050028401"</f>
        <v>21902020071519050028401</v>
      </c>
      <c r="C1369" s="8" t="s">
        <v>14</v>
      </c>
      <c r="D1369" s="8" t="str">
        <f>"吴定晓"</f>
        <v>吴定晓</v>
      </c>
      <c r="E1369" s="8" t="str">
        <f>"女"</f>
        <v>女</v>
      </c>
    </row>
    <row r="1370" spans="1:5" ht="19.5" customHeight="1">
      <c r="A1370" s="8">
        <v>1368</v>
      </c>
      <c r="B1370" s="8" t="str">
        <f>"21902020071519242328414"</f>
        <v>21902020071519242328414</v>
      </c>
      <c r="C1370" s="8" t="s">
        <v>14</v>
      </c>
      <c r="D1370" s="8" t="str">
        <f>"符珍宁"</f>
        <v>符珍宁</v>
      </c>
      <c r="E1370" s="8" t="str">
        <f>"男"</f>
        <v>男</v>
      </c>
    </row>
    <row r="1371" spans="1:5" ht="19.5" customHeight="1">
      <c r="A1371" s="8">
        <v>1369</v>
      </c>
      <c r="B1371" s="8" t="str">
        <f>"21902020071519383928424"</f>
        <v>21902020071519383928424</v>
      </c>
      <c r="C1371" s="8" t="s">
        <v>14</v>
      </c>
      <c r="D1371" s="8" t="str">
        <f>"陈逢柳"</f>
        <v>陈逢柳</v>
      </c>
      <c r="E1371" s="8" t="str">
        <f>"女"</f>
        <v>女</v>
      </c>
    </row>
    <row r="1372" spans="1:5" ht="19.5" customHeight="1">
      <c r="A1372" s="8">
        <v>1370</v>
      </c>
      <c r="B1372" s="8" t="str">
        <f>"21902020071519413928429"</f>
        <v>21902020071519413928429</v>
      </c>
      <c r="C1372" s="8" t="s">
        <v>14</v>
      </c>
      <c r="D1372" s="8" t="str">
        <f>"王剑滔"</f>
        <v>王剑滔</v>
      </c>
      <c r="E1372" s="8" t="str">
        <f>"男"</f>
        <v>男</v>
      </c>
    </row>
    <row r="1373" spans="1:5" ht="19.5" customHeight="1">
      <c r="A1373" s="8">
        <v>1371</v>
      </c>
      <c r="B1373" s="8" t="str">
        <f>"21902020071520185728458"</f>
        <v>21902020071520185728458</v>
      </c>
      <c r="C1373" s="8" t="s">
        <v>14</v>
      </c>
      <c r="D1373" s="8" t="str">
        <f>"陈长娇"</f>
        <v>陈长娇</v>
      </c>
      <c r="E1373" s="8" t="str">
        <f>"女"</f>
        <v>女</v>
      </c>
    </row>
    <row r="1374" spans="1:5" ht="19.5" customHeight="1">
      <c r="A1374" s="8">
        <v>1372</v>
      </c>
      <c r="B1374" s="8" t="str">
        <f>"21902020071520234628464"</f>
        <v>21902020071520234628464</v>
      </c>
      <c r="C1374" s="8" t="s">
        <v>14</v>
      </c>
      <c r="D1374" s="8" t="str">
        <f>"李永鹏"</f>
        <v>李永鹏</v>
      </c>
      <c r="E1374" s="8" t="str">
        <f>"男"</f>
        <v>男</v>
      </c>
    </row>
    <row r="1375" spans="1:5" ht="19.5" customHeight="1">
      <c r="A1375" s="8">
        <v>1373</v>
      </c>
      <c r="B1375" s="8" t="str">
        <f>"21902020071520445928484"</f>
        <v>21902020071520445928484</v>
      </c>
      <c r="C1375" s="8" t="s">
        <v>14</v>
      </c>
      <c r="D1375" s="8" t="str">
        <f>"苏高立"</f>
        <v>苏高立</v>
      </c>
      <c r="E1375" s="8" t="str">
        <f>"男"</f>
        <v>男</v>
      </c>
    </row>
    <row r="1376" spans="1:5" ht="19.5" customHeight="1">
      <c r="A1376" s="8">
        <v>1374</v>
      </c>
      <c r="B1376" s="8" t="str">
        <f>"21902020071520593528495"</f>
        <v>21902020071520593528495</v>
      </c>
      <c r="C1376" s="8" t="s">
        <v>14</v>
      </c>
      <c r="D1376" s="8" t="str">
        <f>"唐玉娟"</f>
        <v>唐玉娟</v>
      </c>
      <c r="E1376" s="8" t="str">
        <f>"女"</f>
        <v>女</v>
      </c>
    </row>
    <row r="1377" spans="1:5" ht="19.5" customHeight="1">
      <c r="A1377" s="8">
        <v>1375</v>
      </c>
      <c r="B1377" s="8" t="str">
        <f>"21902020071521154028506"</f>
        <v>21902020071521154028506</v>
      </c>
      <c r="C1377" s="8" t="s">
        <v>14</v>
      </c>
      <c r="D1377" s="8" t="str">
        <f>"陈晓芬"</f>
        <v>陈晓芬</v>
      </c>
      <c r="E1377" s="8" t="str">
        <f>"女"</f>
        <v>女</v>
      </c>
    </row>
    <row r="1378" spans="1:5" ht="19.5" customHeight="1">
      <c r="A1378" s="8">
        <v>1376</v>
      </c>
      <c r="B1378" s="8" t="str">
        <f>"21902020071521154128507"</f>
        <v>21902020071521154128507</v>
      </c>
      <c r="C1378" s="8" t="s">
        <v>14</v>
      </c>
      <c r="D1378" s="8" t="str">
        <f>"陈德嫒"</f>
        <v>陈德嫒</v>
      </c>
      <c r="E1378" s="8" t="str">
        <f>"女"</f>
        <v>女</v>
      </c>
    </row>
    <row r="1379" spans="1:5" ht="19.5" customHeight="1">
      <c r="A1379" s="8">
        <v>1377</v>
      </c>
      <c r="B1379" s="8" t="str">
        <f>"21902020071521243928517"</f>
        <v>21902020071521243928517</v>
      </c>
      <c r="C1379" s="8" t="s">
        <v>14</v>
      </c>
      <c r="D1379" s="8" t="str">
        <f>"何坚鹍"</f>
        <v>何坚鹍</v>
      </c>
      <c r="E1379" s="8" t="str">
        <f aca="true" t="shared" si="124" ref="E1379:E1386">"男"</f>
        <v>男</v>
      </c>
    </row>
    <row r="1380" spans="1:5" ht="19.5" customHeight="1">
      <c r="A1380" s="8">
        <v>1378</v>
      </c>
      <c r="B1380" s="8" t="str">
        <f>"21902020071521540728535"</f>
        <v>21902020071521540728535</v>
      </c>
      <c r="C1380" s="8" t="s">
        <v>14</v>
      </c>
      <c r="D1380" s="8" t="str">
        <f>"黎明仪"</f>
        <v>黎明仪</v>
      </c>
      <c r="E1380" s="8" t="str">
        <f t="shared" si="124"/>
        <v>男</v>
      </c>
    </row>
    <row r="1381" spans="1:5" ht="19.5" customHeight="1">
      <c r="A1381" s="8">
        <v>1379</v>
      </c>
      <c r="B1381" s="8" t="str">
        <f>"21902020071522044728550"</f>
        <v>21902020071522044728550</v>
      </c>
      <c r="C1381" s="8" t="s">
        <v>14</v>
      </c>
      <c r="D1381" s="8" t="str">
        <f>"谢祖开"</f>
        <v>谢祖开</v>
      </c>
      <c r="E1381" s="8" t="str">
        <f t="shared" si="124"/>
        <v>男</v>
      </c>
    </row>
    <row r="1382" spans="1:5" ht="19.5" customHeight="1">
      <c r="A1382" s="8">
        <v>1380</v>
      </c>
      <c r="B1382" s="8" t="str">
        <f>"21902020071522074628552"</f>
        <v>21902020071522074628552</v>
      </c>
      <c r="C1382" s="8" t="s">
        <v>14</v>
      </c>
      <c r="D1382" s="8" t="str">
        <f>"许斌"</f>
        <v>许斌</v>
      </c>
      <c r="E1382" s="8" t="str">
        <f t="shared" si="124"/>
        <v>男</v>
      </c>
    </row>
    <row r="1383" spans="1:5" ht="19.5" customHeight="1">
      <c r="A1383" s="8">
        <v>1381</v>
      </c>
      <c r="B1383" s="8" t="str">
        <f>"21902020071522132228559"</f>
        <v>21902020071522132228559</v>
      </c>
      <c r="C1383" s="8" t="s">
        <v>14</v>
      </c>
      <c r="D1383" s="8" t="str">
        <f>"李克达"</f>
        <v>李克达</v>
      </c>
      <c r="E1383" s="8" t="str">
        <f t="shared" si="124"/>
        <v>男</v>
      </c>
    </row>
    <row r="1384" spans="1:5" ht="19.5" customHeight="1">
      <c r="A1384" s="8">
        <v>1382</v>
      </c>
      <c r="B1384" s="8" t="str">
        <f>"21902020071522194028567"</f>
        <v>21902020071522194028567</v>
      </c>
      <c r="C1384" s="8" t="s">
        <v>14</v>
      </c>
      <c r="D1384" s="8" t="str">
        <f>"何德超"</f>
        <v>何德超</v>
      </c>
      <c r="E1384" s="8" t="str">
        <f t="shared" si="124"/>
        <v>男</v>
      </c>
    </row>
    <row r="1385" spans="1:5" ht="19.5" customHeight="1">
      <c r="A1385" s="8">
        <v>1383</v>
      </c>
      <c r="B1385" s="8" t="str">
        <f>"21902020071522380628586"</f>
        <v>21902020071522380628586</v>
      </c>
      <c r="C1385" s="8" t="s">
        <v>14</v>
      </c>
      <c r="D1385" s="8" t="str">
        <f>"符绵泮"</f>
        <v>符绵泮</v>
      </c>
      <c r="E1385" s="8" t="str">
        <f t="shared" si="124"/>
        <v>男</v>
      </c>
    </row>
    <row r="1386" spans="1:5" ht="19.5" customHeight="1">
      <c r="A1386" s="8">
        <v>1384</v>
      </c>
      <c r="B1386" s="8" t="str">
        <f>"21902020071523193928613"</f>
        <v>21902020071523193928613</v>
      </c>
      <c r="C1386" s="8" t="s">
        <v>14</v>
      </c>
      <c r="D1386" s="8" t="str">
        <f>"符兆丰"</f>
        <v>符兆丰</v>
      </c>
      <c r="E1386" s="8" t="str">
        <f t="shared" si="124"/>
        <v>男</v>
      </c>
    </row>
    <row r="1387" spans="1:5" ht="19.5" customHeight="1">
      <c r="A1387" s="8">
        <v>1385</v>
      </c>
      <c r="B1387" s="8" t="str">
        <f>"21902020071523475228631"</f>
        <v>21902020071523475228631</v>
      </c>
      <c r="C1387" s="8" t="s">
        <v>14</v>
      </c>
      <c r="D1387" s="8" t="str">
        <f>"王鑫花"</f>
        <v>王鑫花</v>
      </c>
      <c r="E1387" s="8" t="str">
        <f>"女"</f>
        <v>女</v>
      </c>
    </row>
    <row r="1388" spans="1:5" ht="19.5" customHeight="1">
      <c r="A1388" s="8">
        <v>1386</v>
      </c>
      <c r="B1388" s="8" t="str">
        <f>"21902020071523494728632"</f>
        <v>21902020071523494728632</v>
      </c>
      <c r="C1388" s="8" t="s">
        <v>14</v>
      </c>
      <c r="D1388" s="8" t="str">
        <f>"薛克恭"</f>
        <v>薛克恭</v>
      </c>
      <c r="E1388" s="8" t="str">
        <f>"男"</f>
        <v>男</v>
      </c>
    </row>
    <row r="1389" spans="1:5" ht="19.5" customHeight="1">
      <c r="A1389" s="8">
        <v>1387</v>
      </c>
      <c r="B1389" s="8" t="str">
        <f>"21902020071523553428636"</f>
        <v>21902020071523553428636</v>
      </c>
      <c r="C1389" s="8" t="s">
        <v>14</v>
      </c>
      <c r="D1389" s="8" t="str">
        <f>"许国良"</f>
        <v>许国良</v>
      </c>
      <c r="E1389" s="8" t="str">
        <f>"男"</f>
        <v>男</v>
      </c>
    </row>
    <row r="1390" spans="1:5" ht="19.5" customHeight="1">
      <c r="A1390" s="8">
        <v>1388</v>
      </c>
      <c r="B1390" s="8" t="str">
        <f>"21902020071600042928640"</f>
        <v>21902020071600042928640</v>
      </c>
      <c r="C1390" s="8" t="s">
        <v>14</v>
      </c>
      <c r="D1390" s="8" t="str">
        <f>"符玉珍"</f>
        <v>符玉珍</v>
      </c>
      <c r="E1390" s="8" t="str">
        <f>"女"</f>
        <v>女</v>
      </c>
    </row>
    <row r="1391" spans="1:5" ht="19.5" customHeight="1">
      <c r="A1391" s="8">
        <v>1389</v>
      </c>
      <c r="B1391" s="8" t="str">
        <f>"21902020071600293428649"</f>
        <v>21902020071600293428649</v>
      </c>
      <c r="C1391" s="8" t="s">
        <v>14</v>
      </c>
      <c r="D1391" s="8" t="str">
        <f>"陈宜海"</f>
        <v>陈宜海</v>
      </c>
      <c r="E1391" s="8" t="str">
        <f aca="true" t="shared" si="125" ref="E1391:E1398">"男"</f>
        <v>男</v>
      </c>
    </row>
    <row r="1392" spans="1:5" ht="19.5" customHeight="1">
      <c r="A1392" s="8">
        <v>1390</v>
      </c>
      <c r="B1392" s="8" t="str">
        <f>"21902020071600402828651"</f>
        <v>21902020071600402828651</v>
      </c>
      <c r="C1392" s="8" t="s">
        <v>14</v>
      </c>
      <c r="D1392" s="8" t="str">
        <f>"陈传洋"</f>
        <v>陈传洋</v>
      </c>
      <c r="E1392" s="8" t="str">
        <f t="shared" si="125"/>
        <v>男</v>
      </c>
    </row>
    <row r="1393" spans="1:5" ht="19.5" customHeight="1">
      <c r="A1393" s="8">
        <v>1391</v>
      </c>
      <c r="B1393" s="8" t="str">
        <f>"21902020071608073628674"</f>
        <v>21902020071608073628674</v>
      </c>
      <c r="C1393" s="8" t="s">
        <v>14</v>
      </c>
      <c r="D1393" s="8" t="str">
        <f>"陈晓斌"</f>
        <v>陈晓斌</v>
      </c>
      <c r="E1393" s="8" t="str">
        <f t="shared" si="125"/>
        <v>男</v>
      </c>
    </row>
    <row r="1394" spans="1:5" ht="19.5" customHeight="1">
      <c r="A1394" s="8">
        <v>1392</v>
      </c>
      <c r="B1394" s="8" t="str">
        <f>"21902020071608305328681"</f>
        <v>21902020071608305328681</v>
      </c>
      <c r="C1394" s="8" t="s">
        <v>14</v>
      </c>
      <c r="D1394" s="8" t="str">
        <f>"符冠熙"</f>
        <v>符冠熙</v>
      </c>
      <c r="E1394" s="8" t="str">
        <f t="shared" si="125"/>
        <v>男</v>
      </c>
    </row>
    <row r="1395" spans="1:5" ht="19.5" customHeight="1">
      <c r="A1395" s="8">
        <v>1393</v>
      </c>
      <c r="B1395" s="8" t="str">
        <f>"21902020071608342928682"</f>
        <v>21902020071608342928682</v>
      </c>
      <c r="C1395" s="8" t="s">
        <v>14</v>
      </c>
      <c r="D1395" s="8" t="str">
        <f>"李武成"</f>
        <v>李武成</v>
      </c>
      <c r="E1395" s="8" t="str">
        <f t="shared" si="125"/>
        <v>男</v>
      </c>
    </row>
    <row r="1396" spans="1:5" ht="19.5" customHeight="1">
      <c r="A1396" s="8">
        <v>1394</v>
      </c>
      <c r="B1396" s="8" t="str">
        <f>"21902020071608360728683"</f>
        <v>21902020071608360728683</v>
      </c>
      <c r="C1396" s="8" t="s">
        <v>14</v>
      </c>
      <c r="D1396" s="8" t="str">
        <f>"王冠多"</f>
        <v>王冠多</v>
      </c>
      <c r="E1396" s="8" t="str">
        <f t="shared" si="125"/>
        <v>男</v>
      </c>
    </row>
    <row r="1397" spans="1:5" ht="19.5" customHeight="1">
      <c r="A1397" s="8">
        <v>1395</v>
      </c>
      <c r="B1397" s="8" t="str">
        <f>"21902020071608404128686"</f>
        <v>21902020071608404128686</v>
      </c>
      <c r="C1397" s="8" t="s">
        <v>14</v>
      </c>
      <c r="D1397" s="8" t="str">
        <f>"陆玉康"</f>
        <v>陆玉康</v>
      </c>
      <c r="E1397" s="8" t="str">
        <f t="shared" si="125"/>
        <v>男</v>
      </c>
    </row>
    <row r="1398" spans="1:5" ht="19.5" customHeight="1">
      <c r="A1398" s="8">
        <v>1396</v>
      </c>
      <c r="B1398" s="8" t="str">
        <f>"21902020071608461828691"</f>
        <v>21902020071608461828691</v>
      </c>
      <c r="C1398" s="8" t="s">
        <v>14</v>
      </c>
      <c r="D1398" s="8" t="str">
        <f>"何海"</f>
        <v>何海</v>
      </c>
      <c r="E1398" s="8" t="str">
        <f t="shared" si="125"/>
        <v>男</v>
      </c>
    </row>
    <row r="1399" spans="1:5" ht="19.5" customHeight="1">
      <c r="A1399" s="8">
        <v>1397</v>
      </c>
      <c r="B1399" s="8" t="str">
        <f>"21902020071608505428696"</f>
        <v>21902020071608505428696</v>
      </c>
      <c r="C1399" s="8" t="s">
        <v>14</v>
      </c>
      <c r="D1399" s="8" t="str">
        <f>"冯步榕"</f>
        <v>冯步榕</v>
      </c>
      <c r="E1399" s="8" t="str">
        <f>"女"</f>
        <v>女</v>
      </c>
    </row>
    <row r="1400" spans="1:5" ht="19.5" customHeight="1">
      <c r="A1400" s="8">
        <v>1398</v>
      </c>
      <c r="B1400" s="8" t="str">
        <f>"21902020071608522928699"</f>
        <v>21902020071608522928699</v>
      </c>
      <c r="C1400" s="8" t="s">
        <v>14</v>
      </c>
      <c r="D1400" s="8" t="str">
        <f>"周礼润"</f>
        <v>周礼润</v>
      </c>
      <c r="E1400" s="8" t="str">
        <f>"男"</f>
        <v>男</v>
      </c>
    </row>
    <row r="1401" spans="1:5" ht="19.5" customHeight="1">
      <c r="A1401" s="8">
        <v>1399</v>
      </c>
      <c r="B1401" s="8" t="str">
        <f>"21902020071608523428700"</f>
        <v>21902020071608523428700</v>
      </c>
      <c r="C1401" s="8" t="s">
        <v>14</v>
      </c>
      <c r="D1401" s="8" t="str">
        <f>"李玉琼"</f>
        <v>李玉琼</v>
      </c>
      <c r="E1401" s="8" t="str">
        <f>"男"</f>
        <v>男</v>
      </c>
    </row>
    <row r="1402" spans="1:5" ht="19.5" customHeight="1">
      <c r="A1402" s="8">
        <v>1400</v>
      </c>
      <c r="B1402" s="8" t="str">
        <f>"21902020071608572628702"</f>
        <v>21902020071608572628702</v>
      </c>
      <c r="C1402" s="8" t="s">
        <v>14</v>
      </c>
      <c r="D1402" s="8" t="str">
        <f>"刘启银"</f>
        <v>刘启银</v>
      </c>
      <c r="E1402" s="8" t="str">
        <f>"男"</f>
        <v>男</v>
      </c>
    </row>
    <row r="1403" spans="1:5" ht="19.5" customHeight="1">
      <c r="A1403" s="8">
        <v>1401</v>
      </c>
      <c r="B1403" s="8" t="str">
        <f>"21902020071609154328714"</f>
        <v>21902020071609154328714</v>
      </c>
      <c r="C1403" s="8" t="s">
        <v>14</v>
      </c>
      <c r="D1403" s="8" t="str">
        <f>"陈美美"</f>
        <v>陈美美</v>
      </c>
      <c r="E1403" s="8" t="str">
        <f>"女"</f>
        <v>女</v>
      </c>
    </row>
    <row r="1404" spans="1:5" ht="19.5" customHeight="1">
      <c r="A1404" s="8">
        <v>1402</v>
      </c>
      <c r="B1404" s="8" t="str">
        <f>"21902020071609163128716"</f>
        <v>21902020071609163128716</v>
      </c>
      <c r="C1404" s="8" t="s">
        <v>14</v>
      </c>
      <c r="D1404" s="8" t="str">
        <f>"邓美花"</f>
        <v>邓美花</v>
      </c>
      <c r="E1404" s="8" t="str">
        <f>"女"</f>
        <v>女</v>
      </c>
    </row>
    <row r="1405" spans="1:5" ht="19.5" customHeight="1">
      <c r="A1405" s="8">
        <v>1403</v>
      </c>
      <c r="B1405" s="8" t="str">
        <f>"21902020071609262728721"</f>
        <v>21902020071609262728721</v>
      </c>
      <c r="C1405" s="8" t="s">
        <v>14</v>
      </c>
      <c r="D1405" s="8" t="str">
        <f>"曾引玲"</f>
        <v>曾引玲</v>
      </c>
      <c r="E1405" s="8" t="str">
        <f>"女"</f>
        <v>女</v>
      </c>
    </row>
    <row r="1406" spans="1:5" ht="19.5" customHeight="1">
      <c r="A1406" s="8">
        <v>1404</v>
      </c>
      <c r="B1406" s="8" t="str">
        <f>"21902020071609350728733"</f>
        <v>21902020071609350728733</v>
      </c>
      <c r="C1406" s="8" t="s">
        <v>14</v>
      </c>
      <c r="D1406" s="8" t="str">
        <f>"符以崇"</f>
        <v>符以崇</v>
      </c>
      <c r="E1406" s="8" t="str">
        <f>"男"</f>
        <v>男</v>
      </c>
    </row>
    <row r="1407" spans="1:5" ht="19.5" customHeight="1">
      <c r="A1407" s="8">
        <v>1405</v>
      </c>
      <c r="B1407" s="8" t="str">
        <f>"21902020071609384328740"</f>
        <v>21902020071609384328740</v>
      </c>
      <c r="C1407" s="8" t="s">
        <v>14</v>
      </c>
      <c r="D1407" s="8" t="str">
        <f>"张周焕"</f>
        <v>张周焕</v>
      </c>
      <c r="E1407" s="8" t="str">
        <f>"男"</f>
        <v>男</v>
      </c>
    </row>
    <row r="1408" spans="1:5" ht="19.5" customHeight="1">
      <c r="A1408" s="8">
        <v>1406</v>
      </c>
      <c r="B1408" s="8" t="str">
        <f>"21902020071610055528754"</f>
        <v>21902020071610055528754</v>
      </c>
      <c r="C1408" s="8" t="s">
        <v>14</v>
      </c>
      <c r="D1408" s="8" t="str">
        <f>"符金枝"</f>
        <v>符金枝</v>
      </c>
      <c r="E1408" s="8" t="str">
        <f>"女"</f>
        <v>女</v>
      </c>
    </row>
    <row r="1409" spans="1:5" ht="19.5" customHeight="1">
      <c r="A1409" s="8">
        <v>1407</v>
      </c>
      <c r="B1409" s="8" t="str">
        <f>"21902020071610092828759"</f>
        <v>21902020071610092828759</v>
      </c>
      <c r="C1409" s="8" t="s">
        <v>14</v>
      </c>
      <c r="D1409" s="8" t="str">
        <f>"朱向明"</f>
        <v>朱向明</v>
      </c>
      <c r="E1409" s="8" t="str">
        <f>"男"</f>
        <v>男</v>
      </c>
    </row>
    <row r="1410" spans="1:5" ht="19.5" customHeight="1">
      <c r="A1410" s="8">
        <v>1408</v>
      </c>
      <c r="B1410" s="8" t="str">
        <f>"21902020071610152328763"</f>
        <v>21902020071610152328763</v>
      </c>
      <c r="C1410" s="8" t="s">
        <v>14</v>
      </c>
      <c r="D1410" s="8" t="str">
        <f>"李俊翰"</f>
        <v>李俊翰</v>
      </c>
      <c r="E1410" s="8" t="str">
        <f>"男"</f>
        <v>男</v>
      </c>
    </row>
    <row r="1411" spans="1:5" ht="19.5" customHeight="1">
      <c r="A1411" s="8">
        <v>1409</v>
      </c>
      <c r="B1411" s="8" t="str">
        <f>"21902020071610254528769"</f>
        <v>21902020071610254528769</v>
      </c>
      <c r="C1411" s="8" t="s">
        <v>14</v>
      </c>
      <c r="D1411" s="8" t="str">
        <f>"陈乾涛"</f>
        <v>陈乾涛</v>
      </c>
      <c r="E1411" s="8" t="str">
        <f>"男"</f>
        <v>男</v>
      </c>
    </row>
    <row r="1412" spans="1:5" ht="19.5" customHeight="1">
      <c r="A1412" s="8">
        <v>1410</v>
      </c>
      <c r="B1412" s="8" t="str">
        <f>"21902020071610475628790"</f>
        <v>21902020071610475628790</v>
      </c>
      <c r="C1412" s="8" t="s">
        <v>14</v>
      </c>
      <c r="D1412" s="8" t="str">
        <f>"林玲娜"</f>
        <v>林玲娜</v>
      </c>
      <c r="E1412" s="8" t="str">
        <f>"女"</f>
        <v>女</v>
      </c>
    </row>
    <row r="1413" spans="1:5" ht="19.5" customHeight="1">
      <c r="A1413" s="8">
        <v>1411</v>
      </c>
      <c r="B1413" s="8" t="str">
        <f>"21902020071611030728809"</f>
        <v>21902020071611030728809</v>
      </c>
      <c r="C1413" s="8" t="s">
        <v>14</v>
      </c>
      <c r="D1413" s="8" t="str">
        <f>"何桂芬"</f>
        <v>何桂芬</v>
      </c>
      <c r="E1413" s="8" t="str">
        <f>"女"</f>
        <v>女</v>
      </c>
    </row>
    <row r="1414" spans="1:5" ht="19.5" customHeight="1">
      <c r="A1414" s="8">
        <v>1412</v>
      </c>
      <c r="B1414" s="8" t="str">
        <f>"21902020071611060628811"</f>
        <v>21902020071611060628811</v>
      </c>
      <c r="C1414" s="8" t="s">
        <v>14</v>
      </c>
      <c r="D1414" s="8" t="str">
        <f>"李锦龙"</f>
        <v>李锦龙</v>
      </c>
      <c r="E1414" s="8" t="str">
        <f>"男"</f>
        <v>男</v>
      </c>
    </row>
    <row r="1415" spans="1:5" ht="19.5" customHeight="1">
      <c r="A1415" s="8">
        <v>1413</v>
      </c>
      <c r="B1415" s="8" t="str">
        <f>"21902020071611073928815"</f>
        <v>21902020071611073928815</v>
      </c>
      <c r="C1415" s="8" t="s">
        <v>14</v>
      </c>
      <c r="D1415" s="8" t="str">
        <f>"黎加茂"</f>
        <v>黎加茂</v>
      </c>
      <c r="E1415" s="8" t="str">
        <f>"男"</f>
        <v>男</v>
      </c>
    </row>
    <row r="1416" spans="1:5" ht="19.5" customHeight="1">
      <c r="A1416" s="8">
        <v>1414</v>
      </c>
      <c r="B1416" s="8" t="str">
        <f>"21902020071611173928827"</f>
        <v>21902020071611173928827</v>
      </c>
      <c r="C1416" s="8" t="s">
        <v>14</v>
      </c>
      <c r="D1416" s="8" t="str">
        <f>"骆祖美"</f>
        <v>骆祖美</v>
      </c>
      <c r="E1416" s="8" t="str">
        <f>"女"</f>
        <v>女</v>
      </c>
    </row>
    <row r="1417" spans="1:5" ht="19.5" customHeight="1">
      <c r="A1417" s="8">
        <v>1415</v>
      </c>
      <c r="B1417" s="8" t="str">
        <f>"21902020071611193028829"</f>
        <v>21902020071611193028829</v>
      </c>
      <c r="C1417" s="8" t="s">
        <v>14</v>
      </c>
      <c r="D1417" s="8" t="str">
        <f>"张志彦"</f>
        <v>张志彦</v>
      </c>
      <c r="E1417" s="8" t="str">
        <f>"男"</f>
        <v>男</v>
      </c>
    </row>
    <row r="1418" spans="1:5" ht="19.5" customHeight="1">
      <c r="A1418" s="8">
        <v>1416</v>
      </c>
      <c r="B1418" s="8" t="str">
        <f>"21902020071611205628832"</f>
        <v>21902020071611205628832</v>
      </c>
      <c r="C1418" s="8" t="s">
        <v>14</v>
      </c>
      <c r="D1418" s="8" t="str">
        <f>"符杰鹏"</f>
        <v>符杰鹏</v>
      </c>
      <c r="E1418" s="8" t="str">
        <f>"男"</f>
        <v>男</v>
      </c>
    </row>
    <row r="1419" spans="1:5" ht="19.5" customHeight="1">
      <c r="A1419" s="8">
        <v>1417</v>
      </c>
      <c r="B1419" s="8" t="str">
        <f>"21902020071611281828838"</f>
        <v>21902020071611281828838</v>
      </c>
      <c r="C1419" s="8" t="s">
        <v>14</v>
      </c>
      <c r="D1419" s="8" t="str">
        <f>"张婷"</f>
        <v>张婷</v>
      </c>
      <c r="E1419" s="8" t="str">
        <f>"女"</f>
        <v>女</v>
      </c>
    </row>
    <row r="1420" spans="1:5" ht="19.5" customHeight="1">
      <c r="A1420" s="8">
        <v>1418</v>
      </c>
      <c r="B1420" s="8" t="str">
        <f>"21902020071611400128847"</f>
        <v>21902020071611400128847</v>
      </c>
      <c r="C1420" s="8" t="s">
        <v>14</v>
      </c>
      <c r="D1420" s="8" t="str">
        <f>"王海力"</f>
        <v>王海力</v>
      </c>
      <c r="E1420" s="8" t="str">
        <f>"男"</f>
        <v>男</v>
      </c>
    </row>
    <row r="1421" spans="1:5" ht="19.5" customHeight="1">
      <c r="A1421" s="8">
        <v>1419</v>
      </c>
      <c r="B1421" s="8" t="str">
        <f>"21902020071611463628853"</f>
        <v>21902020071611463628853</v>
      </c>
      <c r="C1421" s="8" t="s">
        <v>14</v>
      </c>
      <c r="D1421" s="8" t="str">
        <f>"刘美婵"</f>
        <v>刘美婵</v>
      </c>
      <c r="E1421" s="8" t="str">
        <f>"女"</f>
        <v>女</v>
      </c>
    </row>
    <row r="1422" spans="1:5" ht="19.5" customHeight="1">
      <c r="A1422" s="8">
        <v>1420</v>
      </c>
      <c r="B1422" s="8" t="str">
        <f>"21902020071612154828875"</f>
        <v>21902020071612154828875</v>
      </c>
      <c r="C1422" s="8" t="s">
        <v>14</v>
      </c>
      <c r="D1422" s="8" t="str">
        <f>"林艳成"</f>
        <v>林艳成</v>
      </c>
      <c r="E1422" s="8" t="str">
        <f>"男"</f>
        <v>男</v>
      </c>
    </row>
    <row r="1423" spans="1:5" ht="19.5" customHeight="1">
      <c r="A1423" s="8">
        <v>1421</v>
      </c>
      <c r="B1423" s="8" t="str">
        <f>"21902020071612310328885"</f>
        <v>21902020071612310328885</v>
      </c>
      <c r="C1423" s="8" t="s">
        <v>14</v>
      </c>
      <c r="D1423" s="8" t="str">
        <f>"徐汉武"</f>
        <v>徐汉武</v>
      </c>
      <c r="E1423" s="8" t="str">
        <f>"男"</f>
        <v>男</v>
      </c>
    </row>
    <row r="1424" spans="1:5" ht="19.5" customHeight="1">
      <c r="A1424" s="8">
        <v>1422</v>
      </c>
      <c r="B1424" s="8" t="str">
        <f>"21902020071612472628894"</f>
        <v>21902020071612472628894</v>
      </c>
      <c r="C1424" s="8" t="s">
        <v>14</v>
      </c>
      <c r="D1424" s="8" t="str">
        <f>"陈妃"</f>
        <v>陈妃</v>
      </c>
      <c r="E1424" s="8" t="str">
        <f>"女"</f>
        <v>女</v>
      </c>
    </row>
    <row r="1425" spans="1:5" ht="19.5" customHeight="1">
      <c r="A1425" s="8">
        <v>1423</v>
      </c>
      <c r="B1425" s="8" t="str">
        <f>"21902020071612490428895"</f>
        <v>21902020071612490428895</v>
      </c>
      <c r="C1425" s="8" t="s">
        <v>14</v>
      </c>
      <c r="D1425" s="8" t="str">
        <f>"沈善女"</f>
        <v>沈善女</v>
      </c>
      <c r="E1425" s="8" t="str">
        <f>"女"</f>
        <v>女</v>
      </c>
    </row>
    <row r="1426" spans="1:5" ht="19.5" customHeight="1">
      <c r="A1426" s="8">
        <v>1424</v>
      </c>
      <c r="B1426" s="8" t="str">
        <f>"21902020071612512328897"</f>
        <v>21902020071612512328897</v>
      </c>
      <c r="C1426" s="8" t="s">
        <v>14</v>
      </c>
      <c r="D1426" s="8" t="str">
        <f>"符世泽"</f>
        <v>符世泽</v>
      </c>
      <c r="E1426" s="8" t="str">
        <f>"男"</f>
        <v>男</v>
      </c>
    </row>
    <row r="1427" spans="1:5" ht="19.5" customHeight="1">
      <c r="A1427" s="8">
        <v>1425</v>
      </c>
      <c r="B1427" s="8" t="str">
        <f>"21902020071612514028898"</f>
        <v>21902020071612514028898</v>
      </c>
      <c r="C1427" s="8" t="s">
        <v>14</v>
      </c>
      <c r="D1427" s="8" t="str">
        <f>"苻硕门"</f>
        <v>苻硕门</v>
      </c>
      <c r="E1427" s="8" t="str">
        <f>"男"</f>
        <v>男</v>
      </c>
    </row>
    <row r="1428" spans="1:5" ht="19.5" customHeight="1">
      <c r="A1428" s="8">
        <v>1426</v>
      </c>
      <c r="B1428" s="8" t="str">
        <f>"21902020071613041828907"</f>
        <v>21902020071613041828907</v>
      </c>
      <c r="C1428" s="8" t="s">
        <v>14</v>
      </c>
      <c r="D1428" s="8" t="str">
        <f>"刘英政"</f>
        <v>刘英政</v>
      </c>
      <c r="E1428" s="8" t="str">
        <f>"男"</f>
        <v>男</v>
      </c>
    </row>
    <row r="1429" spans="1:5" ht="19.5" customHeight="1">
      <c r="A1429" s="8">
        <v>1427</v>
      </c>
      <c r="B1429" s="8" t="str">
        <f>"21902020071614235428941"</f>
        <v>21902020071614235428941</v>
      </c>
      <c r="C1429" s="8" t="s">
        <v>14</v>
      </c>
      <c r="D1429" s="8" t="str">
        <f>"郑雄强"</f>
        <v>郑雄强</v>
      </c>
      <c r="E1429" s="8" t="str">
        <f>"男"</f>
        <v>男</v>
      </c>
    </row>
    <row r="1430" spans="1:5" ht="19.5" customHeight="1">
      <c r="A1430" s="8">
        <v>1428</v>
      </c>
      <c r="B1430" s="8" t="str">
        <f>"21902020071614242928942"</f>
        <v>21902020071614242928942</v>
      </c>
      <c r="C1430" s="8" t="s">
        <v>14</v>
      </c>
      <c r="D1430" s="8" t="str">
        <f>"林壮丽"</f>
        <v>林壮丽</v>
      </c>
      <c r="E1430" s="8" t="str">
        <f>"女"</f>
        <v>女</v>
      </c>
    </row>
    <row r="1431" spans="1:5" ht="19.5" customHeight="1">
      <c r="A1431" s="8">
        <v>1429</v>
      </c>
      <c r="B1431" s="8" t="str">
        <f>"21902020071614371728950"</f>
        <v>21902020071614371728950</v>
      </c>
      <c r="C1431" s="8" t="s">
        <v>14</v>
      </c>
      <c r="D1431" s="8" t="str">
        <f>"许丁倩"</f>
        <v>许丁倩</v>
      </c>
      <c r="E1431" s="8" t="str">
        <f>"女"</f>
        <v>女</v>
      </c>
    </row>
    <row r="1432" spans="1:5" ht="19.5" customHeight="1">
      <c r="A1432" s="8">
        <v>1430</v>
      </c>
      <c r="B1432" s="8" t="str">
        <f>"21902020071614383928953"</f>
        <v>21902020071614383928953</v>
      </c>
      <c r="C1432" s="8" t="s">
        <v>14</v>
      </c>
      <c r="D1432" s="8" t="str">
        <f>"陈凯"</f>
        <v>陈凯</v>
      </c>
      <c r="E1432" s="8" t="str">
        <f>"男"</f>
        <v>男</v>
      </c>
    </row>
    <row r="1433" spans="1:5" ht="19.5" customHeight="1">
      <c r="A1433" s="8">
        <v>1431</v>
      </c>
      <c r="B1433" s="8" t="str">
        <f>"21902020071614491428959"</f>
        <v>21902020071614491428959</v>
      </c>
      <c r="C1433" s="8" t="s">
        <v>14</v>
      </c>
      <c r="D1433" s="8" t="str">
        <f>"卜华昌"</f>
        <v>卜华昌</v>
      </c>
      <c r="E1433" s="8" t="str">
        <f>"男"</f>
        <v>男</v>
      </c>
    </row>
    <row r="1434" spans="1:5" ht="19.5" customHeight="1">
      <c r="A1434" s="8">
        <v>1432</v>
      </c>
      <c r="B1434" s="8" t="str">
        <f>"21902020071614492828960"</f>
        <v>21902020071614492828960</v>
      </c>
      <c r="C1434" s="8" t="s">
        <v>14</v>
      </c>
      <c r="D1434" s="8" t="str">
        <f>"李顺妃"</f>
        <v>李顺妃</v>
      </c>
      <c r="E1434" s="8" t="str">
        <f>"女"</f>
        <v>女</v>
      </c>
    </row>
    <row r="1435" spans="1:5" ht="19.5" customHeight="1">
      <c r="A1435" s="8">
        <v>1433</v>
      </c>
      <c r="B1435" s="8" t="str">
        <f>"21902020071615020528967"</f>
        <v>21902020071615020528967</v>
      </c>
      <c r="C1435" s="8" t="s">
        <v>14</v>
      </c>
      <c r="D1435" s="8" t="str">
        <f>"黎周威"</f>
        <v>黎周威</v>
      </c>
      <c r="E1435" s="8" t="str">
        <f>"男"</f>
        <v>男</v>
      </c>
    </row>
    <row r="1436" spans="1:5" ht="19.5" customHeight="1">
      <c r="A1436" s="8">
        <v>1434</v>
      </c>
      <c r="B1436" s="8" t="str">
        <f>"21902020071615151128985"</f>
        <v>21902020071615151128985</v>
      </c>
      <c r="C1436" s="8" t="s">
        <v>14</v>
      </c>
      <c r="D1436" s="8" t="str">
        <f>"李文精"</f>
        <v>李文精</v>
      </c>
      <c r="E1436" s="8" t="str">
        <f>"男"</f>
        <v>男</v>
      </c>
    </row>
    <row r="1437" spans="1:5" ht="19.5" customHeight="1">
      <c r="A1437" s="8">
        <v>1435</v>
      </c>
      <c r="B1437" s="8" t="str">
        <f>"21902020071615324528999"</f>
        <v>21902020071615324528999</v>
      </c>
      <c r="C1437" s="8" t="s">
        <v>14</v>
      </c>
      <c r="D1437" s="8" t="str">
        <f>"朱树华"</f>
        <v>朱树华</v>
      </c>
      <c r="E1437" s="8" t="str">
        <f>"男"</f>
        <v>男</v>
      </c>
    </row>
    <row r="1438" spans="1:5" ht="19.5" customHeight="1">
      <c r="A1438" s="8">
        <v>1436</v>
      </c>
      <c r="B1438" s="8" t="str">
        <f>"21902020071615344529001"</f>
        <v>21902020071615344529001</v>
      </c>
      <c r="C1438" s="8" t="s">
        <v>14</v>
      </c>
      <c r="D1438" s="8" t="str">
        <f>"黄苑莹"</f>
        <v>黄苑莹</v>
      </c>
      <c r="E1438" s="8" t="str">
        <f>"女"</f>
        <v>女</v>
      </c>
    </row>
    <row r="1439" spans="1:5" ht="19.5" customHeight="1">
      <c r="A1439" s="8">
        <v>1437</v>
      </c>
      <c r="B1439" s="8" t="str">
        <f>"21902020071615412329011"</f>
        <v>21902020071615412329011</v>
      </c>
      <c r="C1439" s="8" t="s">
        <v>14</v>
      </c>
      <c r="D1439" s="8" t="str">
        <f>"李美珊"</f>
        <v>李美珊</v>
      </c>
      <c r="E1439" s="8" t="str">
        <f>"女"</f>
        <v>女</v>
      </c>
    </row>
    <row r="1440" spans="1:5" ht="19.5" customHeight="1">
      <c r="A1440" s="8">
        <v>1438</v>
      </c>
      <c r="B1440" s="8" t="str">
        <f>"21902020071615420029013"</f>
        <v>21902020071615420029013</v>
      </c>
      <c r="C1440" s="8" t="s">
        <v>14</v>
      </c>
      <c r="D1440" s="8" t="str">
        <f>"麦豪振"</f>
        <v>麦豪振</v>
      </c>
      <c r="E1440" s="8" t="str">
        <f>"男"</f>
        <v>男</v>
      </c>
    </row>
    <row r="1441" spans="1:5" ht="19.5" customHeight="1">
      <c r="A1441" s="8">
        <v>1439</v>
      </c>
      <c r="B1441" s="8" t="str">
        <f>"21902020071615430129014"</f>
        <v>21902020071615430129014</v>
      </c>
      <c r="C1441" s="8" t="s">
        <v>14</v>
      </c>
      <c r="D1441" s="8" t="str">
        <f>"梁子刚"</f>
        <v>梁子刚</v>
      </c>
      <c r="E1441" s="8" t="str">
        <f>"男"</f>
        <v>男</v>
      </c>
    </row>
    <row r="1442" spans="1:5" ht="19.5" customHeight="1">
      <c r="A1442" s="8">
        <v>1440</v>
      </c>
      <c r="B1442" s="8" t="str">
        <f>"21902020071615522829023"</f>
        <v>21902020071615522829023</v>
      </c>
      <c r="C1442" s="8" t="s">
        <v>14</v>
      </c>
      <c r="D1442" s="8" t="str">
        <f>"谢恒香"</f>
        <v>谢恒香</v>
      </c>
      <c r="E1442" s="8" t="str">
        <f>"女"</f>
        <v>女</v>
      </c>
    </row>
    <row r="1443" spans="1:5" ht="19.5" customHeight="1">
      <c r="A1443" s="8">
        <v>1441</v>
      </c>
      <c r="B1443" s="8" t="str">
        <f>"21902020071616124829041"</f>
        <v>21902020071616124829041</v>
      </c>
      <c r="C1443" s="8" t="s">
        <v>14</v>
      </c>
      <c r="D1443" s="8" t="str">
        <f>"李娟"</f>
        <v>李娟</v>
      </c>
      <c r="E1443" s="8" t="str">
        <f>"女"</f>
        <v>女</v>
      </c>
    </row>
    <row r="1444" spans="1:5" ht="19.5" customHeight="1">
      <c r="A1444" s="8">
        <v>1442</v>
      </c>
      <c r="B1444" s="8" t="str">
        <f>"21902020071616130829042"</f>
        <v>21902020071616130829042</v>
      </c>
      <c r="C1444" s="8" t="s">
        <v>14</v>
      </c>
      <c r="D1444" s="8" t="str">
        <f>"陈定红"</f>
        <v>陈定红</v>
      </c>
      <c r="E1444" s="8" t="str">
        <f>"女"</f>
        <v>女</v>
      </c>
    </row>
    <row r="1445" spans="1:5" ht="19.5" customHeight="1">
      <c r="A1445" s="8">
        <v>1443</v>
      </c>
      <c r="B1445" s="8" t="str">
        <f>"21902020071616181229048"</f>
        <v>21902020071616181229048</v>
      </c>
      <c r="C1445" s="8" t="s">
        <v>14</v>
      </c>
      <c r="D1445" s="8" t="str">
        <f>"羊开奏"</f>
        <v>羊开奏</v>
      </c>
      <c r="E1445" s="8" t="str">
        <f>"男"</f>
        <v>男</v>
      </c>
    </row>
    <row r="1446" spans="1:5" ht="19.5" customHeight="1">
      <c r="A1446" s="8">
        <v>1444</v>
      </c>
      <c r="B1446" s="8" t="str">
        <f>"21902020071616330229060"</f>
        <v>21902020071616330229060</v>
      </c>
      <c r="C1446" s="8" t="s">
        <v>14</v>
      </c>
      <c r="D1446" s="8" t="str">
        <f>"黎圣志"</f>
        <v>黎圣志</v>
      </c>
      <c r="E1446" s="8" t="str">
        <f>"男"</f>
        <v>男</v>
      </c>
    </row>
    <row r="1447" spans="1:5" ht="19.5" customHeight="1">
      <c r="A1447" s="8">
        <v>1445</v>
      </c>
      <c r="B1447" s="8" t="str">
        <f>"21902020071616385129063"</f>
        <v>21902020071616385129063</v>
      </c>
      <c r="C1447" s="8" t="s">
        <v>14</v>
      </c>
      <c r="D1447" s="8" t="str">
        <f>"邓桂精"</f>
        <v>邓桂精</v>
      </c>
      <c r="E1447" s="8" t="str">
        <f>"男"</f>
        <v>男</v>
      </c>
    </row>
    <row r="1448" spans="1:5" ht="19.5" customHeight="1">
      <c r="A1448" s="8">
        <v>1446</v>
      </c>
      <c r="B1448" s="8" t="str">
        <f>"21902020071616424729065"</f>
        <v>21902020071616424729065</v>
      </c>
      <c r="C1448" s="8" t="s">
        <v>14</v>
      </c>
      <c r="D1448" s="8" t="str">
        <f>"薛梅爱"</f>
        <v>薛梅爱</v>
      </c>
      <c r="E1448" s="8" t="str">
        <f>"女"</f>
        <v>女</v>
      </c>
    </row>
    <row r="1449" spans="1:5" ht="19.5" customHeight="1">
      <c r="A1449" s="8">
        <v>1447</v>
      </c>
      <c r="B1449" s="8" t="str">
        <f>"21902020071616424829066"</f>
        <v>21902020071616424829066</v>
      </c>
      <c r="C1449" s="8" t="s">
        <v>14</v>
      </c>
      <c r="D1449" s="8" t="str">
        <f>"徐军军"</f>
        <v>徐军军</v>
      </c>
      <c r="E1449" s="8" t="str">
        <f>"男"</f>
        <v>男</v>
      </c>
    </row>
    <row r="1450" spans="1:5" ht="19.5" customHeight="1">
      <c r="A1450" s="8">
        <v>1448</v>
      </c>
      <c r="B1450" s="8" t="str">
        <f>"21902020071616441029068"</f>
        <v>21902020071616441029068</v>
      </c>
      <c r="C1450" s="8" t="s">
        <v>14</v>
      </c>
      <c r="D1450" s="8" t="str">
        <f>"黎贵坦"</f>
        <v>黎贵坦</v>
      </c>
      <c r="E1450" s="8" t="str">
        <f>"男"</f>
        <v>男</v>
      </c>
    </row>
    <row r="1451" spans="1:5" ht="19.5" customHeight="1">
      <c r="A1451" s="8">
        <v>1449</v>
      </c>
      <c r="B1451" s="8" t="str">
        <f>"21902020071616543929079"</f>
        <v>21902020071616543929079</v>
      </c>
      <c r="C1451" s="8" t="s">
        <v>14</v>
      </c>
      <c r="D1451" s="8" t="str">
        <f>"李焕"</f>
        <v>李焕</v>
      </c>
      <c r="E1451" s="8" t="str">
        <f>"男"</f>
        <v>男</v>
      </c>
    </row>
    <row r="1452" spans="1:5" ht="19.5" customHeight="1">
      <c r="A1452" s="8">
        <v>1450</v>
      </c>
      <c r="B1452" s="8" t="str">
        <f>"21902020071617292429108"</f>
        <v>21902020071617292429108</v>
      </c>
      <c r="C1452" s="8" t="s">
        <v>14</v>
      </c>
      <c r="D1452" s="8" t="str">
        <f>"韦海波"</f>
        <v>韦海波</v>
      </c>
      <c r="E1452" s="8" t="str">
        <f>"男"</f>
        <v>男</v>
      </c>
    </row>
    <row r="1453" spans="1:5" ht="19.5" customHeight="1">
      <c r="A1453" s="8">
        <v>1451</v>
      </c>
      <c r="B1453" s="8" t="str">
        <f>"21902020071617301829112"</f>
        <v>21902020071617301829112</v>
      </c>
      <c r="C1453" s="8" t="s">
        <v>14</v>
      </c>
      <c r="D1453" s="8" t="str">
        <f>"薛选金"</f>
        <v>薛选金</v>
      </c>
      <c r="E1453" s="8" t="str">
        <f>"女"</f>
        <v>女</v>
      </c>
    </row>
    <row r="1454" spans="1:5" ht="19.5" customHeight="1">
      <c r="A1454" s="8">
        <v>1452</v>
      </c>
      <c r="B1454" s="8" t="str">
        <f>"21902020071617462429122"</f>
        <v>21902020071617462429122</v>
      </c>
      <c r="C1454" s="8" t="s">
        <v>14</v>
      </c>
      <c r="D1454" s="8" t="str">
        <f>"王燕燕"</f>
        <v>王燕燕</v>
      </c>
      <c r="E1454" s="8" t="str">
        <f>"女"</f>
        <v>女</v>
      </c>
    </row>
    <row r="1455" spans="1:5" ht="19.5" customHeight="1">
      <c r="A1455" s="8">
        <v>1453</v>
      </c>
      <c r="B1455" s="8" t="str">
        <f>"21902020071618031129130"</f>
        <v>21902020071618031129130</v>
      </c>
      <c r="C1455" s="8" t="s">
        <v>14</v>
      </c>
      <c r="D1455" s="8" t="str">
        <f>"郭敏姣"</f>
        <v>郭敏姣</v>
      </c>
      <c r="E1455" s="8" t="str">
        <f>"女"</f>
        <v>女</v>
      </c>
    </row>
    <row r="1456" spans="1:5" ht="19.5" customHeight="1">
      <c r="A1456" s="8">
        <v>1454</v>
      </c>
      <c r="B1456" s="8" t="str">
        <f>"21902020071618033129131"</f>
        <v>21902020071618033129131</v>
      </c>
      <c r="C1456" s="8" t="s">
        <v>14</v>
      </c>
      <c r="D1456" s="8" t="str">
        <f>"陈秀丹"</f>
        <v>陈秀丹</v>
      </c>
      <c r="E1456" s="8" t="str">
        <f>"女"</f>
        <v>女</v>
      </c>
    </row>
    <row r="1457" spans="1:5" ht="19.5" customHeight="1">
      <c r="A1457" s="8">
        <v>1455</v>
      </c>
      <c r="B1457" s="8" t="str">
        <f>"21902020071618131929134"</f>
        <v>21902020071618131929134</v>
      </c>
      <c r="C1457" s="8" t="s">
        <v>14</v>
      </c>
      <c r="D1457" s="8" t="str">
        <f>"李汉书"</f>
        <v>李汉书</v>
      </c>
      <c r="E1457" s="8" t="str">
        <f>"男"</f>
        <v>男</v>
      </c>
    </row>
    <row r="1458" spans="1:5" ht="19.5" customHeight="1">
      <c r="A1458" s="8">
        <v>1456</v>
      </c>
      <c r="B1458" s="8" t="str">
        <f>"21902020071618303029144"</f>
        <v>21902020071618303029144</v>
      </c>
      <c r="C1458" s="8" t="s">
        <v>14</v>
      </c>
      <c r="D1458" s="8" t="str">
        <f>"李丽爱"</f>
        <v>李丽爱</v>
      </c>
      <c r="E1458" s="8" t="str">
        <f>"女"</f>
        <v>女</v>
      </c>
    </row>
    <row r="1459" spans="1:5" ht="19.5" customHeight="1">
      <c r="A1459" s="8">
        <v>1457</v>
      </c>
      <c r="B1459" s="8" t="str">
        <f>"21902020071619034729157"</f>
        <v>21902020071619034729157</v>
      </c>
      <c r="C1459" s="8" t="s">
        <v>14</v>
      </c>
      <c r="D1459" s="8" t="str">
        <f>"钟富玲"</f>
        <v>钟富玲</v>
      </c>
      <c r="E1459" s="8" t="str">
        <f>"女"</f>
        <v>女</v>
      </c>
    </row>
    <row r="1460" spans="1:5" ht="19.5" customHeight="1">
      <c r="A1460" s="8">
        <v>1458</v>
      </c>
      <c r="B1460" s="8" t="str">
        <f>"21902020071619085129159"</f>
        <v>21902020071619085129159</v>
      </c>
      <c r="C1460" s="8" t="s">
        <v>14</v>
      </c>
      <c r="D1460" s="8" t="str">
        <f>"符乃燕"</f>
        <v>符乃燕</v>
      </c>
      <c r="E1460" s="8" t="str">
        <f>"女"</f>
        <v>女</v>
      </c>
    </row>
    <row r="1461" spans="1:5" ht="19.5" customHeight="1">
      <c r="A1461" s="8">
        <v>1459</v>
      </c>
      <c r="B1461" s="8" t="str">
        <f>"21902020071619094329160"</f>
        <v>21902020071619094329160</v>
      </c>
      <c r="C1461" s="8" t="s">
        <v>14</v>
      </c>
      <c r="D1461" s="8" t="str">
        <f>"李锦辉"</f>
        <v>李锦辉</v>
      </c>
      <c r="E1461" s="8" t="str">
        <f>"男"</f>
        <v>男</v>
      </c>
    </row>
    <row r="1462" spans="1:5" ht="19.5" customHeight="1">
      <c r="A1462" s="8">
        <v>1460</v>
      </c>
      <c r="B1462" s="8" t="str">
        <f>"21902020071619235329165"</f>
        <v>21902020071619235329165</v>
      </c>
      <c r="C1462" s="8" t="s">
        <v>14</v>
      </c>
      <c r="D1462" s="8" t="str">
        <f>"刘引芝"</f>
        <v>刘引芝</v>
      </c>
      <c r="E1462" s="8" t="str">
        <f>"女"</f>
        <v>女</v>
      </c>
    </row>
    <row r="1463" spans="1:5" ht="19.5" customHeight="1">
      <c r="A1463" s="8">
        <v>1461</v>
      </c>
      <c r="B1463" s="8" t="str">
        <f>"21902020071619312129169"</f>
        <v>21902020071619312129169</v>
      </c>
      <c r="C1463" s="8" t="s">
        <v>14</v>
      </c>
      <c r="D1463" s="8" t="str">
        <f>"洪有旺"</f>
        <v>洪有旺</v>
      </c>
      <c r="E1463" s="8" t="str">
        <f>"男"</f>
        <v>男</v>
      </c>
    </row>
    <row r="1464" spans="1:5" ht="19.5" customHeight="1">
      <c r="A1464" s="8">
        <v>1462</v>
      </c>
      <c r="B1464" s="8" t="str">
        <f>"21902020071620005429183"</f>
        <v>21902020071620005429183</v>
      </c>
      <c r="C1464" s="8" t="s">
        <v>14</v>
      </c>
      <c r="D1464" s="8" t="str">
        <f>"李俊炜"</f>
        <v>李俊炜</v>
      </c>
      <c r="E1464" s="8" t="str">
        <f>"男"</f>
        <v>男</v>
      </c>
    </row>
    <row r="1465" spans="1:5" ht="19.5" customHeight="1">
      <c r="A1465" s="8">
        <v>1463</v>
      </c>
      <c r="B1465" s="8" t="str">
        <f>"21902020071620030229185"</f>
        <v>21902020071620030229185</v>
      </c>
      <c r="C1465" s="8" t="s">
        <v>14</v>
      </c>
      <c r="D1465" s="8" t="str">
        <f>"彭仁和"</f>
        <v>彭仁和</v>
      </c>
      <c r="E1465" s="8" t="str">
        <f>"男"</f>
        <v>男</v>
      </c>
    </row>
    <row r="1466" spans="1:5" ht="19.5" customHeight="1">
      <c r="A1466" s="8">
        <v>1464</v>
      </c>
      <c r="B1466" s="8" t="str">
        <f>"21902020071620284529199"</f>
        <v>21902020071620284529199</v>
      </c>
      <c r="C1466" s="8" t="s">
        <v>14</v>
      </c>
      <c r="D1466" s="8" t="str">
        <f>"王居群"</f>
        <v>王居群</v>
      </c>
      <c r="E1466" s="8" t="str">
        <f>"男"</f>
        <v>男</v>
      </c>
    </row>
    <row r="1467" spans="1:5" ht="19.5" customHeight="1">
      <c r="A1467" s="8">
        <v>1465</v>
      </c>
      <c r="B1467" s="8" t="str">
        <f>"21902020071620393529204"</f>
        <v>21902020071620393529204</v>
      </c>
      <c r="C1467" s="8" t="s">
        <v>14</v>
      </c>
      <c r="D1467" s="8" t="str">
        <f>"古舒妮"</f>
        <v>古舒妮</v>
      </c>
      <c r="E1467" s="8" t="str">
        <f>"女"</f>
        <v>女</v>
      </c>
    </row>
    <row r="1468" spans="1:5" ht="19.5" customHeight="1">
      <c r="A1468" s="8">
        <v>1466</v>
      </c>
      <c r="B1468" s="8" t="str">
        <f>"21902020071620460229209"</f>
        <v>21902020071620460229209</v>
      </c>
      <c r="C1468" s="8" t="s">
        <v>14</v>
      </c>
      <c r="D1468" s="8" t="str">
        <f>"黄森祥"</f>
        <v>黄森祥</v>
      </c>
      <c r="E1468" s="8" t="str">
        <f>"男"</f>
        <v>男</v>
      </c>
    </row>
    <row r="1469" spans="1:5" ht="19.5" customHeight="1">
      <c r="A1469" s="8">
        <v>1467</v>
      </c>
      <c r="B1469" s="8" t="str">
        <f>"21902020071621152029227"</f>
        <v>21902020071621152029227</v>
      </c>
      <c r="C1469" s="8" t="s">
        <v>14</v>
      </c>
      <c r="D1469" s="8" t="str">
        <f>"陈秋月"</f>
        <v>陈秋月</v>
      </c>
      <c r="E1469" s="8" t="str">
        <f>"女"</f>
        <v>女</v>
      </c>
    </row>
    <row r="1470" spans="1:5" ht="19.5" customHeight="1">
      <c r="A1470" s="8">
        <v>1468</v>
      </c>
      <c r="B1470" s="8" t="str">
        <f>"21902020071621215829229"</f>
        <v>21902020071621215829229</v>
      </c>
      <c r="C1470" s="8" t="s">
        <v>14</v>
      </c>
      <c r="D1470" s="8" t="str">
        <f>"麦光位"</f>
        <v>麦光位</v>
      </c>
      <c r="E1470" s="8" t="str">
        <f>"男"</f>
        <v>男</v>
      </c>
    </row>
    <row r="1471" spans="1:5" ht="19.5" customHeight="1">
      <c r="A1471" s="8">
        <v>1469</v>
      </c>
      <c r="B1471" s="8" t="str">
        <f>"21902020071621512829241"</f>
        <v>21902020071621512829241</v>
      </c>
      <c r="C1471" s="8" t="s">
        <v>14</v>
      </c>
      <c r="D1471" s="8" t="str">
        <f>"蒲奕达"</f>
        <v>蒲奕达</v>
      </c>
      <c r="E1471" s="8" t="str">
        <f>"男"</f>
        <v>男</v>
      </c>
    </row>
    <row r="1472" spans="1:5" ht="19.5" customHeight="1">
      <c r="A1472" s="8">
        <v>1470</v>
      </c>
      <c r="B1472" s="8" t="str">
        <f>"21902020071621564329244"</f>
        <v>21902020071621564329244</v>
      </c>
      <c r="C1472" s="8" t="s">
        <v>14</v>
      </c>
      <c r="D1472" s="8" t="str">
        <f>"符肇尤"</f>
        <v>符肇尤</v>
      </c>
      <c r="E1472" s="8" t="str">
        <f>"男"</f>
        <v>男</v>
      </c>
    </row>
    <row r="1473" spans="1:5" ht="19.5" customHeight="1">
      <c r="A1473" s="8">
        <v>1471</v>
      </c>
      <c r="B1473" s="8" t="str">
        <f>"21902020071622120629249"</f>
        <v>21902020071622120629249</v>
      </c>
      <c r="C1473" s="8" t="s">
        <v>14</v>
      </c>
      <c r="D1473" s="8" t="str">
        <f>"曾云婷"</f>
        <v>曾云婷</v>
      </c>
      <c r="E1473" s="8" t="str">
        <f>"女"</f>
        <v>女</v>
      </c>
    </row>
    <row r="1474" spans="1:5" ht="19.5" customHeight="1">
      <c r="A1474" s="8">
        <v>1472</v>
      </c>
      <c r="B1474" s="8" t="str">
        <f>"21902020071622130929251"</f>
        <v>21902020071622130929251</v>
      </c>
      <c r="C1474" s="8" t="s">
        <v>14</v>
      </c>
      <c r="D1474" s="8" t="str">
        <f>"何丽娜"</f>
        <v>何丽娜</v>
      </c>
      <c r="E1474" s="8" t="str">
        <f>"女"</f>
        <v>女</v>
      </c>
    </row>
    <row r="1475" spans="1:5" ht="19.5" customHeight="1">
      <c r="A1475" s="8">
        <v>1473</v>
      </c>
      <c r="B1475" s="8" t="str">
        <f>"21902020071622161529255"</f>
        <v>21902020071622161529255</v>
      </c>
      <c r="C1475" s="8" t="s">
        <v>14</v>
      </c>
      <c r="D1475" s="8" t="str">
        <f>"谢君宝"</f>
        <v>谢君宝</v>
      </c>
      <c r="E1475" s="8" t="str">
        <f>"男"</f>
        <v>男</v>
      </c>
    </row>
    <row r="1476" spans="1:5" ht="19.5" customHeight="1">
      <c r="A1476" s="8">
        <v>1474</v>
      </c>
      <c r="B1476" s="8" t="str">
        <f>"21902020071622560329276"</f>
        <v>21902020071622560329276</v>
      </c>
      <c r="C1476" s="8" t="s">
        <v>14</v>
      </c>
      <c r="D1476" s="8" t="str">
        <f>"尹妃"</f>
        <v>尹妃</v>
      </c>
      <c r="E1476" s="8" t="str">
        <f>"女"</f>
        <v>女</v>
      </c>
    </row>
    <row r="1477" spans="1:5" ht="19.5" customHeight="1">
      <c r="A1477" s="8">
        <v>1475</v>
      </c>
      <c r="B1477" s="8" t="str">
        <f>"21902020071623341829297"</f>
        <v>21902020071623341829297</v>
      </c>
      <c r="C1477" s="8" t="s">
        <v>14</v>
      </c>
      <c r="D1477" s="8" t="str">
        <f>"万里妃"</f>
        <v>万里妃</v>
      </c>
      <c r="E1477" s="8" t="str">
        <f>"女"</f>
        <v>女</v>
      </c>
    </row>
    <row r="1478" spans="1:5" ht="19.5" customHeight="1">
      <c r="A1478" s="8">
        <v>1476</v>
      </c>
      <c r="B1478" s="8" t="str">
        <f>"21902020071701304729312"</f>
        <v>21902020071701304729312</v>
      </c>
      <c r="C1478" s="8" t="s">
        <v>14</v>
      </c>
      <c r="D1478" s="8" t="str">
        <f>"赵顺扬"</f>
        <v>赵顺扬</v>
      </c>
      <c r="E1478" s="8" t="str">
        <f>"男"</f>
        <v>男</v>
      </c>
    </row>
    <row r="1479" spans="1:5" ht="19.5" customHeight="1">
      <c r="A1479" s="8">
        <v>1477</v>
      </c>
      <c r="B1479" s="8" t="str">
        <f>"21902020071708472929339"</f>
        <v>21902020071708472929339</v>
      </c>
      <c r="C1479" s="8" t="s">
        <v>14</v>
      </c>
      <c r="D1479" s="8" t="str">
        <f>"曾敏嘉"</f>
        <v>曾敏嘉</v>
      </c>
      <c r="E1479" s="8" t="str">
        <f>"女"</f>
        <v>女</v>
      </c>
    </row>
    <row r="1480" spans="1:5" ht="19.5" customHeight="1">
      <c r="A1480" s="8">
        <v>1478</v>
      </c>
      <c r="B1480" s="8" t="str">
        <f>"21902020071709080429350"</f>
        <v>21902020071709080429350</v>
      </c>
      <c r="C1480" s="8" t="s">
        <v>14</v>
      </c>
      <c r="D1480" s="8" t="str">
        <f>"陈保桦"</f>
        <v>陈保桦</v>
      </c>
      <c r="E1480" s="8" t="str">
        <f>"男"</f>
        <v>男</v>
      </c>
    </row>
    <row r="1481" spans="1:5" ht="19.5" customHeight="1">
      <c r="A1481" s="8">
        <v>1479</v>
      </c>
      <c r="B1481" s="8" t="str">
        <f>"21902020071709084529353"</f>
        <v>21902020071709084529353</v>
      </c>
      <c r="C1481" s="8" t="s">
        <v>14</v>
      </c>
      <c r="D1481" s="8" t="str">
        <f>"符造芬"</f>
        <v>符造芬</v>
      </c>
      <c r="E1481" s="8" t="str">
        <f>"女"</f>
        <v>女</v>
      </c>
    </row>
    <row r="1482" spans="1:5" ht="19.5" customHeight="1">
      <c r="A1482" s="8">
        <v>1480</v>
      </c>
      <c r="B1482" s="8" t="str">
        <f>"21902020071709230929365"</f>
        <v>21902020071709230929365</v>
      </c>
      <c r="C1482" s="8" t="s">
        <v>14</v>
      </c>
      <c r="D1482" s="8" t="str">
        <f>"唐骁诚"</f>
        <v>唐骁诚</v>
      </c>
      <c r="E1482" s="8" t="str">
        <f>"男"</f>
        <v>男</v>
      </c>
    </row>
    <row r="1483" spans="1:5" ht="19.5" customHeight="1">
      <c r="A1483" s="8">
        <v>1481</v>
      </c>
      <c r="B1483" s="8" t="str">
        <f>"21902020071709590329389"</f>
        <v>21902020071709590329389</v>
      </c>
      <c r="C1483" s="8" t="s">
        <v>14</v>
      </c>
      <c r="D1483" s="8" t="str">
        <f>"陈博敬"</f>
        <v>陈博敬</v>
      </c>
      <c r="E1483" s="8" t="str">
        <f>"男"</f>
        <v>男</v>
      </c>
    </row>
    <row r="1484" spans="1:5" ht="19.5" customHeight="1">
      <c r="A1484" s="8">
        <v>1482</v>
      </c>
      <c r="B1484" s="8" t="str">
        <f>"21902020071710070629393"</f>
        <v>21902020071710070629393</v>
      </c>
      <c r="C1484" s="8" t="s">
        <v>14</v>
      </c>
      <c r="D1484" s="8" t="str">
        <f>"王秋妹"</f>
        <v>王秋妹</v>
      </c>
      <c r="E1484" s="8" t="str">
        <f>"女"</f>
        <v>女</v>
      </c>
    </row>
    <row r="1485" spans="1:5" ht="19.5" customHeight="1">
      <c r="A1485" s="8">
        <v>1483</v>
      </c>
      <c r="B1485" s="8" t="str">
        <f>"21902020071710080229394"</f>
        <v>21902020071710080229394</v>
      </c>
      <c r="C1485" s="8" t="s">
        <v>14</v>
      </c>
      <c r="D1485" s="8" t="str">
        <f>"洪晶晶"</f>
        <v>洪晶晶</v>
      </c>
      <c r="E1485" s="8" t="str">
        <f>"女"</f>
        <v>女</v>
      </c>
    </row>
    <row r="1486" spans="1:5" ht="19.5" customHeight="1">
      <c r="A1486" s="8">
        <v>1484</v>
      </c>
      <c r="B1486" s="8" t="str">
        <f>"21902020071710164829401"</f>
        <v>21902020071710164829401</v>
      </c>
      <c r="C1486" s="8" t="s">
        <v>14</v>
      </c>
      <c r="D1486" s="8" t="str">
        <f>"  谢明花"</f>
        <v>  谢明花</v>
      </c>
      <c r="E1486" s="8" t="str">
        <f>"女"</f>
        <v>女</v>
      </c>
    </row>
    <row r="1487" spans="1:5" ht="19.5" customHeight="1">
      <c r="A1487" s="8">
        <v>1485</v>
      </c>
      <c r="B1487" s="8" t="str">
        <f>"21902020071710272929407"</f>
        <v>21902020071710272929407</v>
      </c>
      <c r="C1487" s="8" t="s">
        <v>14</v>
      </c>
      <c r="D1487" s="8" t="str">
        <f>"郑为亮"</f>
        <v>郑为亮</v>
      </c>
      <c r="E1487" s="8" t="str">
        <f>"男"</f>
        <v>男</v>
      </c>
    </row>
    <row r="1488" spans="1:5" ht="19.5" customHeight="1">
      <c r="A1488" s="8">
        <v>1486</v>
      </c>
      <c r="B1488" s="8" t="str">
        <f>"21902020071710435729417"</f>
        <v>21902020071710435729417</v>
      </c>
      <c r="C1488" s="8" t="s">
        <v>14</v>
      </c>
      <c r="D1488" s="8" t="str">
        <f>"刘虹燕"</f>
        <v>刘虹燕</v>
      </c>
      <c r="E1488" s="8" t="str">
        <f>"女"</f>
        <v>女</v>
      </c>
    </row>
    <row r="1489" spans="1:5" ht="19.5" customHeight="1">
      <c r="A1489" s="8">
        <v>1487</v>
      </c>
      <c r="B1489" s="8" t="str">
        <f>"21902020071711074629439"</f>
        <v>21902020071711074629439</v>
      </c>
      <c r="C1489" s="8" t="s">
        <v>14</v>
      </c>
      <c r="D1489" s="8" t="str">
        <f>"羊造烈"</f>
        <v>羊造烈</v>
      </c>
      <c r="E1489" s="8" t="str">
        <f>"男"</f>
        <v>男</v>
      </c>
    </row>
    <row r="1490" spans="1:5" ht="19.5" customHeight="1">
      <c r="A1490" s="8">
        <v>1488</v>
      </c>
      <c r="B1490" s="8" t="str">
        <f>"21902020071711301229456"</f>
        <v>21902020071711301229456</v>
      </c>
      <c r="C1490" s="8" t="s">
        <v>14</v>
      </c>
      <c r="D1490" s="8" t="str">
        <f>"吴小莉"</f>
        <v>吴小莉</v>
      </c>
      <c r="E1490" s="8" t="str">
        <f>"女"</f>
        <v>女</v>
      </c>
    </row>
    <row r="1491" spans="1:5" ht="19.5" customHeight="1">
      <c r="A1491" s="8">
        <v>1489</v>
      </c>
      <c r="B1491" s="8" t="str">
        <f>"21902020071712101629490"</f>
        <v>21902020071712101629490</v>
      </c>
      <c r="C1491" s="8" t="s">
        <v>14</v>
      </c>
      <c r="D1491" s="8" t="str">
        <f>"李建乐"</f>
        <v>李建乐</v>
      </c>
      <c r="E1491" s="8" t="str">
        <f>"男"</f>
        <v>男</v>
      </c>
    </row>
    <row r="1492" spans="1:5" ht="19.5" customHeight="1">
      <c r="A1492" s="8">
        <v>1490</v>
      </c>
      <c r="B1492" s="8" t="str">
        <f>"21902020071712114629493"</f>
        <v>21902020071712114629493</v>
      </c>
      <c r="C1492" s="8" t="s">
        <v>14</v>
      </c>
      <c r="D1492" s="8" t="str">
        <f>"符达莲"</f>
        <v>符达莲</v>
      </c>
      <c r="E1492" s="8" t="str">
        <f>"女"</f>
        <v>女</v>
      </c>
    </row>
    <row r="1493" spans="1:5" ht="19.5" customHeight="1">
      <c r="A1493" s="8">
        <v>1491</v>
      </c>
      <c r="B1493" s="8" t="str">
        <f>"21902020071712405429501"</f>
        <v>21902020071712405429501</v>
      </c>
      <c r="C1493" s="8" t="s">
        <v>14</v>
      </c>
      <c r="D1493" s="8" t="str">
        <f>"符武月"</f>
        <v>符武月</v>
      </c>
      <c r="E1493" s="8" t="str">
        <f>"女"</f>
        <v>女</v>
      </c>
    </row>
    <row r="1494" spans="1:5" ht="19.5" customHeight="1">
      <c r="A1494" s="8">
        <v>1492</v>
      </c>
      <c r="B1494" s="8" t="str">
        <f>"21902020071713172329520"</f>
        <v>21902020071713172329520</v>
      </c>
      <c r="C1494" s="8" t="s">
        <v>14</v>
      </c>
      <c r="D1494" s="8" t="str">
        <f>"符柯丽"</f>
        <v>符柯丽</v>
      </c>
      <c r="E1494" s="8" t="str">
        <f>"女"</f>
        <v>女</v>
      </c>
    </row>
    <row r="1495" spans="1:5" ht="19.5" customHeight="1">
      <c r="A1495" s="8">
        <v>1493</v>
      </c>
      <c r="B1495" s="8" t="str">
        <f>"21902020071714105329542"</f>
        <v>21902020071714105329542</v>
      </c>
      <c r="C1495" s="8" t="s">
        <v>14</v>
      </c>
      <c r="D1495" s="8" t="str">
        <f>"郑月花"</f>
        <v>郑月花</v>
      </c>
      <c r="E1495" s="8" t="str">
        <f>"女"</f>
        <v>女</v>
      </c>
    </row>
    <row r="1496" spans="1:5" ht="19.5" customHeight="1">
      <c r="A1496" s="8">
        <v>1494</v>
      </c>
      <c r="B1496" s="8" t="str">
        <f>"21902020071714193129545"</f>
        <v>21902020071714193129545</v>
      </c>
      <c r="C1496" s="8" t="s">
        <v>14</v>
      </c>
      <c r="D1496" s="8" t="str">
        <f>"王生达"</f>
        <v>王生达</v>
      </c>
      <c r="E1496" s="8" t="str">
        <f>"男"</f>
        <v>男</v>
      </c>
    </row>
    <row r="1497" spans="1:5" ht="19.5" customHeight="1">
      <c r="A1497" s="8">
        <v>1495</v>
      </c>
      <c r="B1497" s="8" t="str">
        <f>"21902020071715082129576"</f>
        <v>21902020071715082129576</v>
      </c>
      <c r="C1497" s="8" t="s">
        <v>14</v>
      </c>
      <c r="D1497" s="8" t="str">
        <f>"蔡碧青"</f>
        <v>蔡碧青</v>
      </c>
      <c r="E1497" s="8" t="str">
        <f>"女"</f>
        <v>女</v>
      </c>
    </row>
    <row r="1498" spans="1:5" ht="19.5" customHeight="1">
      <c r="A1498" s="8">
        <v>1496</v>
      </c>
      <c r="B1498" s="8" t="str">
        <f>"21902020071715212029587"</f>
        <v>21902020071715212029587</v>
      </c>
      <c r="C1498" s="8" t="s">
        <v>14</v>
      </c>
      <c r="D1498" s="8" t="str">
        <f>"王婧"</f>
        <v>王婧</v>
      </c>
      <c r="E1498" s="8" t="str">
        <f>"女"</f>
        <v>女</v>
      </c>
    </row>
    <row r="1499" spans="1:5" ht="19.5" customHeight="1">
      <c r="A1499" s="8">
        <v>1497</v>
      </c>
      <c r="B1499" s="8" t="str">
        <f>"21902020071715370529600"</f>
        <v>21902020071715370529600</v>
      </c>
      <c r="C1499" s="8" t="s">
        <v>14</v>
      </c>
      <c r="D1499" s="8" t="str">
        <f>"符有娉"</f>
        <v>符有娉</v>
      </c>
      <c r="E1499" s="8" t="str">
        <f>"女"</f>
        <v>女</v>
      </c>
    </row>
    <row r="1500" spans="1:5" ht="19.5" customHeight="1">
      <c r="A1500" s="8">
        <v>1498</v>
      </c>
      <c r="B1500" s="8" t="str">
        <f>"21902020071716101329621"</f>
        <v>21902020071716101329621</v>
      </c>
      <c r="C1500" s="8" t="s">
        <v>14</v>
      </c>
      <c r="D1500" s="8" t="str">
        <f>"黎宏霞"</f>
        <v>黎宏霞</v>
      </c>
      <c r="E1500" s="8" t="str">
        <f>"女"</f>
        <v>女</v>
      </c>
    </row>
    <row r="1501" spans="1:5" ht="19.5" customHeight="1">
      <c r="A1501" s="8">
        <v>1499</v>
      </c>
      <c r="B1501" s="8" t="str">
        <f>"21902020071716181229631"</f>
        <v>21902020071716181229631</v>
      </c>
      <c r="C1501" s="8" t="s">
        <v>14</v>
      </c>
      <c r="D1501" s="8" t="str">
        <f>"许雄玉"</f>
        <v>许雄玉</v>
      </c>
      <c r="E1501" s="8" t="str">
        <f>"男"</f>
        <v>男</v>
      </c>
    </row>
    <row r="1502" spans="1:5" ht="19.5" customHeight="1">
      <c r="A1502" s="8">
        <v>1500</v>
      </c>
      <c r="B1502" s="8" t="str">
        <f>"21902020071717084829668"</f>
        <v>21902020071717084829668</v>
      </c>
      <c r="C1502" s="8" t="s">
        <v>14</v>
      </c>
      <c r="D1502" s="8" t="str">
        <f>"骆石彩"</f>
        <v>骆石彩</v>
      </c>
      <c r="E1502" s="8" t="str">
        <f>"女"</f>
        <v>女</v>
      </c>
    </row>
    <row r="1503" spans="1:5" ht="19.5" customHeight="1">
      <c r="A1503" s="8">
        <v>1501</v>
      </c>
      <c r="B1503" s="8" t="str">
        <f>"21902020071717474329686"</f>
        <v>21902020071717474329686</v>
      </c>
      <c r="C1503" s="8" t="s">
        <v>14</v>
      </c>
      <c r="D1503" s="8" t="str">
        <f>"蒲文金"</f>
        <v>蒲文金</v>
      </c>
      <c r="E1503" s="8" t="str">
        <f>"女"</f>
        <v>女</v>
      </c>
    </row>
    <row r="1504" spans="1:5" ht="19.5" customHeight="1">
      <c r="A1504" s="8">
        <v>1502</v>
      </c>
      <c r="B1504" s="8" t="str">
        <f>"21902020071717540929690"</f>
        <v>21902020071717540929690</v>
      </c>
      <c r="C1504" s="8" t="s">
        <v>14</v>
      </c>
      <c r="D1504" s="8" t="str">
        <f>"吴朝平"</f>
        <v>吴朝平</v>
      </c>
      <c r="E1504" s="8" t="str">
        <f>"男"</f>
        <v>男</v>
      </c>
    </row>
    <row r="1505" spans="1:5" ht="19.5" customHeight="1">
      <c r="A1505" s="8">
        <v>1503</v>
      </c>
      <c r="B1505" s="8" t="str">
        <f>"21902020071718294429707"</f>
        <v>21902020071718294429707</v>
      </c>
      <c r="C1505" s="8" t="s">
        <v>14</v>
      </c>
      <c r="D1505" s="8" t="str">
        <f>"薛桂带"</f>
        <v>薛桂带</v>
      </c>
      <c r="E1505" s="8" t="str">
        <f>"女"</f>
        <v>女</v>
      </c>
    </row>
    <row r="1506" spans="1:5" ht="19.5" customHeight="1">
      <c r="A1506" s="8">
        <v>1504</v>
      </c>
      <c r="B1506" s="8" t="str">
        <f>"21902020071719160629721"</f>
        <v>21902020071719160629721</v>
      </c>
      <c r="C1506" s="8" t="s">
        <v>14</v>
      </c>
      <c r="D1506" s="8" t="str">
        <f>"李木交"</f>
        <v>李木交</v>
      </c>
      <c r="E1506" s="8" t="str">
        <f>"女"</f>
        <v>女</v>
      </c>
    </row>
    <row r="1507" spans="1:5" ht="19.5" customHeight="1">
      <c r="A1507" s="8">
        <v>1505</v>
      </c>
      <c r="B1507" s="8" t="str">
        <f>"21902020071719490029728"</f>
        <v>21902020071719490029728</v>
      </c>
      <c r="C1507" s="8" t="s">
        <v>14</v>
      </c>
      <c r="D1507" s="8" t="str">
        <f>"羊贵玉"</f>
        <v>羊贵玉</v>
      </c>
      <c r="E1507" s="8" t="str">
        <f>"男"</f>
        <v>男</v>
      </c>
    </row>
    <row r="1508" spans="1:5" ht="19.5" customHeight="1">
      <c r="A1508" s="8">
        <v>1506</v>
      </c>
      <c r="B1508" s="8" t="str">
        <f>"21902020071720023829730"</f>
        <v>21902020071720023829730</v>
      </c>
      <c r="C1508" s="8" t="s">
        <v>14</v>
      </c>
      <c r="D1508" s="8" t="str">
        <f>"林天正"</f>
        <v>林天正</v>
      </c>
      <c r="E1508" s="8" t="str">
        <f>"男"</f>
        <v>男</v>
      </c>
    </row>
    <row r="1509" spans="1:5" ht="19.5" customHeight="1">
      <c r="A1509" s="8">
        <v>1507</v>
      </c>
      <c r="B1509" s="8" t="str">
        <f>"21902020071720284929735"</f>
        <v>21902020071720284929735</v>
      </c>
      <c r="C1509" s="8" t="s">
        <v>14</v>
      </c>
      <c r="D1509" s="8" t="str">
        <f>"符为成"</f>
        <v>符为成</v>
      </c>
      <c r="E1509" s="8" t="str">
        <f>"男"</f>
        <v>男</v>
      </c>
    </row>
    <row r="1510" spans="1:5" ht="19.5" customHeight="1">
      <c r="A1510" s="8">
        <v>1508</v>
      </c>
      <c r="B1510" s="8" t="str">
        <f>"21902020071721162929749"</f>
        <v>21902020071721162929749</v>
      </c>
      <c r="C1510" s="8" t="s">
        <v>14</v>
      </c>
      <c r="D1510" s="8" t="str">
        <f>"曾人强"</f>
        <v>曾人强</v>
      </c>
      <c r="E1510" s="8" t="str">
        <f>"男"</f>
        <v>男</v>
      </c>
    </row>
    <row r="1511" spans="1:5" ht="19.5" customHeight="1">
      <c r="A1511" s="8">
        <v>1509</v>
      </c>
      <c r="B1511" s="8" t="str">
        <f>"21902020071722081529771"</f>
        <v>21902020071722081529771</v>
      </c>
      <c r="C1511" s="8" t="s">
        <v>14</v>
      </c>
      <c r="D1511" s="8" t="str">
        <f>"李永月"</f>
        <v>李永月</v>
      </c>
      <c r="E1511" s="8" t="str">
        <f>"女"</f>
        <v>女</v>
      </c>
    </row>
    <row r="1512" spans="1:5" ht="19.5" customHeight="1">
      <c r="A1512" s="8">
        <v>1510</v>
      </c>
      <c r="B1512" s="8" t="str">
        <f>"21902020071722423029786"</f>
        <v>21902020071722423029786</v>
      </c>
      <c r="C1512" s="8" t="s">
        <v>14</v>
      </c>
      <c r="D1512" s="8" t="str">
        <f>"李必琳"</f>
        <v>李必琳</v>
      </c>
      <c r="E1512" s="8" t="str">
        <f>"男"</f>
        <v>男</v>
      </c>
    </row>
    <row r="1513" spans="1:5" ht="19.5" customHeight="1">
      <c r="A1513" s="8">
        <v>1511</v>
      </c>
      <c r="B1513" s="8" t="str">
        <f>"21902020071723161829791"</f>
        <v>21902020071723161829791</v>
      </c>
      <c r="C1513" s="8" t="s">
        <v>14</v>
      </c>
      <c r="D1513" s="8" t="str">
        <f>"李树权"</f>
        <v>李树权</v>
      </c>
      <c r="E1513" s="8" t="str">
        <f>"男"</f>
        <v>男</v>
      </c>
    </row>
    <row r="1514" spans="1:5" ht="19.5" customHeight="1">
      <c r="A1514" s="8">
        <v>1512</v>
      </c>
      <c r="B1514" s="8" t="str">
        <f>"21902020071800095829800"</f>
        <v>21902020071800095829800</v>
      </c>
      <c r="C1514" s="8" t="s">
        <v>14</v>
      </c>
      <c r="D1514" s="8" t="str">
        <f>"符壮才"</f>
        <v>符壮才</v>
      </c>
      <c r="E1514" s="8" t="str">
        <f>"男"</f>
        <v>男</v>
      </c>
    </row>
    <row r="1515" spans="1:5" ht="19.5" customHeight="1">
      <c r="A1515" s="8">
        <v>1513</v>
      </c>
      <c r="B1515" s="8" t="str">
        <f>"21902020071809432529829"</f>
        <v>21902020071809432529829</v>
      </c>
      <c r="C1515" s="8" t="s">
        <v>14</v>
      </c>
      <c r="D1515" s="8" t="str">
        <f>"徐千姣"</f>
        <v>徐千姣</v>
      </c>
      <c r="E1515" s="8" t="str">
        <f>"女"</f>
        <v>女</v>
      </c>
    </row>
    <row r="1516" spans="1:5" ht="19.5" customHeight="1">
      <c r="A1516" s="8">
        <v>1514</v>
      </c>
      <c r="B1516" s="8" t="str">
        <f>"21902020071810083629833"</f>
        <v>21902020071810083629833</v>
      </c>
      <c r="C1516" s="8" t="s">
        <v>14</v>
      </c>
      <c r="D1516" s="8" t="str">
        <f>"王凯莹"</f>
        <v>王凯莹</v>
      </c>
      <c r="E1516" s="8" t="str">
        <f>"女"</f>
        <v>女</v>
      </c>
    </row>
    <row r="1517" spans="1:5" ht="19.5" customHeight="1">
      <c r="A1517" s="8">
        <v>1515</v>
      </c>
      <c r="B1517" s="8" t="str">
        <f>"21902020071810211229840"</f>
        <v>21902020071810211229840</v>
      </c>
      <c r="C1517" s="8" t="s">
        <v>14</v>
      </c>
      <c r="D1517" s="8" t="str">
        <f>"杨远林"</f>
        <v>杨远林</v>
      </c>
      <c r="E1517" s="8" t="str">
        <f>"男"</f>
        <v>男</v>
      </c>
    </row>
    <row r="1518" spans="1:5" ht="19.5" customHeight="1">
      <c r="A1518" s="8">
        <v>1516</v>
      </c>
      <c r="B1518" s="8" t="str">
        <f>"21902020071810381829851"</f>
        <v>21902020071810381829851</v>
      </c>
      <c r="C1518" s="8" t="s">
        <v>14</v>
      </c>
      <c r="D1518" s="8" t="str">
        <f>"何以官"</f>
        <v>何以官</v>
      </c>
      <c r="E1518" s="8" t="str">
        <f>"男"</f>
        <v>男</v>
      </c>
    </row>
    <row r="1519" spans="1:5" ht="19.5" customHeight="1">
      <c r="A1519" s="8">
        <v>1517</v>
      </c>
      <c r="B1519" s="8" t="str">
        <f>"21902020071810584629861"</f>
        <v>21902020071810584629861</v>
      </c>
      <c r="C1519" s="8" t="s">
        <v>14</v>
      </c>
      <c r="D1519" s="8" t="str">
        <f>"符达基"</f>
        <v>符达基</v>
      </c>
      <c r="E1519" s="8" t="str">
        <f>"女"</f>
        <v>女</v>
      </c>
    </row>
    <row r="1520" spans="1:5" ht="19.5" customHeight="1">
      <c r="A1520" s="8">
        <v>1518</v>
      </c>
      <c r="B1520" s="8" t="str">
        <f>"21902020071811550629880"</f>
        <v>21902020071811550629880</v>
      </c>
      <c r="C1520" s="8" t="s">
        <v>14</v>
      </c>
      <c r="D1520" s="8" t="str">
        <f>"李笔燕"</f>
        <v>李笔燕</v>
      </c>
      <c r="E1520" s="8" t="str">
        <f>"女"</f>
        <v>女</v>
      </c>
    </row>
    <row r="1521" spans="1:5" ht="19.5" customHeight="1">
      <c r="A1521" s="8">
        <v>1519</v>
      </c>
      <c r="B1521" s="8" t="str">
        <f>"21902020071812164329884"</f>
        <v>21902020071812164329884</v>
      </c>
      <c r="C1521" s="8" t="s">
        <v>14</v>
      </c>
      <c r="D1521" s="8" t="str">
        <f>"林道文"</f>
        <v>林道文</v>
      </c>
      <c r="E1521" s="8" t="str">
        <f>"女"</f>
        <v>女</v>
      </c>
    </row>
    <row r="1522" spans="1:5" ht="19.5" customHeight="1">
      <c r="A1522" s="8">
        <v>1520</v>
      </c>
      <c r="B1522" s="8" t="str">
        <f>"21902020071813000729899"</f>
        <v>21902020071813000729899</v>
      </c>
      <c r="C1522" s="8" t="s">
        <v>14</v>
      </c>
      <c r="D1522" s="8" t="str">
        <f>"谢建祥"</f>
        <v>谢建祥</v>
      </c>
      <c r="E1522" s="8" t="str">
        <f>"男"</f>
        <v>男</v>
      </c>
    </row>
    <row r="1523" spans="1:5" ht="19.5" customHeight="1">
      <c r="A1523" s="8">
        <v>1521</v>
      </c>
      <c r="B1523" s="8" t="str">
        <f>"21902020071813012029900"</f>
        <v>21902020071813012029900</v>
      </c>
      <c r="C1523" s="8" t="s">
        <v>14</v>
      </c>
      <c r="D1523" s="8" t="str">
        <f>"陈炉爱"</f>
        <v>陈炉爱</v>
      </c>
      <c r="E1523" s="8" t="str">
        <f>"女"</f>
        <v>女</v>
      </c>
    </row>
    <row r="1524" spans="1:5" ht="19.5" customHeight="1">
      <c r="A1524" s="8">
        <v>1522</v>
      </c>
      <c r="B1524" s="8" t="str">
        <f>"21902020071813092929906"</f>
        <v>21902020071813092929906</v>
      </c>
      <c r="C1524" s="8" t="s">
        <v>14</v>
      </c>
      <c r="D1524" s="8" t="str">
        <f>"许华平"</f>
        <v>许华平</v>
      </c>
      <c r="E1524" s="8" t="str">
        <f>"女"</f>
        <v>女</v>
      </c>
    </row>
    <row r="1525" spans="1:5" ht="19.5" customHeight="1">
      <c r="A1525" s="8">
        <v>1523</v>
      </c>
      <c r="B1525" s="8" t="str">
        <f>"21902020071813203529910"</f>
        <v>21902020071813203529910</v>
      </c>
      <c r="C1525" s="8" t="s">
        <v>14</v>
      </c>
      <c r="D1525" s="8" t="str">
        <f>"符桂函"</f>
        <v>符桂函</v>
      </c>
      <c r="E1525" s="8" t="str">
        <f>"男"</f>
        <v>男</v>
      </c>
    </row>
    <row r="1526" spans="1:5" ht="19.5" customHeight="1">
      <c r="A1526" s="8">
        <v>1524</v>
      </c>
      <c r="B1526" s="8" t="str">
        <f>"21902020071814263029933"</f>
        <v>21902020071814263029933</v>
      </c>
      <c r="C1526" s="8" t="s">
        <v>14</v>
      </c>
      <c r="D1526" s="8" t="str">
        <f>"何小燕"</f>
        <v>何小燕</v>
      </c>
      <c r="E1526" s="8" t="str">
        <f>"女"</f>
        <v>女</v>
      </c>
    </row>
    <row r="1527" spans="1:5" ht="19.5" customHeight="1">
      <c r="A1527" s="8">
        <v>1525</v>
      </c>
      <c r="B1527" s="8" t="str">
        <f>"21902020071814352329936"</f>
        <v>21902020071814352329936</v>
      </c>
      <c r="C1527" s="8" t="s">
        <v>14</v>
      </c>
      <c r="D1527" s="8" t="str">
        <f>"李庆桦"</f>
        <v>李庆桦</v>
      </c>
      <c r="E1527" s="8" t="str">
        <f>"男"</f>
        <v>男</v>
      </c>
    </row>
    <row r="1528" spans="1:5" ht="19.5" customHeight="1">
      <c r="A1528" s="8">
        <v>1526</v>
      </c>
      <c r="B1528" s="8" t="str">
        <f>"21902020071815100829943"</f>
        <v>21902020071815100829943</v>
      </c>
      <c r="C1528" s="8" t="s">
        <v>14</v>
      </c>
      <c r="D1528" s="8" t="str">
        <f>"王斌"</f>
        <v>王斌</v>
      </c>
      <c r="E1528" s="8" t="str">
        <f>"男"</f>
        <v>男</v>
      </c>
    </row>
    <row r="1529" spans="1:5" ht="19.5" customHeight="1">
      <c r="A1529" s="8">
        <v>1527</v>
      </c>
      <c r="B1529" s="8" t="str">
        <f>"21902020071817261129985"</f>
        <v>21902020071817261129985</v>
      </c>
      <c r="C1529" s="8" t="s">
        <v>14</v>
      </c>
      <c r="D1529" s="8" t="str">
        <f>"吴永科"</f>
        <v>吴永科</v>
      </c>
      <c r="E1529" s="8" t="str">
        <f>"男"</f>
        <v>男</v>
      </c>
    </row>
    <row r="1530" spans="1:5" ht="19.5" customHeight="1">
      <c r="A1530" s="8">
        <v>1528</v>
      </c>
      <c r="B1530" s="8" t="str">
        <f>"21902020071818444330005"</f>
        <v>21902020071818444330005</v>
      </c>
      <c r="C1530" s="8" t="s">
        <v>14</v>
      </c>
      <c r="D1530" s="8" t="str">
        <f>"王妹"</f>
        <v>王妹</v>
      </c>
      <c r="E1530" s="8" t="str">
        <f>"女"</f>
        <v>女</v>
      </c>
    </row>
    <row r="1531" spans="1:5" ht="19.5" customHeight="1">
      <c r="A1531" s="8">
        <v>1529</v>
      </c>
      <c r="B1531" s="8" t="str">
        <f>"21902020071818523630007"</f>
        <v>21902020071818523630007</v>
      </c>
      <c r="C1531" s="8" t="s">
        <v>14</v>
      </c>
      <c r="D1531" s="8" t="str">
        <f>"吴元大"</f>
        <v>吴元大</v>
      </c>
      <c r="E1531" s="8" t="str">
        <f>"男"</f>
        <v>男</v>
      </c>
    </row>
    <row r="1532" spans="1:5" ht="19.5" customHeight="1">
      <c r="A1532" s="8">
        <v>1530</v>
      </c>
      <c r="B1532" s="8" t="str">
        <f>"21902020071818531430009"</f>
        <v>21902020071818531430009</v>
      </c>
      <c r="C1532" s="8" t="s">
        <v>14</v>
      </c>
      <c r="D1532" s="8" t="str">
        <f>"符丽珍"</f>
        <v>符丽珍</v>
      </c>
      <c r="E1532" s="8" t="str">
        <f>"女"</f>
        <v>女</v>
      </c>
    </row>
    <row r="1533" spans="1:5" ht="19.5" customHeight="1">
      <c r="A1533" s="8">
        <v>1531</v>
      </c>
      <c r="B1533" s="8" t="str">
        <f>"21902020071819400530019"</f>
        <v>21902020071819400530019</v>
      </c>
      <c r="C1533" s="8" t="s">
        <v>14</v>
      </c>
      <c r="D1533" s="8" t="str">
        <f>"高金豪"</f>
        <v>高金豪</v>
      </c>
      <c r="E1533" s="8" t="str">
        <f>"男"</f>
        <v>男</v>
      </c>
    </row>
    <row r="1534" spans="1:5" ht="19.5" customHeight="1">
      <c r="A1534" s="8">
        <v>1532</v>
      </c>
      <c r="B1534" s="8" t="str">
        <f>"21902020071819463030021"</f>
        <v>21902020071819463030021</v>
      </c>
      <c r="C1534" s="8" t="s">
        <v>14</v>
      </c>
      <c r="D1534" s="8" t="str">
        <f>"黎隆志"</f>
        <v>黎隆志</v>
      </c>
      <c r="E1534" s="8" t="str">
        <f>"男"</f>
        <v>男</v>
      </c>
    </row>
    <row r="1535" spans="1:5" ht="19.5" customHeight="1">
      <c r="A1535" s="8">
        <v>1533</v>
      </c>
      <c r="B1535" s="8" t="str">
        <f>"21902020071820051830027"</f>
        <v>21902020071820051830027</v>
      </c>
      <c r="C1535" s="8" t="s">
        <v>14</v>
      </c>
      <c r="D1535" s="8" t="str">
        <f>"薛成模"</f>
        <v>薛成模</v>
      </c>
      <c r="E1535" s="8" t="str">
        <f>"男"</f>
        <v>男</v>
      </c>
    </row>
    <row r="1536" spans="1:5" ht="19.5" customHeight="1">
      <c r="A1536" s="8">
        <v>1534</v>
      </c>
      <c r="B1536" s="8" t="str">
        <f>"21902020071823165530072"</f>
        <v>21902020071823165530072</v>
      </c>
      <c r="C1536" s="8" t="s">
        <v>14</v>
      </c>
      <c r="D1536" s="8" t="str">
        <f>"盘承琴"</f>
        <v>盘承琴</v>
      </c>
      <c r="E1536" s="8" t="str">
        <f>"女"</f>
        <v>女</v>
      </c>
    </row>
    <row r="1537" spans="1:5" ht="19.5" customHeight="1">
      <c r="A1537" s="8">
        <v>1535</v>
      </c>
      <c r="B1537" s="8" t="str">
        <f>"21902020071909263930101"</f>
        <v>21902020071909263930101</v>
      </c>
      <c r="C1537" s="8" t="s">
        <v>14</v>
      </c>
      <c r="D1537" s="8" t="str">
        <f>"王莹"</f>
        <v>王莹</v>
      </c>
      <c r="E1537" s="8" t="str">
        <f>"女"</f>
        <v>女</v>
      </c>
    </row>
    <row r="1538" spans="1:5" ht="19.5" customHeight="1">
      <c r="A1538" s="8">
        <v>1536</v>
      </c>
      <c r="B1538" s="8" t="str">
        <f>"21902020071909321030104"</f>
        <v>21902020071909321030104</v>
      </c>
      <c r="C1538" s="8" t="s">
        <v>14</v>
      </c>
      <c r="D1538" s="8" t="str">
        <f>"谢春浩"</f>
        <v>谢春浩</v>
      </c>
      <c r="E1538" s="8" t="str">
        <f>"男"</f>
        <v>男</v>
      </c>
    </row>
    <row r="1539" spans="1:5" ht="19.5" customHeight="1">
      <c r="A1539" s="8">
        <v>1537</v>
      </c>
      <c r="B1539" s="8" t="str">
        <f>"21902020071909422130106"</f>
        <v>21902020071909422130106</v>
      </c>
      <c r="C1539" s="8" t="s">
        <v>14</v>
      </c>
      <c r="D1539" s="8" t="str">
        <f>"凌柃"</f>
        <v>凌柃</v>
      </c>
      <c r="E1539" s="8" t="str">
        <f>"女"</f>
        <v>女</v>
      </c>
    </row>
    <row r="1540" spans="1:5" ht="19.5" customHeight="1">
      <c r="A1540" s="8">
        <v>1538</v>
      </c>
      <c r="B1540" s="8" t="str">
        <f>"21902020071911084730132"</f>
        <v>21902020071911084730132</v>
      </c>
      <c r="C1540" s="8" t="s">
        <v>14</v>
      </c>
      <c r="D1540" s="8" t="str">
        <f>"谭火芸"</f>
        <v>谭火芸</v>
      </c>
      <c r="E1540" s="8" t="str">
        <f>"女"</f>
        <v>女</v>
      </c>
    </row>
    <row r="1541" spans="1:5" ht="19.5" customHeight="1">
      <c r="A1541" s="8">
        <v>1539</v>
      </c>
      <c r="B1541" s="8" t="str">
        <f>"21902020071911162530135"</f>
        <v>21902020071911162530135</v>
      </c>
      <c r="C1541" s="8" t="s">
        <v>14</v>
      </c>
      <c r="D1541" s="8" t="str">
        <f>"谭远波"</f>
        <v>谭远波</v>
      </c>
      <c r="E1541" s="8" t="str">
        <f>"男"</f>
        <v>男</v>
      </c>
    </row>
    <row r="1542" spans="1:5" ht="19.5" customHeight="1">
      <c r="A1542" s="8">
        <v>1540</v>
      </c>
      <c r="B1542" s="8" t="str">
        <f>"21902020071911183430136"</f>
        <v>21902020071911183430136</v>
      </c>
      <c r="C1542" s="8" t="s">
        <v>14</v>
      </c>
      <c r="D1542" s="8" t="str">
        <f>"李道英"</f>
        <v>李道英</v>
      </c>
      <c r="E1542" s="8" t="str">
        <f>"女"</f>
        <v>女</v>
      </c>
    </row>
    <row r="1543" spans="1:5" ht="19.5" customHeight="1">
      <c r="A1543" s="8">
        <v>1541</v>
      </c>
      <c r="B1543" s="8" t="str">
        <f>"21902020071911345830142"</f>
        <v>21902020071911345830142</v>
      </c>
      <c r="C1543" s="8" t="s">
        <v>14</v>
      </c>
      <c r="D1543" s="8" t="str">
        <f>"郭宏茜"</f>
        <v>郭宏茜</v>
      </c>
      <c r="E1543" s="8" t="str">
        <f>"女"</f>
        <v>女</v>
      </c>
    </row>
    <row r="1544" spans="1:5" ht="19.5" customHeight="1">
      <c r="A1544" s="8">
        <v>1542</v>
      </c>
      <c r="B1544" s="8" t="str">
        <f>"21902020071911370430144"</f>
        <v>21902020071911370430144</v>
      </c>
      <c r="C1544" s="8" t="s">
        <v>14</v>
      </c>
      <c r="D1544" s="8" t="str">
        <f>"符丽"</f>
        <v>符丽</v>
      </c>
      <c r="E1544" s="8" t="str">
        <f>"女"</f>
        <v>女</v>
      </c>
    </row>
    <row r="1545" spans="1:5" ht="19.5" customHeight="1">
      <c r="A1545" s="8">
        <v>1543</v>
      </c>
      <c r="B1545" s="8" t="str">
        <f>"21902020071911423530146"</f>
        <v>21902020071911423530146</v>
      </c>
      <c r="C1545" s="8" t="s">
        <v>14</v>
      </c>
      <c r="D1545" s="8" t="str">
        <f>"羊学光"</f>
        <v>羊学光</v>
      </c>
      <c r="E1545" s="8" t="str">
        <f>"男"</f>
        <v>男</v>
      </c>
    </row>
    <row r="1546" spans="1:5" ht="19.5" customHeight="1">
      <c r="A1546" s="8">
        <v>1544</v>
      </c>
      <c r="B1546" s="8" t="str">
        <f>"21902020071911461930147"</f>
        <v>21902020071911461930147</v>
      </c>
      <c r="C1546" s="8" t="s">
        <v>14</v>
      </c>
      <c r="D1546" s="8" t="str">
        <f>"李冠林"</f>
        <v>李冠林</v>
      </c>
      <c r="E1546" s="8" t="str">
        <f>"男"</f>
        <v>男</v>
      </c>
    </row>
    <row r="1547" spans="1:5" ht="19.5" customHeight="1">
      <c r="A1547" s="8">
        <v>1545</v>
      </c>
      <c r="B1547" s="8" t="str">
        <f>"21902020071912130730157"</f>
        <v>21902020071912130730157</v>
      </c>
      <c r="C1547" s="8" t="s">
        <v>14</v>
      </c>
      <c r="D1547" s="8" t="str">
        <f>"羊山青"</f>
        <v>羊山青</v>
      </c>
      <c r="E1547" s="8" t="str">
        <f>"男"</f>
        <v>男</v>
      </c>
    </row>
    <row r="1548" spans="1:5" ht="19.5" customHeight="1">
      <c r="A1548" s="8">
        <v>1546</v>
      </c>
      <c r="B1548" s="8" t="str">
        <f>"21902020071912252630161"</f>
        <v>21902020071912252630161</v>
      </c>
      <c r="C1548" s="8" t="s">
        <v>14</v>
      </c>
      <c r="D1548" s="8" t="str">
        <f>"李明静"</f>
        <v>李明静</v>
      </c>
      <c r="E1548" s="8" t="str">
        <f>"女"</f>
        <v>女</v>
      </c>
    </row>
    <row r="1549" spans="1:5" ht="19.5" customHeight="1">
      <c r="A1549" s="8">
        <v>1547</v>
      </c>
      <c r="B1549" s="8" t="str">
        <f>"21902020071912352730164"</f>
        <v>21902020071912352730164</v>
      </c>
      <c r="C1549" s="8" t="s">
        <v>14</v>
      </c>
      <c r="D1549" s="8" t="str">
        <f>"陈爱霞"</f>
        <v>陈爱霞</v>
      </c>
      <c r="E1549" s="8" t="str">
        <f>"女"</f>
        <v>女</v>
      </c>
    </row>
    <row r="1550" spans="1:5" ht="19.5" customHeight="1">
      <c r="A1550" s="8">
        <v>1548</v>
      </c>
      <c r="B1550" s="8" t="str">
        <f>"21902020071912395230167"</f>
        <v>21902020071912395230167</v>
      </c>
      <c r="C1550" s="8" t="s">
        <v>14</v>
      </c>
      <c r="D1550" s="8" t="str">
        <f>"符岐就"</f>
        <v>符岐就</v>
      </c>
      <c r="E1550" s="8" t="str">
        <f>"男"</f>
        <v>男</v>
      </c>
    </row>
    <row r="1551" spans="1:5" ht="19.5" customHeight="1">
      <c r="A1551" s="8">
        <v>1549</v>
      </c>
      <c r="B1551" s="8" t="str">
        <f>"21902020071912395930169"</f>
        <v>21902020071912395930169</v>
      </c>
      <c r="C1551" s="8" t="s">
        <v>14</v>
      </c>
      <c r="D1551" s="8" t="str">
        <f>"吴芳蓉"</f>
        <v>吴芳蓉</v>
      </c>
      <c r="E1551" s="8" t="str">
        <f>"女"</f>
        <v>女</v>
      </c>
    </row>
    <row r="1552" spans="1:5" ht="19.5" customHeight="1">
      <c r="A1552" s="8">
        <v>1550</v>
      </c>
      <c r="B1552" s="8" t="str">
        <f>"21902020071912442530170"</f>
        <v>21902020071912442530170</v>
      </c>
      <c r="C1552" s="8" t="s">
        <v>14</v>
      </c>
      <c r="D1552" s="8" t="str">
        <f>"赵海博"</f>
        <v>赵海博</v>
      </c>
      <c r="E1552" s="8" t="str">
        <f>"男"</f>
        <v>男</v>
      </c>
    </row>
    <row r="1553" spans="1:5" ht="19.5" customHeight="1">
      <c r="A1553" s="8">
        <v>1551</v>
      </c>
      <c r="B1553" s="8" t="str">
        <f>"21902020071913071630181"</f>
        <v>21902020071913071630181</v>
      </c>
      <c r="C1553" s="8" t="s">
        <v>14</v>
      </c>
      <c r="D1553" s="8" t="str">
        <f>"邓俊士"</f>
        <v>邓俊士</v>
      </c>
      <c r="E1553" s="8" t="str">
        <f>"男"</f>
        <v>男</v>
      </c>
    </row>
    <row r="1554" spans="1:5" ht="19.5" customHeight="1">
      <c r="A1554" s="8">
        <v>1552</v>
      </c>
      <c r="B1554" s="8" t="str">
        <f>"21902020071913223230188"</f>
        <v>21902020071913223230188</v>
      </c>
      <c r="C1554" s="8" t="s">
        <v>14</v>
      </c>
      <c r="D1554" s="8" t="str">
        <f>"张志琼"</f>
        <v>张志琼</v>
      </c>
      <c r="E1554" s="8" t="str">
        <f>"男"</f>
        <v>男</v>
      </c>
    </row>
    <row r="1555" spans="1:5" ht="19.5" customHeight="1">
      <c r="A1555" s="8">
        <v>1553</v>
      </c>
      <c r="B1555" s="8" t="str">
        <f>"21902020071913355630192"</f>
        <v>21902020071913355630192</v>
      </c>
      <c r="C1555" s="8" t="s">
        <v>14</v>
      </c>
      <c r="D1555" s="8" t="str">
        <f>"吕世丹"</f>
        <v>吕世丹</v>
      </c>
      <c r="E1555" s="8" t="str">
        <f>"女"</f>
        <v>女</v>
      </c>
    </row>
    <row r="1556" spans="1:5" ht="19.5" customHeight="1">
      <c r="A1556" s="8">
        <v>1554</v>
      </c>
      <c r="B1556" s="8" t="str">
        <f>"21902020071915014230220"</f>
        <v>21902020071915014230220</v>
      </c>
      <c r="C1556" s="8" t="s">
        <v>14</v>
      </c>
      <c r="D1556" s="8" t="str">
        <f>"陈正亮"</f>
        <v>陈正亮</v>
      </c>
      <c r="E1556" s="8" t="str">
        <f>"男"</f>
        <v>男</v>
      </c>
    </row>
    <row r="1557" spans="1:5" ht="19.5" customHeight="1">
      <c r="A1557" s="8">
        <v>1555</v>
      </c>
      <c r="B1557" s="8" t="str">
        <f>"21902020071915265230226"</f>
        <v>21902020071915265230226</v>
      </c>
      <c r="C1557" s="8" t="s">
        <v>14</v>
      </c>
      <c r="D1557" s="8" t="str">
        <f>"陆世敏"</f>
        <v>陆世敏</v>
      </c>
      <c r="E1557" s="8" t="str">
        <f>"男"</f>
        <v>男</v>
      </c>
    </row>
    <row r="1558" spans="1:5" ht="19.5" customHeight="1">
      <c r="A1558" s="8">
        <v>1556</v>
      </c>
      <c r="B1558" s="8" t="str">
        <f>"21902020071915512030232"</f>
        <v>21902020071915512030232</v>
      </c>
      <c r="C1558" s="8" t="s">
        <v>14</v>
      </c>
      <c r="D1558" s="8" t="str">
        <f>"邱启宏"</f>
        <v>邱启宏</v>
      </c>
      <c r="E1558" s="8" t="str">
        <f>"男"</f>
        <v>男</v>
      </c>
    </row>
    <row r="1559" spans="1:5" ht="19.5" customHeight="1">
      <c r="A1559" s="8">
        <v>1557</v>
      </c>
      <c r="B1559" s="8" t="str">
        <f>"21902020071917213530275"</f>
        <v>21902020071917213530275</v>
      </c>
      <c r="C1559" s="8" t="s">
        <v>14</v>
      </c>
      <c r="D1559" s="8" t="str">
        <f>"符碧娟"</f>
        <v>符碧娟</v>
      </c>
      <c r="E1559" s="8" t="str">
        <f>"女"</f>
        <v>女</v>
      </c>
    </row>
    <row r="1560" spans="1:5" ht="19.5" customHeight="1">
      <c r="A1560" s="8">
        <v>1558</v>
      </c>
      <c r="B1560" s="8" t="str">
        <f>"21902020071919582130320"</f>
        <v>21902020071919582130320</v>
      </c>
      <c r="C1560" s="8" t="s">
        <v>14</v>
      </c>
      <c r="D1560" s="8" t="str">
        <f>"李盛伟"</f>
        <v>李盛伟</v>
      </c>
      <c r="E1560" s="8" t="str">
        <f>"男"</f>
        <v>男</v>
      </c>
    </row>
    <row r="1561" spans="1:5" ht="19.5" customHeight="1">
      <c r="A1561" s="8">
        <v>1559</v>
      </c>
      <c r="B1561" s="8" t="str">
        <f>"21902020071920115130325"</f>
        <v>21902020071920115130325</v>
      </c>
      <c r="C1561" s="8" t="s">
        <v>14</v>
      </c>
      <c r="D1561" s="8" t="str">
        <f>"谢惠琳"</f>
        <v>谢惠琳</v>
      </c>
      <c r="E1561" s="8" t="str">
        <f>"女"</f>
        <v>女</v>
      </c>
    </row>
    <row r="1562" spans="1:5" ht="19.5" customHeight="1">
      <c r="A1562" s="8">
        <v>1560</v>
      </c>
      <c r="B1562" s="8" t="str">
        <f>"21902020071920494130338"</f>
        <v>21902020071920494130338</v>
      </c>
      <c r="C1562" s="8" t="s">
        <v>14</v>
      </c>
      <c r="D1562" s="8" t="str">
        <f>"王光泽"</f>
        <v>王光泽</v>
      </c>
      <c r="E1562" s="8" t="str">
        <f>"男"</f>
        <v>男</v>
      </c>
    </row>
    <row r="1563" spans="1:5" ht="19.5" customHeight="1">
      <c r="A1563" s="8">
        <v>1561</v>
      </c>
      <c r="B1563" s="8" t="str">
        <f>"21902020071921220030344"</f>
        <v>21902020071921220030344</v>
      </c>
      <c r="C1563" s="8" t="s">
        <v>14</v>
      </c>
      <c r="D1563" s="8" t="str">
        <f>"李秉明"</f>
        <v>李秉明</v>
      </c>
      <c r="E1563" s="8" t="str">
        <f>"男"</f>
        <v>男</v>
      </c>
    </row>
    <row r="1564" spans="1:5" ht="19.5" customHeight="1">
      <c r="A1564" s="8">
        <v>1562</v>
      </c>
      <c r="B1564" s="8" t="str">
        <f>"21902020071921332630348"</f>
        <v>21902020071921332630348</v>
      </c>
      <c r="C1564" s="8" t="s">
        <v>14</v>
      </c>
      <c r="D1564" s="8" t="str">
        <f>"邓国安"</f>
        <v>邓国安</v>
      </c>
      <c r="E1564" s="8" t="str">
        <f>"男"</f>
        <v>男</v>
      </c>
    </row>
    <row r="1565" spans="1:5" ht="19.5" customHeight="1">
      <c r="A1565" s="8">
        <v>1563</v>
      </c>
      <c r="B1565" s="8" t="str">
        <f>"21902020071921421330353"</f>
        <v>21902020071921421330353</v>
      </c>
      <c r="C1565" s="8" t="s">
        <v>14</v>
      </c>
      <c r="D1565" s="8" t="str">
        <f>"邱诗慧"</f>
        <v>邱诗慧</v>
      </c>
      <c r="E1565" s="8" t="str">
        <f>"女"</f>
        <v>女</v>
      </c>
    </row>
    <row r="1566" spans="1:5" ht="19.5" customHeight="1">
      <c r="A1566" s="8">
        <v>1564</v>
      </c>
      <c r="B1566" s="8" t="str">
        <f>"21902020071921443530355"</f>
        <v>21902020071921443530355</v>
      </c>
      <c r="C1566" s="8" t="s">
        <v>14</v>
      </c>
      <c r="D1566" s="8" t="str">
        <f>"钟国明"</f>
        <v>钟国明</v>
      </c>
      <c r="E1566" s="8" t="str">
        <f>"男"</f>
        <v>男</v>
      </c>
    </row>
    <row r="1567" spans="1:5" ht="19.5" customHeight="1">
      <c r="A1567" s="8">
        <v>1565</v>
      </c>
      <c r="B1567" s="8" t="str">
        <f>"21902020071921573130360"</f>
        <v>21902020071921573130360</v>
      </c>
      <c r="C1567" s="8" t="s">
        <v>14</v>
      </c>
      <c r="D1567" s="8" t="str">
        <f>"陈衍乾"</f>
        <v>陈衍乾</v>
      </c>
      <c r="E1567" s="8" t="str">
        <f>"女"</f>
        <v>女</v>
      </c>
    </row>
    <row r="1568" spans="1:5" ht="19.5" customHeight="1">
      <c r="A1568" s="8">
        <v>1566</v>
      </c>
      <c r="B1568" s="8" t="str">
        <f>"21902020071922581130386"</f>
        <v>21902020071922581130386</v>
      </c>
      <c r="C1568" s="8" t="s">
        <v>14</v>
      </c>
      <c r="D1568" s="8" t="str">
        <f>"李珍妃"</f>
        <v>李珍妃</v>
      </c>
      <c r="E1568" s="8" t="str">
        <f>"女"</f>
        <v>女</v>
      </c>
    </row>
    <row r="1569" spans="1:5" ht="19.5" customHeight="1">
      <c r="A1569" s="8">
        <v>1567</v>
      </c>
      <c r="B1569" s="8" t="str">
        <f>"21902020071923042130387"</f>
        <v>21902020071923042130387</v>
      </c>
      <c r="C1569" s="8" t="s">
        <v>14</v>
      </c>
      <c r="D1569" s="8" t="str">
        <f>"曾达智"</f>
        <v>曾达智</v>
      </c>
      <c r="E1569" s="8" t="str">
        <f>"男"</f>
        <v>男</v>
      </c>
    </row>
    <row r="1570" spans="1:5" ht="19.5" customHeight="1">
      <c r="A1570" s="8">
        <v>1568</v>
      </c>
      <c r="B1570" s="8" t="str">
        <f>"21902020072000064230408"</f>
        <v>21902020072000064230408</v>
      </c>
      <c r="C1570" s="8" t="s">
        <v>14</v>
      </c>
      <c r="D1570" s="8" t="str">
        <f>"马晓梅"</f>
        <v>马晓梅</v>
      </c>
      <c r="E1570" s="8" t="str">
        <f>"女"</f>
        <v>女</v>
      </c>
    </row>
    <row r="1571" spans="1:5" ht="19.5" customHeight="1">
      <c r="A1571" s="8">
        <v>1569</v>
      </c>
      <c r="B1571" s="8" t="str">
        <f>"21902020072000173030410"</f>
        <v>21902020072000173030410</v>
      </c>
      <c r="C1571" s="8" t="s">
        <v>14</v>
      </c>
      <c r="D1571" s="8" t="str">
        <f>"符龙倩"</f>
        <v>符龙倩</v>
      </c>
      <c r="E1571" s="8" t="str">
        <f>"女"</f>
        <v>女</v>
      </c>
    </row>
    <row r="1572" spans="1:5" ht="19.5" customHeight="1">
      <c r="A1572" s="8">
        <v>1570</v>
      </c>
      <c r="B1572" s="8" t="str">
        <f>"21902020072008102730429"</f>
        <v>21902020072008102730429</v>
      </c>
      <c r="C1572" s="8" t="s">
        <v>14</v>
      </c>
      <c r="D1572" s="8" t="str">
        <f>"羊妹娥"</f>
        <v>羊妹娥</v>
      </c>
      <c r="E1572" s="8" t="str">
        <f>"女"</f>
        <v>女</v>
      </c>
    </row>
    <row r="1573" spans="1:5" ht="19.5" customHeight="1">
      <c r="A1573" s="8">
        <v>1571</v>
      </c>
      <c r="B1573" s="8" t="str">
        <f>"21902020072008205930435"</f>
        <v>21902020072008205930435</v>
      </c>
      <c r="C1573" s="8" t="s">
        <v>14</v>
      </c>
      <c r="D1573" s="8" t="str">
        <f>"洪桂蓉"</f>
        <v>洪桂蓉</v>
      </c>
      <c r="E1573" s="8" t="str">
        <f>"女"</f>
        <v>女</v>
      </c>
    </row>
    <row r="1574" spans="1:5" ht="19.5" customHeight="1">
      <c r="A1574" s="8">
        <v>1572</v>
      </c>
      <c r="B1574" s="8" t="str">
        <f>"21902020072008362130444"</f>
        <v>21902020072008362130444</v>
      </c>
      <c r="C1574" s="8" t="s">
        <v>14</v>
      </c>
      <c r="D1574" s="8" t="str">
        <f>"符圣主"</f>
        <v>符圣主</v>
      </c>
      <c r="E1574" s="8" t="str">
        <f>"男"</f>
        <v>男</v>
      </c>
    </row>
    <row r="1575" spans="1:5" ht="19.5" customHeight="1">
      <c r="A1575" s="8">
        <v>1573</v>
      </c>
      <c r="B1575" s="8" t="str">
        <f>"21902020072009214530479"</f>
        <v>21902020072009214530479</v>
      </c>
      <c r="C1575" s="8" t="s">
        <v>14</v>
      </c>
      <c r="D1575" s="8" t="str">
        <f>"李兴乾"</f>
        <v>李兴乾</v>
      </c>
      <c r="E1575" s="8" t="str">
        <f>"女"</f>
        <v>女</v>
      </c>
    </row>
    <row r="1576" spans="1:5" ht="19.5" customHeight="1">
      <c r="A1576" s="8">
        <v>1574</v>
      </c>
      <c r="B1576" s="8" t="str">
        <f>"21902020072009340630486"</f>
        <v>21902020072009340630486</v>
      </c>
      <c r="C1576" s="8" t="s">
        <v>14</v>
      </c>
      <c r="D1576" s="8" t="str">
        <f>"吴淑和"</f>
        <v>吴淑和</v>
      </c>
      <c r="E1576" s="8" t="str">
        <f>"女"</f>
        <v>女</v>
      </c>
    </row>
    <row r="1577" spans="1:5" ht="19.5" customHeight="1">
      <c r="A1577" s="8">
        <v>1575</v>
      </c>
      <c r="B1577" s="8" t="str">
        <f>"21902020072010091930516"</f>
        <v>21902020072010091930516</v>
      </c>
      <c r="C1577" s="8" t="s">
        <v>14</v>
      </c>
      <c r="D1577" s="8" t="str">
        <f>"蔡德富"</f>
        <v>蔡德富</v>
      </c>
      <c r="E1577" s="8" t="str">
        <f>"男"</f>
        <v>男</v>
      </c>
    </row>
    <row r="1578" spans="1:5" ht="19.5" customHeight="1">
      <c r="A1578" s="8">
        <v>1576</v>
      </c>
      <c r="B1578" s="8" t="str">
        <f>"21902020072010311130530"</f>
        <v>21902020072010311130530</v>
      </c>
      <c r="C1578" s="8" t="s">
        <v>14</v>
      </c>
      <c r="D1578" s="8" t="str">
        <f>"陈政委"</f>
        <v>陈政委</v>
      </c>
      <c r="E1578" s="8" t="str">
        <f>"男"</f>
        <v>男</v>
      </c>
    </row>
    <row r="1579" spans="1:5" ht="19.5" customHeight="1">
      <c r="A1579" s="8">
        <v>1577</v>
      </c>
      <c r="B1579" s="8" t="str">
        <f>"21902020072010340730532"</f>
        <v>21902020072010340730532</v>
      </c>
      <c r="C1579" s="8" t="s">
        <v>14</v>
      </c>
      <c r="D1579" s="8" t="str">
        <f>"符灵芝"</f>
        <v>符灵芝</v>
      </c>
      <c r="E1579" s="8" t="str">
        <f>"女"</f>
        <v>女</v>
      </c>
    </row>
    <row r="1580" spans="1:5" ht="19.5" customHeight="1">
      <c r="A1580" s="8">
        <v>1578</v>
      </c>
      <c r="B1580" s="8" t="str">
        <f>"21902020072011084230555"</f>
        <v>21902020072011084230555</v>
      </c>
      <c r="C1580" s="8" t="s">
        <v>14</v>
      </c>
      <c r="D1580" s="8" t="str">
        <f>"陈克多"</f>
        <v>陈克多</v>
      </c>
      <c r="E1580" s="8" t="str">
        <f>"男"</f>
        <v>男</v>
      </c>
    </row>
    <row r="1581" spans="1:5" ht="19.5" customHeight="1">
      <c r="A1581" s="8">
        <v>1579</v>
      </c>
      <c r="B1581" s="8" t="str">
        <f>"21902020072011140430560"</f>
        <v>21902020072011140430560</v>
      </c>
      <c r="C1581" s="8" t="s">
        <v>14</v>
      </c>
      <c r="D1581" s="8" t="str">
        <f>"符炳光"</f>
        <v>符炳光</v>
      </c>
      <c r="E1581" s="8" t="str">
        <f>"男"</f>
        <v>男</v>
      </c>
    </row>
    <row r="1582" spans="1:5" ht="19.5" customHeight="1">
      <c r="A1582" s="8">
        <v>1580</v>
      </c>
      <c r="B1582" s="8" t="str">
        <f>"21902020072011290830572"</f>
        <v>21902020072011290830572</v>
      </c>
      <c r="C1582" s="8" t="s">
        <v>14</v>
      </c>
      <c r="D1582" s="8" t="str">
        <f>"符国妃"</f>
        <v>符国妃</v>
      </c>
      <c r="E1582" s="8" t="str">
        <f>"女"</f>
        <v>女</v>
      </c>
    </row>
    <row r="1583" spans="1:5" ht="19.5" customHeight="1">
      <c r="A1583" s="8">
        <v>1581</v>
      </c>
      <c r="B1583" s="8" t="str">
        <f>"21902020072012243730607"</f>
        <v>21902020072012243730607</v>
      </c>
      <c r="C1583" s="8" t="s">
        <v>14</v>
      </c>
      <c r="D1583" s="8" t="str">
        <f>"杨春妹"</f>
        <v>杨春妹</v>
      </c>
      <c r="E1583" s="8" t="str">
        <f>"女"</f>
        <v>女</v>
      </c>
    </row>
    <row r="1584" spans="1:5" ht="19.5" customHeight="1">
      <c r="A1584" s="8">
        <v>1582</v>
      </c>
      <c r="B1584" s="8" t="str">
        <f>"21902020072013074530641"</f>
        <v>21902020072013074530641</v>
      </c>
      <c r="C1584" s="8" t="s">
        <v>14</v>
      </c>
      <c r="D1584" s="8" t="str">
        <f>"潘春婷"</f>
        <v>潘春婷</v>
      </c>
      <c r="E1584" s="8" t="str">
        <f>"女"</f>
        <v>女</v>
      </c>
    </row>
    <row r="1585" spans="1:5" ht="19.5" customHeight="1">
      <c r="A1585" s="8">
        <v>1583</v>
      </c>
      <c r="B1585" s="8" t="str">
        <f>"21902020072013255430654"</f>
        <v>21902020072013255430654</v>
      </c>
      <c r="C1585" s="8" t="s">
        <v>14</v>
      </c>
      <c r="D1585" s="8" t="str">
        <f>"李壮冠"</f>
        <v>李壮冠</v>
      </c>
      <c r="E1585" s="8" t="str">
        <f>"男"</f>
        <v>男</v>
      </c>
    </row>
    <row r="1586" spans="1:5" ht="19.5" customHeight="1">
      <c r="A1586" s="8">
        <v>1584</v>
      </c>
      <c r="B1586" s="8" t="str">
        <f>"21902020072013354030660"</f>
        <v>21902020072013354030660</v>
      </c>
      <c r="C1586" s="8" t="s">
        <v>14</v>
      </c>
      <c r="D1586" s="8" t="str">
        <f>"牛映光"</f>
        <v>牛映光</v>
      </c>
      <c r="E1586" s="8" t="str">
        <f>"男"</f>
        <v>男</v>
      </c>
    </row>
    <row r="1587" spans="1:5" ht="19.5" customHeight="1">
      <c r="A1587" s="8">
        <v>1585</v>
      </c>
      <c r="B1587" s="8" t="str">
        <f>"21902020072014073730676"</f>
        <v>21902020072014073730676</v>
      </c>
      <c r="C1587" s="8" t="s">
        <v>14</v>
      </c>
      <c r="D1587" s="8" t="str">
        <f>"吴美萍"</f>
        <v>吴美萍</v>
      </c>
      <c r="E1587" s="8" t="str">
        <f>"女"</f>
        <v>女</v>
      </c>
    </row>
    <row r="1588" spans="1:5" ht="19.5" customHeight="1">
      <c r="A1588" s="8">
        <v>1586</v>
      </c>
      <c r="B1588" s="8" t="str">
        <f>"21902020072014464830696"</f>
        <v>21902020072014464830696</v>
      </c>
      <c r="C1588" s="8" t="s">
        <v>14</v>
      </c>
      <c r="D1588" s="8" t="str">
        <f>"李玲"</f>
        <v>李玲</v>
      </c>
      <c r="E1588" s="8" t="str">
        <f>"女"</f>
        <v>女</v>
      </c>
    </row>
    <row r="1589" spans="1:5" ht="19.5" customHeight="1">
      <c r="A1589" s="8">
        <v>1587</v>
      </c>
      <c r="B1589" s="8" t="str">
        <f>"21902020072015113130720"</f>
        <v>21902020072015113130720</v>
      </c>
      <c r="C1589" s="8" t="s">
        <v>14</v>
      </c>
      <c r="D1589" s="8" t="str">
        <f>"李祥再"</f>
        <v>李祥再</v>
      </c>
      <c r="E1589" s="8" t="str">
        <f>"男"</f>
        <v>男</v>
      </c>
    </row>
    <row r="1590" spans="1:5" ht="19.5" customHeight="1">
      <c r="A1590" s="8">
        <v>1588</v>
      </c>
      <c r="B1590" s="8" t="str">
        <f>"21902020071409012625934"</f>
        <v>21902020071409012625934</v>
      </c>
      <c r="C1590" s="8" t="s">
        <v>15</v>
      </c>
      <c r="D1590" s="8" t="str">
        <f>"黄兵权"</f>
        <v>黄兵权</v>
      </c>
      <c r="E1590" s="8" t="str">
        <f>"男"</f>
        <v>男</v>
      </c>
    </row>
    <row r="1591" spans="1:5" ht="19.5" customHeight="1">
      <c r="A1591" s="8">
        <v>1589</v>
      </c>
      <c r="B1591" s="8" t="str">
        <f>"21902020071409034925954"</f>
        <v>21902020071409034925954</v>
      </c>
      <c r="C1591" s="8" t="s">
        <v>15</v>
      </c>
      <c r="D1591" s="8" t="str">
        <f>"陈静"</f>
        <v>陈静</v>
      </c>
      <c r="E1591" s="8" t="str">
        <f>"女"</f>
        <v>女</v>
      </c>
    </row>
    <row r="1592" spans="1:5" ht="19.5" customHeight="1">
      <c r="A1592" s="8">
        <v>1590</v>
      </c>
      <c r="B1592" s="8" t="str">
        <f>"21902020071409042825960"</f>
        <v>21902020071409042825960</v>
      </c>
      <c r="C1592" s="8" t="s">
        <v>15</v>
      </c>
      <c r="D1592" s="8" t="str">
        <f>"吴新宇"</f>
        <v>吴新宇</v>
      </c>
      <c r="E1592" s="8" t="str">
        <f>"男"</f>
        <v>男</v>
      </c>
    </row>
    <row r="1593" spans="1:5" ht="19.5" customHeight="1">
      <c r="A1593" s="8">
        <v>1591</v>
      </c>
      <c r="B1593" s="8" t="str">
        <f>"21902020071409061025972"</f>
        <v>21902020071409061025972</v>
      </c>
      <c r="C1593" s="8" t="s">
        <v>15</v>
      </c>
      <c r="D1593" s="8" t="str">
        <f>"许坤婷"</f>
        <v>许坤婷</v>
      </c>
      <c r="E1593" s="8" t="str">
        <f>"女"</f>
        <v>女</v>
      </c>
    </row>
    <row r="1594" spans="1:5" ht="19.5" customHeight="1">
      <c r="A1594" s="8">
        <v>1592</v>
      </c>
      <c r="B1594" s="8" t="str">
        <f>"21902020071409062525974"</f>
        <v>21902020071409062525974</v>
      </c>
      <c r="C1594" s="8" t="s">
        <v>15</v>
      </c>
      <c r="D1594" s="8" t="str">
        <f>"刘松"</f>
        <v>刘松</v>
      </c>
      <c r="E1594" s="8" t="str">
        <f>"男"</f>
        <v>男</v>
      </c>
    </row>
    <row r="1595" spans="1:5" ht="19.5" customHeight="1">
      <c r="A1595" s="8">
        <v>1593</v>
      </c>
      <c r="B1595" s="8" t="str">
        <f>"21902020071409084725994"</f>
        <v>21902020071409084725994</v>
      </c>
      <c r="C1595" s="8" t="s">
        <v>15</v>
      </c>
      <c r="D1595" s="8" t="str">
        <f>"李秀娟"</f>
        <v>李秀娟</v>
      </c>
      <c r="E1595" s="8" t="str">
        <f>"女"</f>
        <v>女</v>
      </c>
    </row>
    <row r="1596" spans="1:5" ht="19.5" customHeight="1">
      <c r="A1596" s="8">
        <v>1594</v>
      </c>
      <c r="B1596" s="8" t="str">
        <f>"21902020071409093625999"</f>
        <v>21902020071409093625999</v>
      </c>
      <c r="C1596" s="8" t="s">
        <v>15</v>
      </c>
      <c r="D1596" s="8" t="str">
        <f>"林冠丽"</f>
        <v>林冠丽</v>
      </c>
      <c r="E1596" s="8" t="str">
        <f>"女"</f>
        <v>女</v>
      </c>
    </row>
    <row r="1597" spans="1:5" ht="19.5" customHeight="1">
      <c r="A1597" s="8">
        <v>1595</v>
      </c>
      <c r="B1597" s="8" t="str">
        <f>"21902020071409105026007"</f>
        <v>21902020071409105026007</v>
      </c>
      <c r="C1597" s="8" t="s">
        <v>15</v>
      </c>
      <c r="D1597" s="8" t="str">
        <f>"陈艺佳"</f>
        <v>陈艺佳</v>
      </c>
      <c r="E1597" s="8" t="str">
        <f>"女"</f>
        <v>女</v>
      </c>
    </row>
    <row r="1598" spans="1:5" ht="19.5" customHeight="1">
      <c r="A1598" s="8">
        <v>1596</v>
      </c>
      <c r="B1598" s="8" t="str">
        <f>"21902020071409110526011"</f>
        <v>21902020071409110526011</v>
      </c>
      <c r="C1598" s="8" t="s">
        <v>15</v>
      </c>
      <c r="D1598" s="8" t="str">
        <f>"赵莹"</f>
        <v>赵莹</v>
      </c>
      <c r="E1598" s="8" t="str">
        <f>"女"</f>
        <v>女</v>
      </c>
    </row>
    <row r="1599" spans="1:5" ht="19.5" customHeight="1">
      <c r="A1599" s="8">
        <v>1597</v>
      </c>
      <c r="B1599" s="8" t="str">
        <f>"21902020071409120126017"</f>
        <v>21902020071409120126017</v>
      </c>
      <c r="C1599" s="8" t="s">
        <v>15</v>
      </c>
      <c r="D1599" s="8" t="str">
        <f>"钟海龙"</f>
        <v>钟海龙</v>
      </c>
      <c r="E1599" s="8" t="str">
        <f>"男"</f>
        <v>男</v>
      </c>
    </row>
    <row r="1600" spans="1:5" ht="19.5" customHeight="1">
      <c r="A1600" s="8">
        <v>1598</v>
      </c>
      <c r="B1600" s="8" t="str">
        <f>"21902020071409122226020"</f>
        <v>21902020071409122226020</v>
      </c>
      <c r="C1600" s="8" t="s">
        <v>15</v>
      </c>
      <c r="D1600" s="8" t="str">
        <f>"符涛"</f>
        <v>符涛</v>
      </c>
      <c r="E1600" s="8" t="str">
        <f>"男"</f>
        <v>男</v>
      </c>
    </row>
    <row r="1601" spans="1:5" ht="19.5" customHeight="1">
      <c r="A1601" s="8">
        <v>1599</v>
      </c>
      <c r="B1601" s="8" t="str">
        <f>"21902020071409130226023"</f>
        <v>21902020071409130226023</v>
      </c>
      <c r="C1601" s="8" t="s">
        <v>15</v>
      </c>
      <c r="D1601" s="8" t="str">
        <f>"洪知山"</f>
        <v>洪知山</v>
      </c>
      <c r="E1601" s="8" t="str">
        <f>"男"</f>
        <v>男</v>
      </c>
    </row>
    <row r="1602" spans="1:5" ht="19.5" customHeight="1">
      <c r="A1602" s="8">
        <v>1600</v>
      </c>
      <c r="B1602" s="8" t="str">
        <f>"21902020071409144526036"</f>
        <v>21902020071409144526036</v>
      </c>
      <c r="C1602" s="8" t="s">
        <v>15</v>
      </c>
      <c r="D1602" s="8" t="str">
        <f>"黄欣"</f>
        <v>黄欣</v>
      </c>
      <c r="E1602" s="8" t="str">
        <f>"女"</f>
        <v>女</v>
      </c>
    </row>
    <row r="1603" spans="1:5" ht="19.5" customHeight="1">
      <c r="A1603" s="8">
        <v>1601</v>
      </c>
      <c r="B1603" s="8" t="str">
        <f>"21902020071409162326043"</f>
        <v>21902020071409162326043</v>
      </c>
      <c r="C1603" s="8" t="s">
        <v>15</v>
      </c>
      <c r="D1603" s="8" t="str">
        <f>"符运瑞"</f>
        <v>符运瑞</v>
      </c>
      <c r="E1603" s="8" t="str">
        <f>"男"</f>
        <v>男</v>
      </c>
    </row>
    <row r="1604" spans="1:5" ht="19.5" customHeight="1">
      <c r="A1604" s="8">
        <v>1602</v>
      </c>
      <c r="B1604" s="8" t="str">
        <f>"21902020071409171626049"</f>
        <v>21902020071409171626049</v>
      </c>
      <c r="C1604" s="8" t="s">
        <v>15</v>
      </c>
      <c r="D1604" s="8" t="str">
        <f>"高美倩"</f>
        <v>高美倩</v>
      </c>
      <c r="E1604" s="8" t="str">
        <f>"女"</f>
        <v>女</v>
      </c>
    </row>
    <row r="1605" spans="1:5" ht="19.5" customHeight="1">
      <c r="A1605" s="8">
        <v>1603</v>
      </c>
      <c r="B1605" s="8" t="str">
        <f>"21902020071409211426074"</f>
        <v>21902020071409211426074</v>
      </c>
      <c r="C1605" s="8" t="s">
        <v>15</v>
      </c>
      <c r="D1605" s="8" t="str">
        <f>"张婧"</f>
        <v>张婧</v>
      </c>
      <c r="E1605" s="8" t="str">
        <f>"女"</f>
        <v>女</v>
      </c>
    </row>
    <row r="1606" spans="1:5" ht="19.5" customHeight="1">
      <c r="A1606" s="8">
        <v>1604</v>
      </c>
      <c r="B1606" s="8" t="str">
        <f>"21902020071409224026082"</f>
        <v>21902020071409224026082</v>
      </c>
      <c r="C1606" s="8" t="s">
        <v>15</v>
      </c>
      <c r="D1606" s="8" t="str">
        <f>"杨翔春"</f>
        <v>杨翔春</v>
      </c>
      <c r="E1606" s="8" t="str">
        <f>"男"</f>
        <v>男</v>
      </c>
    </row>
    <row r="1607" spans="1:5" ht="19.5" customHeight="1">
      <c r="A1607" s="8">
        <v>1605</v>
      </c>
      <c r="B1607" s="8" t="str">
        <f>"21902020071409340326129"</f>
        <v>21902020071409340326129</v>
      </c>
      <c r="C1607" s="8" t="s">
        <v>15</v>
      </c>
      <c r="D1607" s="8" t="str">
        <f>"叶思恩"</f>
        <v>叶思恩</v>
      </c>
      <c r="E1607" s="8" t="str">
        <f>"男"</f>
        <v>男</v>
      </c>
    </row>
    <row r="1608" spans="1:5" ht="19.5" customHeight="1">
      <c r="A1608" s="8">
        <v>1606</v>
      </c>
      <c r="B1608" s="8" t="str">
        <f>"21902020071409343126137"</f>
        <v>21902020071409343126137</v>
      </c>
      <c r="C1608" s="8" t="s">
        <v>15</v>
      </c>
      <c r="D1608" s="8" t="str">
        <f>"符华泽"</f>
        <v>符华泽</v>
      </c>
      <c r="E1608" s="8" t="str">
        <f>"男"</f>
        <v>男</v>
      </c>
    </row>
    <row r="1609" spans="1:5" ht="19.5" customHeight="1">
      <c r="A1609" s="8">
        <v>1607</v>
      </c>
      <c r="B1609" s="8" t="str">
        <f>"21902020071410011926241"</f>
        <v>21902020071410011926241</v>
      </c>
      <c r="C1609" s="8" t="s">
        <v>15</v>
      </c>
      <c r="D1609" s="8" t="str">
        <f>"吴金英"</f>
        <v>吴金英</v>
      </c>
      <c r="E1609" s="8" t="str">
        <f>"女"</f>
        <v>女</v>
      </c>
    </row>
    <row r="1610" spans="1:5" ht="19.5" customHeight="1">
      <c r="A1610" s="8">
        <v>1608</v>
      </c>
      <c r="B1610" s="8" t="str">
        <f>"21902020071410051226263"</f>
        <v>21902020071410051226263</v>
      </c>
      <c r="C1610" s="8" t="s">
        <v>15</v>
      </c>
      <c r="D1610" s="8" t="str">
        <f>"张世平"</f>
        <v>张世平</v>
      </c>
      <c r="E1610" s="8" t="str">
        <f>"男"</f>
        <v>男</v>
      </c>
    </row>
    <row r="1611" spans="1:5" ht="19.5" customHeight="1">
      <c r="A1611" s="8">
        <v>1609</v>
      </c>
      <c r="B1611" s="8" t="str">
        <f>"21902020071410063426271"</f>
        <v>21902020071410063426271</v>
      </c>
      <c r="C1611" s="8" t="s">
        <v>15</v>
      </c>
      <c r="D1611" s="8" t="str">
        <f>"符万菊"</f>
        <v>符万菊</v>
      </c>
      <c r="E1611" s="8" t="str">
        <f>"女"</f>
        <v>女</v>
      </c>
    </row>
    <row r="1612" spans="1:5" ht="19.5" customHeight="1">
      <c r="A1612" s="8">
        <v>1610</v>
      </c>
      <c r="B1612" s="8" t="str">
        <f>"21902020071410130926311"</f>
        <v>21902020071410130926311</v>
      </c>
      <c r="C1612" s="8" t="s">
        <v>15</v>
      </c>
      <c r="D1612" s="8" t="str">
        <f>"周美芳"</f>
        <v>周美芳</v>
      </c>
      <c r="E1612" s="8" t="str">
        <f>"女"</f>
        <v>女</v>
      </c>
    </row>
    <row r="1613" spans="1:5" ht="19.5" customHeight="1">
      <c r="A1613" s="8">
        <v>1611</v>
      </c>
      <c r="B1613" s="8" t="str">
        <f>"21902020071410185526330"</f>
        <v>21902020071410185526330</v>
      </c>
      <c r="C1613" s="8" t="s">
        <v>15</v>
      </c>
      <c r="D1613" s="8" t="str">
        <f>"李喜兰"</f>
        <v>李喜兰</v>
      </c>
      <c r="E1613" s="8" t="str">
        <f>"女"</f>
        <v>女</v>
      </c>
    </row>
    <row r="1614" spans="1:5" ht="19.5" customHeight="1">
      <c r="A1614" s="8">
        <v>1612</v>
      </c>
      <c r="B1614" s="8" t="str">
        <f>"21902020071410272726362"</f>
        <v>21902020071410272726362</v>
      </c>
      <c r="C1614" s="8" t="s">
        <v>15</v>
      </c>
      <c r="D1614" s="8" t="str">
        <f>"羊露"</f>
        <v>羊露</v>
      </c>
      <c r="E1614" s="8" t="str">
        <f>"男"</f>
        <v>男</v>
      </c>
    </row>
    <row r="1615" spans="1:5" ht="19.5" customHeight="1">
      <c r="A1615" s="8">
        <v>1613</v>
      </c>
      <c r="B1615" s="8" t="str">
        <f>"21902020071410280826365"</f>
        <v>21902020071410280826365</v>
      </c>
      <c r="C1615" s="8" t="s">
        <v>15</v>
      </c>
      <c r="D1615" s="8" t="str">
        <f>"林芳"</f>
        <v>林芳</v>
      </c>
      <c r="E1615" s="8" t="str">
        <f>"女"</f>
        <v>女</v>
      </c>
    </row>
    <row r="1616" spans="1:5" ht="19.5" customHeight="1">
      <c r="A1616" s="8">
        <v>1614</v>
      </c>
      <c r="B1616" s="8" t="str">
        <f>"21902020071410305226373"</f>
        <v>21902020071410305226373</v>
      </c>
      <c r="C1616" s="8" t="s">
        <v>15</v>
      </c>
      <c r="D1616" s="8" t="str">
        <f>"温有金"</f>
        <v>温有金</v>
      </c>
      <c r="E1616" s="8" t="str">
        <f>"男"</f>
        <v>男</v>
      </c>
    </row>
    <row r="1617" spans="1:5" ht="19.5" customHeight="1">
      <c r="A1617" s="8">
        <v>1615</v>
      </c>
      <c r="B1617" s="8" t="str">
        <f>"21902020071410355826394"</f>
        <v>21902020071410355826394</v>
      </c>
      <c r="C1617" s="8" t="s">
        <v>15</v>
      </c>
      <c r="D1617" s="8" t="str">
        <f>"刘尚宏"</f>
        <v>刘尚宏</v>
      </c>
      <c r="E1617" s="8" t="str">
        <f>"男"</f>
        <v>男</v>
      </c>
    </row>
    <row r="1618" spans="1:5" ht="19.5" customHeight="1">
      <c r="A1618" s="8">
        <v>1616</v>
      </c>
      <c r="B1618" s="8" t="str">
        <f>"21902020071410421826417"</f>
        <v>21902020071410421826417</v>
      </c>
      <c r="C1618" s="8" t="s">
        <v>15</v>
      </c>
      <c r="D1618" s="8" t="str">
        <f>"李创"</f>
        <v>李创</v>
      </c>
      <c r="E1618" s="8" t="str">
        <f>"男"</f>
        <v>男</v>
      </c>
    </row>
    <row r="1619" spans="1:5" ht="19.5" customHeight="1">
      <c r="A1619" s="8">
        <v>1617</v>
      </c>
      <c r="B1619" s="8" t="str">
        <f>"21902020071410421926418"</f>
        <v>21902020071410421926418</v>
      </c>
      <c r="C1619" s="8" t="s">
        <v>15</v>
      </c>
      <c r="D1619" s="8" t="str">
        <f>"余昊哲"</f>
        <v>余昊哲</v>
      </c>
      <c r="E1619" s="8" t="str">
        <f>"男"</f>
        <v>男</v>
      </c>
    </row>
    <row r="1620" spans="1:5" ht="19.5" customHeight="1">
      <c r="A1620" s="8">
        <v>1618</v>
      </c>
      <c r="B1620" s="8" t="str">
        <f>"21902020071410433226420"</f>
        <v>21902020071410433226420</v>
      </c>
      <c r="C1620" s="8" t="s">
        <v>15</v>
      </c>
      <c r="D1620" s="8" t="str">
        <f>"李琳琳"</f>
        <v>李琳琳</v>
      </c>
      <c r="E1620" s="8" t="str">
        <f>"女"</f>
        <v>女</v>
      </c>
    </row>
    <row r="1621" spans="1:5" ht="19.5" customHeight="1">
      <c r="A1621" s="8">
        <v>1619</v>
      </c>
      <c r="B1621" s="8" t="str">
        <f>"21902020071410532826456"</f>
        <v>21902020071410532826456</v>
      </c>
      <c r="C1621" s="8" t="s">
        <v>15</v>
      </c>
      <c r="D1621" s="8" t="str">
        <f>"李雯"</f>
        <v>李雯</v>
      </c>
      <c r="E1621" s="8" t="str">
        <f>"女"</f>
        <v>女</v>
      </c>
    </row>
    <row r="1622" spans="1:5" ht="19.5" customHeight="1">
      <c r="A1622" s="8">
        <v>1620</v>
      </c>
      <c r="B1622" s="8" t="str">
        <f>"21902020071410563626464"</f>
        <v>21902020071410563626464</v>
      </c>
      <c r="C1622" s="8" t="s">
        <v>15</v>
      </c>
      <c r="D1622" s="8" t="str">
        <f>"周杰娜"</f>
        <v>周杰娜</v>
      </c>
      <c r="E1622" s="8" t="str">
        <f>"女"</f>
        <v>女</v>
      </c>
    </row>
    <row r="1623" spans="1:5" ht="19.5" customHeight="1">
      <c r="A1623" s="8">
        <v>1621</v>
      </c>
      <c r="B1623" s="8" t="str">
        <f>"21902020071411065126493"</f>
        <v>21902020071411065126493</v>
      </c>
      <c r="C1623" s="8" t="s">
        <v>15</v>
      </c>
      <c r="D1623" s="8" t="str">
        <f>"温冬梅"</f>
        <v>温冬梅</v>
      </c>
      <c r="E1623" s="8" t="str">
        <f>"女"</f>
        <v>女</v>
      </c>
    </row>
    <row r="1624" spans="1:5" ht="19.5" customHeight="1">
      <c r="A1624" s="8">
        <v>1622</v>
      </c>
      <c r="B1624" s="8" t="str">
        <f>"21902020071411083526504"</f>
        <v>21902020071411083526504</v>
      </c>
      <c r="C1624" s="8" t="s">
        <v>15</v>
      </c>
      <c r="D1624" s="8" t="str">
        <f>"欧阳奕"</f>
        <v>欧阳奕</v>
      </c>
      <c r="E1624" s="8" t="str">
        <f>"男"</f>
        <v>男</v>
      </c>
    </row>
    <row r="1625" spans="1:5" ht="19.5" customHeight="1">
      <c r="A1625" s="8">
        <v>1623</v>
      </c>
      <c r="B1625" s="8" t="str">
        <f>"21902020071411102826510"</f>
        <v>21902020071411102826510</v>
      </c>
      <c r="C1625" s="8" t="s">
        <v>15</v>
      </c>
      <c r="D1625" s="8" t="str">
        <f>"何仲安"</f>
        <v>何仲安</v>
      </c>
      <c r="E1625" s="8" t="str">
        <f>"男"</f>
        <v>男</v>
      </c>
    </row>
    <row r="1626" spans="1:5" ht="19.5" customHeight="1">
      <c r="A1626" s="8">
        <v>1624</v>
      </c>
      <c r="B1626" s="8" t="str">
        <f>"21902020071411113826516"</f>
        <v>21902020071411113826516</v>
      </c>
      <c r="C1626" s="8" t="s">
        <v>15</v>
      </c>
      <c r="D1626" s="8" t="str">
        <f>"谭义硕"</f>
        <v>谭义硕</v>
      </c>
      <c r="E1626" s="8" t="str">
        <f>"男"</f>
        <v>男</v>
      </c>
    </row>
    <row r="1627" spans="1:5" ht="19.5" customHeight="1">
      <c r="A1627" s="8">
        <v>1625</v>
      </c>
      <c r="B1627" s="8" t="str">
        <f>"21902020071411123826523"</f>
        <v>21902020071411123826523</v>
      </c>
      <c r="C1627" s="8" t="s">
        <v>15</v>
      </c>
      <c r="D1627" s="8" t="str">
        <f>"黄艳秋"</f>
        <v>黄艳秋</v>
      </c>
      <c r="E1627" s="8" t="str">
        <f>"女"</f>
        <v>女</v>
      </c>
    </row>
    <row r="1628" spans="1:5" ht="19.5" customHeight="1">
      <c r="A1628" s="8">
        <v>1626</v>
      </c>
      <c r="B1628" s="8" t="str">
        <f>"21902020071411145226529"</f>
        <v>21902020071411145226529</v>
      </c>
      <c r="C1628" s="8" t="s">
        <v>15</v>
      </c>
      <c r="D1628" s="8" t="str">
        <f>"陈德雄"</f>
        <v>陈德雄</v>
      </c>
      <c r="E1628" s="8" t="str">
        <f>"男"</f>
        <v>男</v>
      </c>
    </row>
    <row r="1629" spans="1:5" ht="19.5" customHeight="1">
      <c r="A1629" s="8">
        <v>1627</v>
      </c>
      <c r="B1629" s="8" t="str">
        <f>"21902020071411240526553"</f>
        <v>21902020071411240526553</v>
      </c>
      <c r="C1629" s="8" t="s">
        <v>15</v>
      </c>
      <c r="D1629" s="8" t="str">
        <f>"王哲"</f>
        <v>王哲</v>
      </c>
      <c r="E1629" s="8" t="str">
        <f>"男"</f>
        <v>男</v>
      </c>
    </row>
    <row r="1630" spans="1:5" ht="19.5" customHeight="1">
      <c r="A1630" s="8">
        <v>1628</v>
      </c>
      <c r="B1630" s="8" t="str">
        <f>"21902020071411292426556"</f>
        <v>21902020071411292426556</v>
      </c>
      <c r="C1630" s="8" t="s">
        <v>15</v>
      </c>
      <c r="D1630" s="8" t="str">
        <f>"林明星"</f>
        <v>林明星</v>
      </c>
      <c r="E1630" s="8" t="str">
        <f>"男"</f>
        <v>男</v>
      </c>
    </row>
    <row r="1631" spans="1:5" ht="19.5" customHeight="1">
      <c r="A1631" s="8">
        <v>1629</v>
      </c>
      <c r="B1631" s="8" t="str">
        <f>"21902020071411303826561"</f>
        <v>21902020071411303826561</v>
      </c>
      <c r="C1631" s="8" t="s">
        <v>15</v>
      </c>
      <c r="D1631" s="8" t="str">
        <f>"李志球"</f>
        <v>李志球</v>
      </c>
      <c r="E1631" s="8" t="str">
        <f>"男"</f>
        <v>男</v>
      </c>
    </row>
    <row r="1632" spans="1:5" ht="19.5" customHeight="1">
      <c r="A1632" s="8">
        <v>1630</v>
      </c>
      <c r="B1632" s="8" t="str">
        <f>"21902020071411353326573"</f>
        <v>21902020071411353326573</v>
      </c>
      <c r="C1632" s="8" t="s">
        <v>15</v>
      </c>
      <c r="D1632" s="8" t="str">
        <f>"符俊卿"</f>
        <v>符俊卿</v>
      </c>
      <c r="E1632" s="8" t="str">
        <f>"男"</f>
        <v>男</v>
      </c>
    </row>
    <row r="1633" spans="1:5" ht="19.5" customHeight="1">
      <c r="A1633" s="8">
        <v>1631</v>
      </c>
      <c r="B1633" s="8" t="str">
        <f>"21902020071411414126582"</f>
        <v>21902020071411414126582</v>
      </c>
      <c r="C1633" s="8" t="s">
        <v>15</v>
      </c>
      <c r="D1633" s="8" t="str">
        <f>"李义喜"</f>
        <v>李义喜</v>
      </c>
      <c r="E1633" s="8" t="str">
        <f>"女"</f>
        <v>女</v>
      </c>
    </row>
    <row r="1634" spans="1:5" ht="19.5" customHeight="1">
      <c r="A1634" s="8">
        <v>1632</v>
      </c>
      <c r="B1634" s="8" t="str">
        <f>"21902020071411424126586"</f>
        <v>21902020071411424126586</v>
      </c>
      <c r="C1634" s="8" t="s">
        <v>15</v>
      </c>
      <c r="D1634" s="8" t="str">
        <f>"陈灶灯"</f>
        <v>陈灶灯</v>
      </c>
      <c r="E1634" s="8" t="str">
        <f>"男"</f>
        <v>男</v>
      </c>
    </row>
    <row r="1635" spans="1:5" ht="19.5" customHeight="1">
      <c r="A1635" s="8">
        <v>1633</v>
      </c>
      <c r="B1635" s="8" t="str">
        <f>"21902020071411431326588"</f>
        <v>21902020071411431326588</v>
      </c>
      <c r="C1635" s="8" t="s">
        <v>15</v>
      </c>
      <c r="D1635" s="8" t="str">
        <f>"何健海"</f>
        <v>何健海</v>
      </c>
      <c r="E1635" s="8" t="str">
        <f>"男"</f>
        <v>男</v>
      </c>
    </row>
    <row r="1636" spans="1:5" ht="19.5" customHeight="1">
      <c r="A1636" s="8">
        <v>1634</v>
      </c>
      <c r="B1636" s="8" t="str">
        <f>"21902020071411431526589"</f>
        <v>21902020071411431526589</v>
      </c>
      <c r="C1636" s="8" t="s">
        <v>15</v>
      </c>
      <c r="D1636" s="8" t="str">
        <f>"刘友谋"</f>
        <v>刘友谋</v>
      </c>
      <c r="E1636" s="8" t="str">
        <f>"男"</f>
        <v>男</v>
      </c>
    </row>
    <row r="1637" spans="1:5" ht="19.5" customHeight="1">
      <c r="A1637" s="8">
        <v>1635</v>
      </c>
      <c r="B1637" s="8" t="str">
        <f>"21902020071411435126592"</f>
        <v>21902020071411435126592</v>
      </c>
      <c r="C1637" s="8" t="s">
        <v>15</v>
      </c>
      <c r="D1637" s="8" t="str">
        <f>"陈文君"</f>
        <v>陈文君</v>
      </c>
      <c r="E1637" s="8" t="str">
        <f>"男"</f>
        <v>男</v>
      </c>
    </row>
    <row r="1638" spans="1:5" ht="19.5" customHeight="1">
      <c r="A1638" s="8">
        <v>1636</v>
      </c>
      <c r="B1638" s="8" t="str">
        <f>"21902020071411574526632"</f>
        <v>21902020071411574526632</v>
      </c>
      <c r="C1638" s="8" t="s">
        <v>15</v>
      </c>
      <c r="D1638" s="8" t="str">
        <f>"梁小仙"</f>
        <v>梁小仙</v>
      </c>
      <c r="E1638" s="8" t="str">
        <f>"女"</f>
        <v>女</v>
      </c>
    </row>
    <row r="1639" spans="1:5" ht="19.5" customHeight="1">
      <c r="A1639" s="8">
        <v>1637</v>
      </c>
      <c r="B1639" s="8" t="str">
        <f>"21902020071412295026681"</f>
        <v>21902020071412295026681</v>
      </c>
      <c r="C1639" s="8" t="s">
        <v>15</v>
      </c>
      <c r="D1639" s="8" t="str">
        <f>"沈海洋"</f>
        <v>沈海洋</v>
      </c>
      <c r="E1639" s="8" t="str">
        <f>"男"</f>
        <v>男</v>
      </c>
    </row>
    <row r="1640" spans="1:5" ht="19.5" customHeight="1">
      <c r="A1640" s="8">
        <v>1638</v>
      </c>
      <c r="B1640" s="8" t="str">
        <f>"21902020071412521826719"</f>
        <v>21902020071412521826719</v>
      </c>
      <c r="C1640" s="8" t="s">
        <v>15</v>
      </c>
      <c r="D1640" s="8" t="str">
        <f>"黎莹莹"</f>
        <v>黎莹莹</v>
      </c>
      <c r="E1640" s="8" t="str">
        <f>"女"</f>
        <v>女</v>
      </c>
    </row>
    <row r="1641" spans="1:5" ht="19.5" customHeight="1">
      <c r="A1641" s="8">
        <v>1639</v>
      </c>
      <c r="B1641" s="8" t="str">
        <f>"21902020071412524326721"</f>
        <v>21902020071412524326721</v>
      </c>
      <c r="C1641" s="8" t="s">
        <v>15</v>
      </c>
      <c r="D1641" s="8" t="str">
        <f>"桂超"</f>
        <v>桂超</v>
      </c>
      <c r="E1641" s="8" t="str">
        <f>"女"</f>
        <v>女</v>
      </c>
    </row>
    <row r="1642" spans="1:5" ht="19.5" customHeight="1">
      <c r="A1642" s="8">
        <v>1640</v>
      </c>
      <c r="B1642" s="8" t="str">
        <f>"21902020071412553026725"</f>
        <v>21902020071412553026725</v>
      </c>
      <c r="C1642" s="8" t="s">
        <v>15</v>
      </c>
      <c r="D1642" s="8" t="str">
        <f>"李荣清"</f>
        <v>李荣清</v>
      </c>
      <c r="E1642" s="8" t="str">
        <f>"男"</f>
        <v>男</v>
      </c>
    </row>
    <row r="1643" spans="1:5" ht="19.5" customHeight="1">
      <c r="A1643" s="8">
        <v>1641</v>
      </c>
      <c r="B1643" s="8" t="str">
        <f>"21902020071412571726726"</f>
        <v>21902020071412571726726</v>
      </c>
      <c r="C1643" s="8" t="s">
        <v>15</v>
      </c>
      <c r="D1643" s="8" t="str">
        <f>"李汝健"</f>
        <v>李汝健</v>
      </c>
      <c r="E1643" s="8" t="str">
        <f>"男"</f>
        <v>男</v>
      </c>
    </row>
    <row r="1644" spans="1:5" ht="19.5" customHeight="1">
      <c r="A1644" s="8">
        <v>1642</v>
      </c>
      <c r="B1644" s="8" t="str">
        <f>"21902020071412580926730"</f>
        <v>21902020071412580926730</v>
      </c>
      <c r="C1644" s="8" t="s">
        <v>15</v>
      </c>
      <c r="D1644" s="8" t="str">
        <f>"吴采芳"</f>
        <v>吴采芳</v>
      </c>
      <c r="E1644" s="8" t="str">
        <f>"女"</f>
        <v>女</v>
      </c>
    </row>
    <row r="1645" spans="1:5" ht="19.5" customHeight="1">
      <c r="A1645" s="8">
        <v>1643</v>
      </c>
      <c r="B1645" s="8" t="str">
        <f>"21902020071413065226741"</f>
        <v>21902020071413065226741</v>
      </c>
      <c r="C1645" s="8" t="s">
        <v>15</v>
      </c>
      <c r="D1645" s="8" t="str">
        <f>"庞贵元"</f>
        <v>庞贵元</v>
      </c>
      <c r="E1645" s="8" t="str">
        <f aca="true" t="shared" si="126" ref="E1645:E1650">"男"</f>
        <v>男</v>
      </c>
    </row>
    <row r="1646" spans="1:5" ht="19.5" customHeight="1">
      <c r="A1646" s="8">
        <v>1644</v>
      </c>
      <c r="B1646" s="8" t="str">
        <f>"21902020071413235826774"</f>
        <v>21902020071413235826774</v>
      </c>
      <c r="C1646" s="8" t="s">
        <v>15</v>
      </c>
      <c r="D1646" s="8" t="str">
        <f>"符少钧"</f>
        <v>符少钧</v>
      </c>
      <c r="E1646" s="8" t="str">
        <f t="shared" si="126"/>
        <v>男</v>
      </c>
    </row>
    <row r="1647" spans="1:5" ht="19.5" customHeight="1">
      <c r="A1647" s="8">
        <v>1645</v>
      </c>
      <c r="B1647" s="8" t="str">
        <f>"21902020071413351226790"</f>
        <v>21902020071413351226790</v>
      </c>
      <c r="C1647" s="8" t="s">
        <v>15</v>
      </c>
      <c r="D1647" s="8" t="str">
        <f>"杨勇明"</f>
        <v>杨勇明</v>
      </c>
      <c r="E1647" s="8" t="str">
        <f t="shared" si="126"/>
        <v>男</v>
      </c>
    </row>
    <row r="1648" spans="1:5" ht="19.5" customHeight="1">
      <c r="A1648" s="8">
        <v>1646</v>
      </c>
      <c r="B1648" s="8" t="str">
        <f>"21902020071413374526792"</f>
        <v>21902020071413374526792</v>
      </c>
      <c r="C1648" s="8" t="s">
        <v>15</v>
      </c>
      <c r="D1648" s="8" t="str">
        <f>"李文茂"</f>
        <v>李文茂</v>
      </c>
      <c r="E1648" s="8" t="str">
        <f t="shared" si="126"/>
        <v>男</v>
      </c>
    </row>
    <row r="1649" spans="1:5" ht="19.5" customHeight="1">
      <c r="A1649" s="8">
        <v>1647</v>
      </c>
      <c r="B1649" s="8" t="str">
        <f>"21902020071413405926795"</f>
        <v>21902020071413405926795</v>
      </c>
      <c r="C1649" s="8" t="s">
        <v>15</v>
      </c>
      <c r="D1649" s="8" t="str">
        <f>"吴恩德"</f>
        <v>吴恩德</v>
      </c>
      <c r="E1649" s="8" t="str">
        <f t="shared" si="126"/>
        <v>男</v>
      </c>
    </row>
    <row r="1650" spans="1:5" ht="19.5" customHeight="1">
      <c r="A1650" s="8">
        <v>1648</v>
      </c>
      <c r="B1650" s="8" t="str">
        <f>"21902020071413410826796"</f>
        <v>21902020071413410826796</v>
      </c>
      <c r="C1650" s="8" t="s">
        <v>15</v>
      </c>
      <c r="D1650" s="8" t="str">
        <f>"符海鹏"</f>
        <v>符海鹏</v>
      </c>
      <c r="E1650" s="8" t="str">
        <f t="shared" si="126"/>
        <v>男</v>
      </c>
    </row>
    <row r="1651" spans="1:5" ht="19.5" customHeight="1">
      <c r="A1651" s="8">
        <v>1649</v>
      </c>
      <c r="B1651" s="8" t="str">
        <f>"21902020071413425526798"</f>
        <v>21902020071413425526798</v>
      </c>
      <c r="C1651" s="8" t="s">
        <v>15</v>
      </c>
      <c r="D1651" s="8" t="str">
        <f>"吴若妮"</f>
        <v>吴若妮</v>
      </c>
      <c r="E1651" s="8" t="str">
        <f>"女"</f>
        <v>女</v>
      </c>
    </row>
    <row r="1652" spans="1:5" ht="19.5" customHeight="1">
      <c r="A1652" s="8">
        <v>1650</v>
      </c>
      <c r="B1652" s="8" t="str">
        <f>"21902020071414014026816"</f>
        <v>21902020071414014026816</v>
      </c>
      <c r="C1652" s="8" t="s">
        <v>15</v>
      </c>
      <c r="D1652" s="8" t="str">
        <f>"陈尧"</f>
        <v>陈尧</v>
      </c>
      <c r="E1652" s="8" t="str">
        <f>"男"</f>
        <v>男</v>
      </c>
    </row>
    <row r="1653" spans="1:5" ht="19.5" customHeight="1">
      <c r="A1653" s="8">
        <v>1651</v>
      </c>
      <c r="B1653" s="8" t="str">
        <f>"21902020071414110026825"</f>
        <v>21902020071414110026825</v>
      </c>
      <c r="C1653" s="8" t="s">
        <v>15</v>
      </c>
      <c r="D1653" s="8" t="str">
        <f>"钟育红"</f>
        <v>钟育红</v>
      </c>
      <c r="E1653" s="8" t="str">
        <f>"男"</f>
        <v>男</v>
      </c>
    </row>
    <row r="1654" spans="1:5" ht="19.5" customHeight="1">
      <c r="A1654" s="8">
        <v>1652</v>
      </c>
      <c r="B1654" s="8" t="str">
        <f>"21902020071414122026828"</f>
        <v>21902020071414122026828</v>
      </c>
      <c r="C1654" s="8" t="s">
        <v>15</v>
      </c>
      <c r="D1654" s="8" t="str">
        <f>"陈春霞"</f>
        <v>陈春霞</v>
      </c>
      <c r="E1654" s="8" t="str">
        <f>"女"</f>
        <v>女</v>
      </c>
    </row>
    <row r="1655" spans="1:5" ht="19.5" customHeight="1">
      <c r="A1655" s="8">
        <v>1653</v>
      </c>
      <c r="B1655" s="8" t="str">
        <f>"21902020071414144426833"</f>
        <v>21902020071414144426833</v>
      </c>
      <c r="C1655" s="8" t="s">
        <v>15</v>
      </c>
      <c r="D1655" s="8" t="str">
        <f>"李仙爱"</f>
        <v>李仙爱</v>
      </c>
      <c r="E1655" s="8" t="str">
        <f>"女"</f>
        <v>女</v>
      </c>
    </row>
    <row r="1656" spans="1:5" ht="19.5" customHeight="1">
      <c r="A1656" s="8">
        <v>1654</v>
      </c>
      <c r="B1656" s="8" t="str">
        <f>"21902020071414301926853"</f>
        <v>21902020071414301926853</v>
      </c>
      <c r="C1656" s="8" t="s">
        <v>15</v>
      </c>
      <c r="D1656" s="8" t="str">
        <f>"谢善科"</f>
        <v>谢善科</v>
      </c>
      <c r="E1656" s="8" t="str">
        <f>"男"</f>
        <v>男</v>
      </c>
    </row>
    <row r="1657" spans="1:5" ht="19.5" customHeight="1">
      <c r="A1657" s="8">
        <v>1655</v>
      </c>
      <c r="B1657" s="8" t="str">
        <f>"21902020071414312726856"</f>
        <v>21902020071414312726856</v>
      </c>
      <c r="C1657" s="8" t="s">
        <v>15</v>
      </c>
      <c r="D1657" s="8" t="str">
        <f>"陈倩"</f>
        <v>陈倩</v>
      </c>
      <c r="E1657" s="8" t="str">
        <f>"女"</f>
        <v>女</v>
      </c>
    </row>
    <row r="1658" spans="1:5" ht="19.5" customHeight="1">
      <c r="A1658" s="8">
        <v>1656</v>
      </c>
      <c r="B1658" s="8" t="str">
        <f>"21902020071414420826877"</f>
        <v>21902020071414420826877</v>
      </c>
      <c r="C1658" s="8" t="s">
        <v>15</v>
      </c>
      <c r="D1658" s="8" t="str">
        <f>"陈亮桦"</f>
        <v>陈亮桦</v>
      </c>
      <c r="E1658" s="8" t="str">
        <f>"男"</f>
        <v>男</v>
      </c>
    </row>
    <row r="1659" spans="1:5" ht="19.5" customHeight="1">
      <c r="A1659" s="8">
        <v>1657</v>
      </c>
      <c r="B1659" s="8" t="str">
        <f>"21902020071414505526893"</f>
        <v>21902020071414505526893</v>
      </c>
      <c r="C1659" s="8" t="s">
        <v>15</v>
      </c>
      <c r="D1659" s="8" t="str">
        <f>"卢钰炬"</f>
        <v>卢钰炬</v>
      </c>
      <c r="E1659" s="8" t="str">
        <f>"男"</f>
        <v>男</v>
      </c>
    </row>
    <row r="1660" spans="1:5" ht="19.5" customHeight="1">
      <c r="A1660" s="8">
        <v>1658</v>
      </c>
      <c r="B1660" s="8" t="str">
        <f>"21902020071414522626897"</f>
        <v>21902020071414522626897</v>
      </c>
      <c r="C1660" s="8" t="s">
        <v>15</v>
      </c>
      <c r="D1660" s="8" t="str">
        <f>"万柏宏"</f>
        <v>万柏宏</v>
      </c>
      <c r="E1660" s="8" t="str">
        <f>" 男"</f>
        <v> 男</v>
      </c>
    </row>
    <row r="1661" spans="1:5" ht="19.5" customHeight="1">
      <c r="A1661" s="8">
        <v>1659</v>
      </c>
      <c r="B1661" s="8" t="str">
        <f>"21902020071414534726899"</f>
        <v>21902020071414534726899</v>
      </c>
      <c r="C1661" s="8" t="s">
        <v>15</v>
      </c>
      <c r="D1661" s="8" t="str">
        <f>"董江明"</f>
        <v>董江明</v>
      </c>
      <c r="E1661" s="8" t="str">
        <f>"男"</f>
        <v>男</v>
      </c>
    </row>
    <row r="1662" spans="1:5" ht="19.5" customHeight="1">
      <c r="A1662" s="8">
        <v>1660</v>
      </c>
      <c r="B1662" s="8" t="str">
        <f>"21902020071414591526910"</f>
        <v>21902020071414591526910</v>
      </c>
      <c r="C1662" s="8" t="s">
        <v>15</v>
      </c>
      <c r="D1662" s="8" t="str">
        <f>"林晶"</f>
        <v>林晶</v>
      </c>
      <c r="E1662" s="8" t="str">
        <f aca="true" t="shared" si="127" ref="E1662:E1669">"女"</f>
        <v>女</v>
      </c>
    </row>
    <row r="1663" spans="1:5" ht="19.5" customHeight="1">
      <c r="A1663" s="8">
        <v>1661</v>
      </c>
      <c r="B1663" s="8" t="str">
        <f>"21902020071415241326948"</f>
        <v>21902020071415241326948</v>
      </c>
      <c r="C1663" s="8" t="s">
        <v>15</v>
      </c>
      <c r="D1663" s="8" t="str">
        <f>"林鸿蓉"</f>
        <v>林鸿蓉</v>
      </c>
      <c r="E1663" s="8" t="str">
        <f t="shared" si="127"/>
        <v>女</v>
      </c>
    </row>
    <row r="1664" spans="1:5" ht="19.5" customHeight="1">
      <c r="A1664" s="8">
        <v>1662</v>
      </c>
      <c r="B1664" s="8" t="str">
        <f>"21902020071415583727004"</f>
        <v>21902020071415583727004</v>
      </c>
      <c r="C1664" s="8" t="s">
        <v>15</v>
      </c>
      <c r="D1664" s="8" t="str">
        <f>"曾肇艳"</f>
        <v>曾肇艳</v>
      </c>
      <c r="E1664" s="8" t="str">
        <f t="shared" si="127"/>
        <v>女</v>
      </c>
    </row>
    <row r="1665" spans="1:5" ht="19.5" customHeight="1">
      <c r="A1665" s="8">
        <v>1663</v>
      </c>
      <c r="B1665" s="8" t="str">
        <f>"21902020071416050027020"</f>
        <v>21902020071416050027020</v>
      </c>
      <c r="C1665" s="8" t="s">
        <v>15</v>
      </c>
      <c r="D1665" s="8" t="str">
        <f>"李明英"</f>
        <v>李明英</v>
      </c>
      <c r="E1665" s="8" t="str">
        <f t="shared" si="127"/>
        <v>女</v>
      </c>
    </row>
    <row r="1666" spans="1:5" ht="19.5" customHeight="1">
      <c r="A1666" s="8">
        <v>1664</v>
      </c>
      <c r="B1666" s="8" t="str">
        <f>"21902020071416181327036"</f>
        <v>21902020071416181327036</v>
      </c>
      <c r="C1666" s="8" t="s">
        <v>15</v>
      </c>
      <c r="D1666" s="8" t="str">
        <f>"梅国英"</f>
        <v>梅国英</v>
      </c>
      <c r="E1666" s="8" t="str">
        <f t="shared" si="127"/>
        <v>女</v>
      </c>
    </row>
    <row r="1667" spans="1:5" ht="19.5" customHeight="1">
      <c r="A1667" s="8">
        <v>1665</v>
      </c>
      <c r="B1667" s="8" t="str">
        <f>"21902020071416210427042"</f>
        <v>21902020071416210427042</v>
      </c>
      <c r="C1667" s="8" t="s">
        <v>15</v>
      </c>
      <c r="D1667" s="8" t="str">
        <f>"黎美玲"</f>
        <v>黎美玲</v>
      </c>
      <c r="E1667" s="8" t="str">
        <f t="shared" si="127"/>
        <v>女</v>
      </c>
    </row>
    <row r="1668" spans="1:5" ht="19.5" customHeight="1">
      <c r="A1668" s="8">
        <v>1666</v>
      </c>
      <c r="B1668" s="8" t="str">
        <f>"21902020071416225227047"</f>
        <v>21902020071416225227047</v>
      </c>
      <c r="C1668" s="8" t="s">
        <v>15</v>
      </c>
      <c r="D1668" s="8" t="str">
        <f>"陈春菊"</f>
        <v>陈春菊</v>
      </c>
      <c r="E1668" s="8" t="str">
        <f t="shared" si="127"/>
        <v>女</v>
      </c>
    </row>
    <row r="1669" spans="1:5" ht="19.5" customHeight="1">
      <c r="A1669" s="8">
        <v>1667</v>
      </c>
      <c r="B1669" s="8" t="str">
        <f>"21902020071416263827059"</f>
        <v>21902020071416263827059</v>
      </c>
      <c r="C1669" s="8" t="s">
        <v>15</v>
      </c>
      <c r="D1669" s="8" t="str">
        <f>"黄泽梅"</f>
        <v>黄泽梅</v>
      </c>
      <c r="E1669" s="8" t="str">
        <f t="shared" si="127"/>
        <v>女</v>
      </c>
    </row>
    <row r="1670" spans="1:5" ht="19.5" customHeight="1">
      <c r="A1670" s="8">
        <v>1668</v>
      </c>
      <c r="B1670" s="8" t="str">
        <f>"21902020071416283127064"</f>
        <v>21902020071416283127064</v>
      </c>
      <c r="C1670" s="8" t="s">
        <v>15</v>
      </c>
      <c r="D1670" s="8" t="str">
        <f>"唐若昌"</f>
        <v>唐若昌</v>
      </c>
      <c r="E1670" s="8" t="str">
        <f>"男"</f>
        <v>男</v>
      </c>
    </row>
    <row r="1671" spans="1:5" ht="19.5" customHeight="1">
      <c r="A1671" s="8">
        <v>1669</v>
      </c>
      <c r="B1671" s="8" t="str">
        <f>"21902020071416343327074"</f>
        <v>21902020071416343327074</v>
      </c>
      <c r="C1671" s="8" t="s">
        <v>15</v>
      </c>
      <c r="D1671" s="8" t="str">
        <f>"黎帝兰"</f>
        <v>黎帝兰</v>
      </c>
      <c r="E1671" s="8" t="str">
        <f>"女"</f>
        <v>女</v>
      </c>
    </row>
    <row r="1672" spans="1:5" ht="19.5" customHeight="1">
      <c r="A1672" s="8">
        <v>1670</v>
      </c>
      <c r="B1672" s="8" t="str">
        <f>"21902020071416352927076"</f>
        <v>21902020071416352927076</v>
      </c>
      <c r="C1672" s="8" t="s">
        <v>15</v>
      </c>
      <c r="D1672" s="8" t="str">
        <f>"吴婷婷"</f>
        <v>吴婷婷</v>
      </c>
      <c r="E1672" s="8" t="str">
        <f>"女"</f>
        <v>女</v>
      </c>
    </row>
    <row r="1673" spans="1:5" ht="19.5" customHeight="1">
      <c r="A1673" s="8">
        <v>1671</v>
      </c>
      <c r="B1673" s="8" t="str">
        <f>"21902020071416405127087"</f>
        <v>21902020071416405127087</v>
      </c>
      <c r="C1673" s="8" t="s">
        <v>15</v>
      </c>
      <c r="D1673" s="8" t="str">
        <f>"陈菲菲"</f>
        <v>陈菲菲</v>
      </c>
      <c r="E1673" s="8" t="str">
        <f>"女"</f>
        <v>女</v>
      </c>
    </row>
    <row r="1674" spans="1:5" ht="19.5" customHeight="1">
      <c r="A1674" s="8">
        <v>1672</v>
      </c>
      <c r="B1674" s="8" t="str">
        <f>"21902020071416435627095"</f>
        <v>21902020071416435627095</v>
      </c>
      <c r="C1674" s="8" t="s">
        <v>15</v>
      </c>
      <c r="D1674" s="8" t="str">
        <f>"吴志乾"</f>
        <v>吴志乾</v>
      </c>
      <c r="E1674" s="8" t="str">
        <f>"女"</f>
        <v>女</v>
      </c>
    </row>
    <row r="1675" spans="1:5" ht="19.5" customHeight="1">
      <c r="A1675" s="8">
        <v>1673</v>
      </c>
      <c r="B1675" s="8" t="str">
        <f>"21902020071416592427123"</f>
        <v>21902020071416592427123</v>
      </c>
      <c r="C1675" s="8" t="s">
        <v>15</v>
      </c>
      <c r="D1675" s="8" t="str">
        <f>"钟通令"</f>
        <v>钟通令</v>
      </c>
      <c r="E1675" s="8" t="str">
        <f>"男"</f>
        <v>男</v>
      </c>
    </row>
    <row r="1676" spans="1:5" ht="19.5" customHeight="1">
      <c r="A1676" s="8">
        <v>1674</v>
      </c>
      <c r="B1676" s="8" t="str">
        <f>"21902020071417224827163"</f>
        <v>21902020071417224827163</v>
      </c>
      <c r="C1676" s="8" t="s">
        <v>15</v>
      </c>
      <c r="D1676" s="8" t="str">
        <f>"王志维"</f>
        <v>王志维</v>
      </c>
      <c r="E1676" s="8" t="str">
        <f>"男"</f>
        <v>男</v>
      </c>
    </row>
    <row r="1677" spans="1:5" ht="19.5" customHeight="1">
      <c r="A1677" s="8">
        <v>1675</v>
      </c>
      <c r="B1677" s="8" t="str">
        <f>"21902020071417392927185"</f>
        <v>21902020071417392927185</v>
      </c>
      <c r="C1677" s="8" t="s">
        <v>15</v>
      </c>
      <c r="D1677" s="8" t="str">
        <f>"钟声"</f>
        <v>钟声</v>
      </c>
      <c r="E1677" s="8" t="str">
        <f>"男"</f>
        <v>男</v>
      </c>
    </row>
    <row r="1678" spans="1:5" ht="19.5" customHeight="1">
      <c r="A1678" s="8">
        <v>1676</v>
      </c>
      <c r="B1678" s="8" t="str">
        <f>"21902020071417462327194"</f>
        <v>21902020071417462327194</v>
      </c>
      <c r="C1678" s="8" t="s">
        <v>15</v>
      </c>
      <c r="D1678" s="8" t="str">
        <f>"羊捷"</f>
        <v>羊捷</v>
      </c>
      <c r="E1678" s="8" t="str">
        <f>"男"</f>
        <v>男</v>
      </c>
    </row>
    <row r="1679" spans="1:5" ht="19.5" customHeight="1">
      <c r="A1679" s="8">
        <v>1677</v>
      </c>
      <c r="B1679" s="8" t="str">
        <f>"21902020071417552427208"</f>
        <v>21902020071417552427208</v>
      </c>
      <c r="C1679" s="8" t="s">
        <v>15</v>
      </c>
      <c r="D1679" s="8" t="str">
        <f>"冯英俊"</f>
        <v>冯英俊</v>
      </c>
      <c r="E1679" s="8" t="str">
        <f>"男"</f>
        <v>男</v>
      </c>
    </row>
    <row r="1680" spans="1:5" ht="19.5" customHeight="1">
      <c r="A1680" s="8">
        <v>1678</v>
      </c>
      <c r="B1680" s="8" t="str">
        <f>"21902020071418105627225"</f>
        <v>21902020071418105627225</v>
      </c>
      <c r="C1680" s="8" t="s">
        <v>15</v>
      </c>
      <c r="D1680" s="8" t="str">
        <f>"谢水凤"</f>
        <v>谢水凤</v>
      </c>
      <c r="E1680" s="8" t="str">
        <f>"女"</f>
        <v>女</v>
      </c>
    </row>
    <row r="1681" spans="1:5" ht="19.5" customHeight="1">
      <c r="A1681" s="8">
        <v>1679</v>
      </c>
      <c r="B1681" s="8" t="str">
        <f>"21902020071418142527235"</f>
        <v>21902020071418142527235</v>
      </c>
      <c r="C1681" s="8" t="s">
        <v>15</v>
      </c>
      <c r="D1681" s="8" t="str">
        <f>"蔡梅芳"</f>
        <v>蔡梅芳</v>
      </c>
      <c r="E1681" s="8" t="str">
        <f>"女"</f>
        <v>女</v>
      </c>
    </row>
    <row r="1682" spans="1:5" ht="19.5" customHeight="1">
      <c r="A1682" s="8">
        <v>1680</v>
      </c>
      <c r="B1682" s="8" t="str">
        <f>"21902020071419071527309"</f>
        <v>21902020071419071527309</v>
      </c>
      <c r="C1682" s="8" t="s">
        <v>15</v>
      </c>
      <c r="D1682" s="8" t="str">
        <f>"张婷"</f>
        <v>张婷</v>
      </c>
      <c r="E1682" s="8" t="str">
        <f>"女"</f>
        <v>女</v>
      </c>
    </row>
    <row r="1683" spans="1:5" ht="19.5" customHeight="1">
      <c r="A1683" s="8">
        <v>1681</v>
      </c>
      <c r="B1683" s="8" t="str">
        <f>"21902020071419172927325"</f>
        <v>21902020071419172927325</v>
      </c>
      <c r="C1683" s="8" t="s">
        <v>15</v>
      </c>
      <c r="D1683" s="8" t="str">
        <f>"羊大唐"</f>
        <v>羊大唐</v>
      </c>
      <c r="E1683" s="8" t="str">
        <f>"男"</f>
        <v>男</v>
      </c>
    </row>
    <row r="1684" spans="1:5" ht="19.5" customHeight="1">
      <c r="A1684" s="8">
        <v>1682</v>
      </c>
      <c r="B1684" s="8" t="str">
        <f>"21902020071419393227346"</f>
        <v>21902020071419393227346</v>
      </c>
      <c r="C1684" s="8" t="s">
        <v>15</v>
      </c>
      <c r="D1684" s="8" t="str">
        <f>"叶桂萍"</f>
        <v>叶桂萍</v>
      </c>
      <c r="E1684" s="8" t="str">
        <f>"女"</f>
        <v>女</v>
      </c>
    </row>
    <row r="1685" spans="1:5" ht="19.5" customHeight="1">
      <c r="A1685" s="8">
        <v>1683</v>
      </c>
      <c r="B1685" s="8" t="str">
        <f>"21902020071419462227352"</f>
        <v>21902020071419462227352</v>
      </c>
      <c r="C1685" s="8" t="s">
        <v>15</v>
      </c>
      <c r="D1685" s="8" t="str">
        <f>"陈壮键"</f>
        <v>陈壮键</v>
      </c>
      <c r="E1685" s="8" t="str">
        <f>"男"</f>
        <v>男</v>
      </c>
    </row>
    <row r="1686" spans="1:5" ht="19.5" customHeight="1">
      <c r="A1686" s="8">
        <v>1684</v>
      </c>
      <c r="B1686" s="8" t="str">
        <f>"21902020071419512727357"</f>
        <v>21902020071419512727357</v>
      </c>
      <c r="C1686" s="8" t="s">
        <v>15</v>
      </c>
      <c r="D1686" s="8" t="str">
        <f>"范高婷"</f>
        <v>范高婷</v>
      </c>
      <c r="E1686" s="8" t="str">
        <f>"女"</f>
        <v>女</v>
      </c>
    </row>
    <row r="1687" spans="1:5" ht="19.5" customHeight="1">
      <c r="A1687" s="8">
        <v>1685</v>
      </c>
      <c r="B1687" s="8" t="str">
        <f>"21902020071420133927378"</f>
        <v>21902020071420133927378</v>
      </c>
      <c r="C1687" s="8" t="s">
        <v>15</v>
      </c>
      <c r="D1687" s="8" t="str">
        <f>"李丽娜"</f>
        <v>李丽娜</v>
      </c>
      <c r="E1687" s="8" t="str">
        <f>"女"</f>
        <v>女</v>
      </c>
    </row>
    <row r="1688" spans="1:5" ht="19.5" customHeight="1">
      <c r="A1688" s="8">
        <v>1686</v>
      </c>
      <c r="B1688" s="8" t="str">
        <f>"21902020071420154227381"</f>
        <v>21902020071420154227381</v>
      </c>
      <c r="C1688" s="8" t="s">
        <v>15</v>
      </c>
      <c r="D1688" s="8" t="str">
        <f>"彭雪婧"</f>
        <v>彭雪婧</v>
      </c>
      <c r="E1688" s="8" t="str">
        <f>"女"</f>
        <v>女</v>
      </c>
    </row>
    <row r="1689" spans="1:5" ht="19.5" customHeight="1">
      <c r="A1689" s="8">
        <v>1687</v>
      </c>
      <c r="B1689" s="8" t="str">
        <f>"21902020071420281227395"</f>
        <v>21902020071420281227395</v>
      </c>
      <c r="C1689" s="8" t="s">
        <v>15</v>
      </c>
      <c r="D1689" s="8" t="str">
        <f>"陈冬梅"</f>
        <v>陈冬梅</v>
      </c>
      <c r="E1689" s="8" t="str">
        <f>"女"</f>
        <v>女</v>
      </c>
    </row>
    <row r="1690" spans="1:5" ht="19.5" customHeight="1">
      <c r="A1690" s="8">
        <v>1688</v>
      </c>
      <c r="B1690" s="8" t="str">
        <f>"21902020071420461927417"</f>
        <v>21902020071420461927417</v>
      </c>
      <c r="C1690" s="8" t="s">
        <v>15</v>
      </c>
      <c r="D1690" s="8" t="str">
        <f>"王晓晶"</f>
        <v>王晓晶</v>
      </c>
      <c r="E1690" s="8" t="str">
        <f>"女"</f>
        <v>女</v>
      </c>
    </row>
    <row r="1691" spans="1:5" ht="19.5" customHeight="1">
      <c r="A1691" s="8">
        <v>1689</v>
      </c>
      <c r="B1691" s="8" t="str">
        <f>"21902020071420561427425"</f>
        <v>21902020071420561427425</v>
      </c>
      <c r="C1691" s="8" t="s">
        <v>15</v>
      </c>
      <c r="D1691" s="8" t="str">
        <f>"范仙嘉"</f>
        <v>范仙嘉</v>
      </c>
      <c r="E1691" s="8" t="str">
        <f>"男"</f>
        <v>男</v>
      </c>
    </row>
    <row r="1692" spans="1:5" ht="19.5" customHeight="1">
      <c r="A1692" s="8">
        <v>1690</v>
      </c>
      <c r="B1692" s="8" t="str">
        <f>"21902020071421232227469"</f>
        <v>21902020071421232227469</v>
      </c>
      <c r="C1692" s="8" t="s">
        <v>15</v>
      </c>
      <c r="D1692" s="8" t="str">
        <f>"陈开豪"</f>
        <v>陈开豪</v>
      </c>
      <c r="E1692" s="8" t="str">
        <f>"男"</f>
        <v>男</v>
      </c>
    </row>
    <row r="1693" spans="1:5" ht="19.5" customHeight="1">
      <c r="A1693" s="8">
        <v>1691</v>
      </c>
      <c r="B1693" s="8" t="str">
        <f>"21902020071422260927540"</f>
        <v>21902020071422260927540</v>
      </c>
      <c r="C1693" s="8" t="s">
        <v>15</v>
      </c>
      <c r="D1693" s="8" t="str">
        <f>"梁翠寒"</f>
        <v>梁翠寒</v>
      </c>
      <c r="E1693" s="8" t="str">
        <f>"女"</f>
        <v>女</v>
      </c>
    </row>
    <row r="1694" spans="1:5" ht="19.5" customHeight="1">
      <c r="A1694" s="8">
        <v>1692</v>
      </c>
      <c r="B1694" s="8" t="str">
        <f>"21902020071422592327582"</f>
        <v>21902020071422592327582</v>
      </c>
      <c r="C1694" s="8" t="s">
        <v>15</v>
      </c>
      <c r="D1694" s="8" t="str">
        <f>"陈金玲"</f>
        <v>陈金玲</v>
      </c>
      <c r="E1694" s="8" t="str">
        <f>"女"</f>
        <v>女</v>
      </c>
    </row>
    <row r="1695" spans="1:5" ht="19.5" customHeight="1">
      <c r="A1695" s="8">
        <v>1693</v>
      </c>
      <c r="B1695" s="8" t="str">
        <f>"21902020071423452927621"</f>
        <v>21902020071423452927621</v>
      </c>
      <c r="C1695" s="8" t="s">
        <v>15</v>
      </c>
      <c r="D1695" s="8" t="str">
        <f>"李全正"</f>
        <v>李全正</v>
      </c>
      <c r="E1695" s="8" t="str">
        <f>"男"</f>
        <v>男</v>
      </c>
    </row>
    <row r="1696" spans="1:5" ht="19.5" customHeight="1">
      <c r="A1696" s="8">
        <v>1694</v>
      </c>
      <c r="B1696" s="8" t="str">
        <f>"21902020071500104327639"</f>
        <v>21902020071500104327639</v>
      </c>
      <c r="C1696" s="8" t="s">
        <v>15</v>
      </c>
      <c r="D1696" s="8" t="str">
        <f>"何开巍"</f>
        <v>何开巍</v>
      </c>
      <c r="E1696" s="8" t="str">
        <f>"男"</f>
        <v>男</v>
      </c>
    </row>
    <row r="1697" spans="1:5" ht="19.5" customHeight="1">
      <c r="A1697" s="8">
        <v>1695</v>
      </c>
      <c r="B1697" s="8" t="str">
        <f>"21902020071508143727679"</f>
        <v>21902020071508143727679</v>
      </c>
      <c r="C1697" s="8" t="s">
        <v>15</v>
      </c>
      <c r="D1697" s="8" t="str">
        <f>"朱益智"</f>
        <v>朱益智</v>
      </c>
      <c r="E1697" s="8" t="str">
        <f>"男"</f>
        <v>男</v>
      </c>
    </row>
    <row r="1698" spans="1:5" ht="19.5" customHeight="1">
      <c r="A1698" s="8">
        <v>1696</v>
      </c>
      <c r="B1698" s="8" t="str">
        <f>"21902020071509055227741"</f>
        <v>21902020071509055227741</v>
      </c>
      <c r="C1698" s="8" t="s">
        <v>15</v>
      </c>
      <c r="D1698" s="8" t="str">
        <f>"李金玲"</f>
        <v>李金玲</v>
      </c>
      <c r="E1698" s="8" t="str">
        <f>"女"</f>
        <v>女</v>
      </c>
    </row>
    <row r="1699" spans="1:5" ht="19.5" customHeight="1">
      <c r="A1699" s="8">
        <v>1697</v>
      </c>
      <c r="B1699" s="8" t="str">
        <f>"21902020071509194027766"</f>
        <v>21902020071509194027766</v>
      </c>
      <c r="C1699" s="8" t="s">
        <v>15</v>
      </c>
      <c r="D1699" s="8" t="str">
        <f>"陈秋平"</f>
        <v>陈秋平</v>
      </c>
      <c r="E1699" s="8" t="str">
        <f>"女"</f>
        <v>女</v>
      </c>
    </row>
    <row r="1700" spans="1:5" ht="19.5" customHeight="1">
      <c r="A1700" s="8">
        <v>1698</v>
      </c>
      <c r="B1700" s="8" t="str">
        <f>"21902020071509300027782"</f>
        <v>21902020071509300027782</v>
      </c>
      <c r="C1700" s="8" t="s">
        <v>15</v>
      </c>
      <c r="D1700" s="8" t="str">
        <f>"符风卿"</f>
        <v>符风卿</v>
      </c>
      <c r="E1700" s="8" t="str">
        <f>"男"</f>
        <v>男</v>
      </c>
    </row>
    <row r="1701" spans="1:5" ht="19.5" customHeight="1">
      <c r="A1701" s="8">
        <v>1699</v>
      </c>
      <c r="B1701" s="8" t="str">
        <f>"21902020071509325227787"</f>
        <v>21902020071509325227787</v>
      </c>
      <c r="C1701" s="8" t="s">
        <v>15</v>
      </c>
      <c r="D1701" s="8" t="str">
        <f>"吴儒菊"</f>
        <v>吴儒菊</v>
      </c>
      <c r="E1701" s="8" t="str">
        <f>"女"</f>
        <v>女</v>
      </c>
    </row>
    <row r="1702" spans="1:5" ht="19.5" customHeight="1">
      <c r="A1702" s="8">
        <v>1700</v>
      </c>
      <c r="B1702" s="8" t="str">
        <f>"21902020071509425127799"</f>
        <v>21902020071509425127799</v>
      </c>
      <c r="C1702" s="8" t="s">
        <v>15</v>
      </c>
      <c r="D1702" s="8" t="str">
        <f>"唐进妹"</f>
        <v>唐进妹</v>
      </c>
      <c r="E1702" s="8" t="str">
        <f>"女"</f>
        <v>女</v>
      </c>
    </row>
    <row r="1703" spans="1:5" ht="19.5" customHeight="1">
      <c r="A1703" s="8">
        <v>1701</v>
      </c>
      <c r="B1703" s="8" t="str">
        <f>"21902020071510160427850"</f>
        <v>21902020071510160427850</v>
      </c>
      <c r="C1703" s="8" t="s">
        <v>15</v>
      </c>
      <c r="D1703" s="8" t="str">
        <f>"陈厚良"</f>
        <v>陈厚良</v>
      </c>
      <c r="E1703" s="8" t="str">
        <f>"男"</f>
        <v>男</v>
      </c>
    </row>
    <row r="1704" spans="1:5" ht="19.5" customHeight="1">
      <c r="A1704" s="8">
        <v>1702</v>
      </c>
      <c r="B1704" s="8" t="str">
        <f>"21902020071510225827859"</f>
        <v>21902020071510225827859</v>
      </c>
      <c r="C1704" s="8" t="s">
        <v>15</v>
      </c>
      <c r="D1704" s="8" t="str">
        <f>"王雅秀"</f>
        <v>王雅秀</v>
      </c>
      <c r="E1704" s="8" t="str">
        <f>"女"</f>
        <v>女</v>
      </c>
    </row>
    <row r="1705" spans="1:5" ht="19.5" customHeight="1">
      <c r="A1705" s="8">
        <v>1703</v>
      </c>
      <c r="B1705" s="8" t="str">
        <f>"21902020071510263227863"</f>
        <v>21902020071510263227863</v>
      </c>
      <c r="C1705" s="8" t="s">
        <v>15</v>
      </c>
      <c r="D1705" s="8" t="str">
        <f>"郑丹丹"</f>
        <v>郑丹丹</v>
      </c>
      <c r="E1705" s="8" t="str">
        <f>"女"</f>
        <v>女</v>
      </c>
    </row>
    <row r="1706" spans="1:5" ht="19.5" customHeight="1">
      <c r="A1706" s="8">
        <v>1704</v>
      </c>
      <c r="B1706" s="8" t="str">
        <f>"21902020071510465127900"</f>
        <v>21902020071510465127900</v>
      </c>
      <c r="C1706" s="8" t="s">
        <v>15</v>
      </c>
      <c r="D1706" s="8" t="str">
        <f>"刘秋蓉"</f>
        <v>刘秋蓉</v>
      </c>
      <c r="E1706" s="8" t="str">
        <f>"女"</f>
        <v>女</v>
      </c>
    </row>
    <row r="1707" spans="1:5" ht="19.5" customHeight="1">
      <c r="A1707" s="8">
        <v>1705</v>
      </c>
      <c r="B1707" s="8" t="str">
        <f>"21902020071510524127910"</f>
        <v>21902020071510524127910</v>
      </c>
      <c r="C1707" s="8" t="s">
        <v>15</v>
      </c>
      <c r="D1707" s="8" t="str">
        <f>"苏江"</f>
        <v>苏江</v>
      </c>
      <c r="E1707" s="8" t="str">
        <f>"女"</f>
        <v>女</v>
      </c>
    </row>
    <row r="1708" spans="1:5" ht="19.5" customHeight="1">
      <c r="A1708" s="8">
        <v>1706</v>
      </c>
      <c r="B1708" s="8" t="str">
        <f>"21902020071510584027918"</f>
        <v>21902020071510584027918</v>
      </c>
      <c r="C1708" s="8" t="s">
        <v>15</v>
      </c>
      <c r="D1708" s="8" t="str">
        <f>"李健涵"</f>
        <v>李健涵</v>
      </c>
      <c r="E1708" s="8" t="str">
        <f>"男"</f>
        <v>男</v>
      </c>
    </row>
    <row r="1709" spans="1:5" ht="19.5" customHeight="1">
      <c r="A1709" s="8">
        <v>1707</v>
      </c>
      <c r="B1709" s="8" t="str">
        <f>"21902020071511045427929"</f>
        <v>21902020071511045427929</v>
      </c>
      <c r="C1709" s="8" t="s">
        <v>15</v>
      </c>
      <c r="D1709" s="8" t="str">
        <f>"黄汉师"</f>
        <v>黄汉师</v>
      </c>
      <c r="E1709" s="8" t="str">
        <f>"男"</f>
        <v>男</v>
      </c>
    </row>
    <row r="1710" spans="1:5" ht="19.5" customHeight="1">
      <c r="A1710" s="8">
        <v>1708</v>
      </c>
      <c r="B1710" s="8" t="str">
        <f>"21902020071511162627943"</f>
        <v>21902020071511162627943</v>
      </c>
      <c r="C1710" s="8" t="s">
        <v>15</v>
      </c>
      <c r="D1710" s="8" t="str">
        <f>"云艺"</f>
        <v>云艺</v>
      </c>
      <c r="E1710" s="8" t="str">
        <f>"女"</f>
        <v>女</v>
      </c>
    </row>
    <row r="1711" spans="1:5" ht="19.5" customHeight="1">
      <c r="A1711" s="8">
        <v>1709</v>
      </c>
      <c r="B1711" s="8" t="str">
        <f>"21902020071511383027973"</f>
        <v>21902020071511383027973</v>
      </c>
      <c r="C1711" s="8" t="s">
        <v>15</v>
      </c>
      <c r="D1711" s="8" t="str">
        <f>"何壮标"</f>
        <v>何壮标</v>
      </c>
      <c r="E1711" s="8" t="str">
        <f>"男"</f>
        <v>男</v>
      </c>
    </row>
    <row r="1712" spans="1:5" ht="19.5" customHeight="1">
      <c r="A1712" s="8">
        <v>1710</v>
      </c>
      <c r="B1712" s="8" t="str">
        <f>"21902020071511522327993"</f>
        <v>21902020071511522327993</v>
      </c>
      <c r="C1712" s="8" t="s">
        <v>15</v>
      </c>
      <c r="D1712" s="8" t="str">
        <f>"吴小通"</f>
        <v>吴小通</v>
      </c>
      <c r="E1712" s="8" t="str">
        <f>"女"</f>
        <v>女</v>
      </c>
    </row>
    <row r="1713" spans="1:5" ht="19.5" customHeight="1">
      <c r="A1713" s="8">
        <v>1711</v>
      </c>
      <c r="B1713" s="8" t="str">
        <f>"21902020071511525727994"</f>
        <v>21902020071511525727994</v>
      </c>
      <c r="C1713" s="8" t="s">
        <v>15</v>
      </c>
      <c r="D1713" s="8" t="str">
        <f>"吴朝琼"</f>
        <v>吴朝琼</v>
      </c>
      <c r="E1713" s="8" t="str">
        <f>"男"</f>
        <v>男</v>
      </c>
    </row>
    <row r="1714" spans="1:5" ht="19.5" customHeight="1">
      <c r="A1714" s="8">
        <v>1712</v>
      </c>
      <c r="B1714" s="8" t="str">
        <f>"21902020071511564828005"</f>
        <v>21902020071511564828005</v>
      </c>
      <c r="C1714" s="8" t="s">
        <v>15</v>
      </c>
      <c r="D1714" s="8" t="str">
        <f>"羊博升"</f>
        <v>羊博升</v>
      </c>
      <c r="E1714" s="8" t="str">
        <f>"男"</f>
        <v>男</v>
      </c>
    </row>
    <row r="1715" spans="1:5" ht="19.5" customHeight="1">
      <c r="A1715" s="8">
        <v>1713</v>
      </c>
      <c r="B1715" s="8" t="str">
        <f>"21902020071512013328009"</f>
        <v>21902020071512013328009</v>
      </c>
      <c r="C1715" s="8" t="s">
        <v>15</v>
      </c>
      <c r="D1715" s="8" t="str">
        <f>"俞海帆"</f>
        <v>俞海帆</v>
      </c>
      <c r="E1715" s="8" t="str">
        <f>"男"</f>
        <v>男</v>
      </c>
    </row>
    <row r="1716" spans="1:5" ht="19.5" customHeight="1">
      <c r="A1716" s="8">
        <v>1714</v>
      </c>
      <c r="B1716" s="8" t="str">
        <f>"21902020071512021828011"</f>
        <v>21902020071512021828011</v>
      </c>
      <c r="C1716" s="8" t="s">
        <v>15</v>
      </c>
      <c r="D1716" s="8" t="str">
        <f>"陈师"</f>
        <v>陈师</v>
      </c>
      <c r="E1716" s="8" t="str">
        <f>"女"</f>
        <v>女</v>
      </c>
    </row>
    <row r="1717" spans="1:5" ht="19.5" customHeight="1">
      <c r="A1717" s="8">
        <v>1715</v>
      </c>
      <c r="B1717" s="8" t="str">
        <f>"21902020071513210028071"</f>
        <v>21902020071513210028071</v>
      </c>
      <c r="C1717" s="8" t="s">
        <v>15</v>
      </c>
      <c r="D1717" s="8" t="str">
        <f>"高盛凰"</f>
        <v>高盛凰</v>
      </c>
      <c r="E1717" s="8" t="str">
        <f>"男"</f>
        <v>男</v>
      </c>
    </row>
    <row r="1718" spans="1:5" ht="19.5" customHeight="1">
      <c r="A1718" s="8">
        <v>1716</v>
      </c>
      <c r="B1718" s="8" t="str">
        <f>"21902020071513255428074"</f>
        <v>21902020071513255428074</v>
      </c>
      <c r="C1718" s="8" t="s">
        <v>15</v>
      </c>
      <c r="D1718" s="8" t="str">
        <f>"郑进兴"</f>
        <v>郑进兴</v>
      </c>
      <c r="E1718" s="8" t="str">
        <f>"男"</f>
        <v>男</v>
      </c>
    </row>
    <row r="1719" spans="1:5" ht="19.5" customHeight="1">
      <c r="A1719" s="8">
        <v>1717</v>
      </c>
      <c r="B1719" s="8" t="str">
        <f>"21902020071513530528095"</f>
        <v>21902020071513530528095</v>
      </c>
      <c r="C1719" s="8" t="s">
        <v>15</v>
      </c>
      <c r="D1719" s="8" t="str">
        <f>"符贤"</f>
        <v>符贤</v>
      </c>
      <c r="E1719" s="8" t="str">
        <f>"男"</f>
        <v>男</v>
      </c>
    </row>
    <row r="1720" spans="1:5" ht="19.5" customHeight="1">
      <c r="A1720" s="8">
        <v>1718</v>
      </c>
      <c r="B1720" s="8" t="str">
        <f>"21902020071514124728107"</f>
        <v>21902020071514124728107</v>
      </c>
      <c r="C1720" s="8" t="s">
        <v>15</v>
      </c>
      <c r="D1720" s="8" t="str">
        <f>"陈鸿志"</f>
        <v>陈鸿志</v>
      </c>
      <c r="E1720" s="8" t="str">
        <f>"男"</f>
        <v>男</v>
      </c>
    </row>
    <row r="1721" spans="1:5" ht="19.5" customHeight="1">
      <c r="A1721" s="8">
        <v>1719</v>
      </c>
      <c r="B1721" s="8" t="str">
        <f>"21902020071514302628119"</f>
        <v>21902020071514302628119</v>
      </c>
      <c r="C1721" s="8" t="s">
        <v>15</v>
      </c>
      <c r="D1721" s="8" t="str">
        <f>"王建文"</f>
        <v>王建文</v>
      </c>
      <c r="E1721" s="8" t="str">
        <f>"男"</f>
        <v>男</v>
      </c>
    </row>
    <row r="1722" spans="1:5" ht="19.5" customHeight="1">
      <c r="A1722" s="8">
        <v>1720</v>
      </c>
      <c r="B1722" s="8" t="str">
        <f>"21902020071514375828123"</f>
        <v>21902020071514375828123</v>
      </c>
      <c r="C1722" s="8" t="s">
        <v>15</v>
      </c>
      <c r="D1722" s="8" t="str">
        <f>"黎逢彩"</f>
        <v>黎逢彩</v>
      </c>
      <c r="E1722" s="8" t="str">
        <f>"女"</f>
        <v>女</v>
      </c>
    </row>
    <row r="1723" spans="1:5" ht="19.5" customHeight="1">
      <c r="A1723" s="8">
        <v>1721</v>
      </c>
      <c r="B1723" s="8" t="str">
        <f>"21902020071514405428128"</f>
        <v>21902020071514405428128</v>
      </c>
      <c r="C1723" s="8" t="s">
        <v>15</v>
      </c>
      <c r="D1723" s="8" t="str">
        <f>"陈奎"</f>
        <v>陈奎</v>
      </c>
      <c r="E1723" s="8" t="str">
        <f>"女"</f>
        <v>女</v>
      </c>
    </row>
    <row r="1724" spans="1:5" ht="19.5" customHeight="1">
      <c r="A1724" s="8">
        <v>1722</v>
      </c>
      <c r="B1724" s="8" t="str">
        <f>"21902020071514465328135"</f>
        <v>21902020071514465328135</v>
      </c>
      <c r="C1724" s="8" t="s">
        <v>15</v>
      </c>
      <c r="D1724" s="8" t="str">
        <f>"陈超"</f>
        <v>陈超</v>
      </c>
      <c r="E1724" s="8" t="str">
        <f>"男"</f>
        <v>男</v>
      </c>
    </row>
    <row r="1725" spans="1:5" ht="19.5" customHeight="1">
      <c r="A1725" s="8">
        <v>1723</v>
      </c>
      <c r="B1725" s="8" t="str">
        <f>"21902020071514534628143"</f>
        <v>21902020071514534628143</v>
      </c>
      <c r="C1725" s="8" t="s">
        <v>15</v>
      </c>
      <c r="D1725" s="8" t="str">
        <f>"李德怀"</f>
        <v>李德怀</v>
      </c>
      <c r="E1725" s="8" t="str">
        <f>"男"</f>
        <v>男</v>
      </c>
    </row>
    <row r="1726" spans="1:5" ht="19.5" customHeight="1">
      <c r="A1726" s="8">
        <v>1724</v>
      </c>
      <c r="B1726" s="8" t="str">
        <f>"21902020071515004728150"</f>
        <v>21902020071515004728150</v>
      </c>
      <c r="C1726" s="8" t="s">
        <v>15</v>
      </c>
      <c r="D1726" s="8" t="str">
        <f>"张子薇"</f>
        <v>张子薇</v>
      </c>
      <c r="E1726" s="8" t="str">
        <f>"女"</f>
        <v>女</v>
      </c>
    </row>
    <row r="1727" spans="1:5" ht="19.5" customHeight="1">
      <c r="A1727" s="8">
        <v>1725</v>
      </c>
      <c r="B1727" s="8" t="str">
        <f>"21902020071515022228151"</f>
        <v>21902020071515022228151</v>
      </c>
      <c r="C1727" s="8" t="s">
        <v>15</v>
      </c>
      <c r="D1727" s="8" t="str">
        <f>"黄仁司"</f>
        <v>黄仁司</v>
      </c>
      <c r="E1727" s="8" t="str">
        <f>"男"</f>
        <v>男</v>
      </c>
    </row>
    <row r="1728" spans="1:5" ht="19.5" customHeight="1">
      <c r="A1728" s="8">
        <v>1726</v>
      </c>
      <c r="B1728" s="8" t="str">
        <f>"21902020071515050028152"</f>
        <v>21902020071515050028152</v>
      </c>
      <c r="C1728" s="8" t="s">
        <v>15</v>
      </c>
      <c r="D1728" s="8" t="str">
        <f>"李栋"</f>
        <v>李栋</v>
      </c>
      <c r="E1728" s="8" t="str">
        <f>"男"</f>
        <v>男</v>
      </c>
    </row>
    <row r="1729" spans="1:5" ht="19.5" customHeight="1">
      <c r="A1729" s="8">
        <v>1727</v>
      </c>
      <c r="B1729" s="8" t="str">
        <f>"21902020071515054628153"</f>
        <v>21902020071515054628153</v>
      </c>
      <c r="C1729" s="8" t="s">
        <v>15</v>
      </c>
      <c r="D1729" s="8" t="str">
        <f>"许慧"</f>
        <v>许慧</v>
      </c>
      <c r="E1729" s="8" t="str">
        <f>"女"</f>
        <v>女</v>
      </c>
    </row>
    <row r="1730" spans="1:5" ht="19.5" customHeight="1">
      <c r="A1730" s="8">
        <v>1728</v>
      </c>
      <c r="B1730" s="8" t="str">
        <f>"21902020071515243928173"</f>
        <v>21902020071515243928173</v>
      </c>
      <c r="C1730" s="8" t="s">
        <v>15</v>
      </c>
      <c r="D1730" s="8" t="str">
        <f>"何创高"</f>
        <v>何创高</v>
      </c>
      <c r="E1730" s="8" t="str">
        <f>"男"</f>
        <v>男</v>
      </c>
    </row>
    <row r="1731" spans="1:5" ht="19.5" customHeight="1">
      <c r="A1731" s="8">
        <v>1729</v>
      </c>
      <c r="B1731" s="8" t="str">
        <f>"21902020071515283428177"</f>
        <v>21902020071515283428177</v>
      </c>
      <c r="C1731" s="8" t="s">
        <v>15</v>
      </c>
      <c r="D1731" s="8" t="str">
        <f>"符丹婷"</f>
        <v>符丹婷</v>
      </c>
      <c r="E1731" s="8" t="str">
        <f>"女"</f>
        <v>女</v>
      </c>
    </row>
    <row r="1732" spans="1:5" ht="19.5" customHeight="1">
      <c r="A1732" s="8">
        <v>1730</v>
      </c>
      <c r="B1732" s="8" t="str">
        <f>"21902020071515352328185"</f>
        <v>21902020071515352328185</v>
      </c>
      <c r="C1732" s="8" t="s">
        <v>15</v>
      </c>
      <c r="D1732" s="8" t="str">
        <f>"叶贝贝"</f>
        <v>叶贝贝</v>
      </c>
      <c r="E1732" s="8" t="str">
        <f>"女"</f>
        <v>女</v>
      </c>
    </row>
    <row r="1733" spans="1:5" ht="19.5" customHeight="1">
      <c r="A1733" s="8">
        <v>1731</v>
      </c>
      <c r="B1733" s="8" t="str">
        <f>"21902020071515390828192"</f>
        <v>21902020071515390828192</v>
      </c>
      <c r="C1733" s="8" t="s">
        <v>15</v>
      </c>
      <c r="D1733" s="8" t="str">
        <f>"骆品光"</f>
        <v>骆品光</v>
      </c>
      <c r="E1733" s="8" t="str">
        <f>"男"</f>
        <v>男</v>
      </c>
    </row>
    <row r="1734" spans="1:5" ht="19.5" customHeight="1">
      <c r="A1734" s="8">
        <v>1732</v>
      </c>
      <c r="B1734" s="8" t="str">
        <f>"21902020071515413228196"</f>
        <v>21902020071515413228196</v>
      </c>
      <c r="C1734" s="8" t="s">
        <v>15</v>
      </c>
      <c r="D1734" s="8" t="str">
        <f>"郑迪"</f>
        <v>郑迪</v>
      </c>
      <c r="E1734" s="8" t="str">
        <f>"男"</f>
        <v>男</v>
      </c>
    </row>
    <row r="1735" spans="1:5" ht="19.5" customHeight="1">
      <c r="A1735" s="8">
        <v>1733</v>
      </c>
      <c r="B1735" s="8" t="str">
        <f>"21902020071516004428216"</f>
        <v>21902020071516004428216</v>
      </c>
      <c r="C1735" s="8" t="s">
        <v>15</v>
      </c>
      <c r="D1735" s="8" t="str">
        <f>"黎正文"</f>
        <v>黎正文</v>
      </c>
      <c r="E1735" s="8" t="str">
        <f>"男"</f>
        <v>男</v>
      </c>
    </row>
    <row r="1736" spans="1:5" ht="19.5" customHeight="1">
      <c r="A1736" s="8">
        <v>1734</v>
      </c>
      <c r="B1736" s="8" t="str">
        <f>"21902020071516031028222"</f>
        <v>21902020071516031028222</v>
      </c>
      <c r="C1736" s="8" t="s">
        <v>15</v>
      </c>
      <c r="D1736" s="8" t="str">
        <f>"游志仁"</f>
        <v>游志仁</v>
      </c>
      <c r="E1736" s="8" t="str">
        <f>"男"</f>
        <v>男</v>
      </c>
    </row>
    <row r="1737" spans="1:5" ht="19.5" customHeight="1">
      <c r="A1737" s="8">
        <v>1735</v>
      </c>
      <c r="B1737" s="8" t="str">
        <f>"21902020071516031428223"</f>
        <v>21902020071516031428223</v>
      </c>
      <c r="C1737" s="8" t="s">
        <v>15</v>
      </c>
      <c r="D1737" s="8" t="str">
        <f>"阮建娇"</f>
        <v>阮建娇</v>
      </c>
      <c r="E1737" s="8" t="str">
        <f>"女"</f>
        <v>女</v>
      </c>
    </row>
    <row r="1738" spans="1:5" ht="19.5" customHeight="1">
      <c r="A1738" s="8">
        <v>1736</v>
      </c>
      <c r="B1738" s="8" t="str">
        <f>"21902020071516082928229"</f>
        <v>21902020071516082928229</v>
      </c>
      <c r="C1738" s="8" t="s">
        <v>15</v>
      </c>
      <c r="D1738" s="8" t="str">
        <f>"林光文"</f>
        <v>林光文</v>
      </c>
      <c r="E1738" s="8" t="str">
        <f>"男"</f>
        <v>男</v>
      </c>
    </row>
    <row r="1739" spans="1:5" ht="19.5" customHeight="1">
      <c r="A1739" s="8">
        <v>1737</v>
      </c>
      <c r="B1739" s="8" t="str">
        <f>"21902020071516151528240"</f>
        <v>21902020071516151528240</v>
      </c>
      <c r="C1739" s="8" t="s">
        <v>15</v>
      </c>
      <c r="D1739" s="8" t="str">
        <f>"梁玉芬"</f>
        <v>梁玉芬</v>
      </c>
      <c r="E1739" s="8" t="str">
        <f>"女"</f>
        <v>女</v>
      </c>
    </row>
    <row r="1740" spans="1:5" ht="19.5" customHeight="1">
      <c r="A1740" s="8">
        <v>1738</v>
      </c>
      <c r="B1740" s="8" t="str">
        <f>"21902020071516184028244"</f>
        <v>21902020071516184028244</v>
      </c>
      <c r="C1740" s="8" t="s">
        <v>15</v>
      </c>
      <c r="D1740" s="8" t="str">
        <f>"华国武"</f>
        <v>华国武</v>
      </c>
      <c r="E1740" s="8" t="str">
        <f>"男"</f>
        <v>男</v>
      </c>
    </row>
    <row r="1741" spans="1:5" ht="19.5" customHeight="1">
      <c r="A1741" s="8">
        <v>1739</v>
      </c>
      <c r="B1741" s="8" t="str">
        <f>"21902020071516430628270"</f>
        <v>21902020071516430628270</v>
      </c>
      <c r="C1741" s="8" t="s">
        <v>15</v>
      </c>
      <c r="D1741" s="8" t="str">
        <f>"符木膑"</f>
        <v>符木膑</v>
      </c>
      <c r="E1741" s="8" t="str">
        <f>"男"</f>
        <v>男</v>
      </c>
    </row>
    <row r="1742" spans="1:5" ht="19.5" customHeight="1">
      <c r="A1742" s="8">
        <v>1740</v>
      </c>
      <c r="B1742" s="8" t="str">
        <f>"21902020071516451728277"</f>
        <v>21902020071516451728277</v>
      </c>
      <c r="C1742" s="8" t="s">
        <v>15</v>
      </c>
      <c r="D1742" s="8" t="str">
        <f>"罗嘉维"</f>
        <v>罗嘉维</v>
      </c>
      <c r="E1742" s="8" t="str">
        <f>"女"</f>
        <v>女</v>
      </c>
    </row>
    <row r="1743" spans="1:5" ht="19.5" customHeight="1">
      <c r="A1743" s="8">
        <v>1741</v>
      </c>
      <c r="B1743" s="8" t="str">
        <f>"21902020071517095428305"</f>
        <v>21902020071517095428305</v>
      </c>
      <c r="C1743" s="8" t="s">
        <v>15</v>
      </c>
      <c r="D1743" s="8" t="str">
        <f>"陈晓梦"</f>
        <v>陈晓梦</v>
      </c>
      <c r="E1743" s="8" t="str">
        <f>"女"</f>
        <v>女</v>
      </c>
    </row>
    <row r="1744" spans="1:5" ht="19.5" customHeight="1">
      <c r="A1744" s="8">
        <v>1742</v>
      </c>
      <c r="B1744" s="8" t="str">
        <f>"21902020071517144828310"</f>
        <v>21902020071517144828310</v>
      </c>
      <c r="C1744" s="8" t="s">
        <v>15</v>
      </c>
      <c r="D1744" s="8" t="str">
        <f>"钟赞敏"</f>
        <v>钟赞敏</v>
      </c>
      <c r="E1744" s="8" t="str">
        <f>"男"</f>
        <v>男</v>
      </c>
    </row>
    <row r="1745" spans="1:5" ht="19.5" customHeight="1">
      <c r="A1745" s="8">
        <v>1743</v>
      </c>
      <c r="B1745" s="8" t="str">
        <f>"21902020071517572028354"</f>
        <v>21902020071517572028354</v>
      </c>
      <c r="C1745" s="8" t="s">
        <v>15</v>
      </c>
      <c r="D1745" s="8" t="str">
        <f>"刘绍婷"</f>
        <v>刘绍婷</v>
      </c>
      <c r="E1745" s="8" t="str">
        <f>"女"</f>
        <v>女</v>
      </c>
    </row>
    <row r="1746" spans="1:5" ht="19.5" customHeight="1">
      <c r="A1746" s="8">
        <v>1744</v>
      </c>
      <c r="B1746" s="8" t="str">
        <f>"21902020071517591528356"</f>
        <v>21902020071517591528356</v>
      </c>
      <c r="C1746" s="8" t="s">
        <v>15</v>
      </c>
      <c r="D1746" s="8" t="str">
        <f>"符国爱"</f>
        <v>符国爱</v>
      </c>
      <c r="E1746" s="8" t="str">
        <f>"女"</f>
        <v>女</v>
      </c>
    </row>
    <row r="1747" spans="1:5" ht="19.5" customHeight="1">
      <c r="A1747" s="8">
        <v>1745</v>
      </c>
      <c r="B1747" s="8" t="str">
        <f>"21902020071518203528372"</f>
        <v>21902020071518203528372</v>
      </c>
      <c r="C1747" s="8" t="s">
        <v>15</v>
      </c>
      <c r="D1747" s="8" t="str">
        <f>"胡钰苹"</f>
        <v>胡钰苹</v>
      </c>
      <c r="E1747" s="8" t="str">
        <f>"女"</f>
        <v>女</v>
      </c>
    </row>
    <row r="1748" spans="1:5" ht="19.5" customHeight="1">
      <c r="A1748" s="8">
        <v>1746</v>
      </c>
      <c r="B1748" s="8" t="str">
        <f>"21902020071518420828382"</f>
        <v>21902020071518420828382</v>
      </c>
      <c r="C1748" s="8" t="s">
        <v>15</v>
      </c>
      <c r="D1748" s="8" t="str">
        <f>"李丽娟"</f>
        <v>李丽娟</v>
      </c>
      <c r="E1748" s="8" t="str">
        <f>"女"</f>
        <v>女</v>
      </c>
    </row>
    <row r="1749" spans="1:5" ht="19.5" customHeight="1">
      <c r="A1749" s="8">
        <v>1747</v>
      </c>
      <c r="B1749" s="8" t="str">
        <f>"21902020071518424128384"</f>
        <v>21902020071518424128384</v>
      </c>
      <c r="C1749" s="8" t="s">
        <v>15</v>
      </c>
      <c r="D1749" s="8" t="str">
        <f>"万武彬"</f>
        <v>万武彬</v>
      </c>
      <c r="E1749" s="8" t="str">
        <f>"男"</f>
        <v>男</v>
      </c>
    </row>
    <row r="1750" spans="1:5" ht="19.5" customHeight="1">
      <c r="A1750" s="8">
        <v>1748</v>
      </c>
      <c r="B1750" s="8" t="str">
        <f>"21902020071519143828408"</f>
        <v>21902020071519143828408</v>
      </c>
      <c r="C1750" s="8" t="s">
        <v>15</v>
      </c>
      <c r="D1750" s="8" t="str">
        <f>"叶咏琪"</f>
        <v>叶咏琪</v>
      </c>
      <c r="E1750" s="8" t="str">
        <f aca="true" t="shared" si="128" ref="E1750:E1755">"女"</f>
        <v>女</v>
      </c>
    </row>
    <row r="1751" spans="1:5" ht="19.5" customHeight="1">
      <c r="A1751" s="8">
        <v>1749</v>
      </c>
      <c r="B1751" s="8" t="str">
        <f>"21902020071519243228415"</f>
        <v>21902020071519243228415</v>
      </c>
      <c r="C1751" s="8" t="s">
        <v>15</v>
      </c>
      <c r="D1751" s="8" t="str">
        <f>"王巧玲"</f>
        <v>王巧玲</v>
      </c>
      <c r="E1751" s="8" t="str">
        <f t="shared" si="128"/>
        <v>女</v>
      </c>
    </row>
    <row r="1752" spans="1:5" ht="19.5" customHeight="1">
      <c r="A1752" s="8">
        <v>1750</v>
      </c>
      <c r="B1752" s="8" t="str">
        <f>"21902020071519393528427"</f>
        <v>21902020071519393528427</v>
      </c>
      <c r="C1752" s="8" t="s">
        <v>15</v>
      </c>
      <c r="D1752" s="8" t="str">
        <f>"韦姜江"</f>
        <v>韦姜江</v>
      </c>
      <c r="E1752" s="8" t="str">
        <f t="shared" si="128"/>
        <v>女</v>
      </c>
    </row>
    <row r="1753" spans="1:5" ht="19.5" customHeight="1">
      <c r="A1753" s="8">
        <v>1751</v>
      </c>
      <c r="B1753" s="8" t="str">
        <f>"21902020071520283628470"</f>
        <v>21902020071520283628470</v>
      </c>
      <c r="C1753" s="8" t="s">
        <v>15</v>
      </c>
      <c r="D1753" s="8" t="str">
        <f>"符金琳"</f>
        <v>符金琳</v>
      </c>
      <c r="E1753" s="8" t="str">
        <f t="shared" si="128"/>
        <v>女</v>
      </c>
    </row>
    <row r="1754" spans="1:5" ht="19.5" customHeight="1">
      <c r="A1754" s="8">
        <v>1752</v>
      </c>
      <c r="B1754" s="8" t="str">
        <f>"21902020071521184128510"</f>
        <v>21902020071521184128510</v>
      </c>
      <c r="C1754" s="8" t="s">
        <v>15</v>
      </c>
      <c r="D1754" s="8" t="str">
        <f>"叶丽娜"</f>
        <v>叶丽娜</v>
      </c>
      <c r="E1754" s="8" t="str">
        <f t="shared" si="128"/>
        <v>女</v>
      </c>
    </row>
    <row r="1755" spans="1:5" ht="19.5" customHeight="1">
      <c r="A1755" s="8">
        <v>1753</v>
      </c>
      <c r="B1755" s="8" t="str">
        <f>"21902020071521430828529"</f>
        <v>21902020071521430828529</v>
      </c>
      <c r="C1755" s="8" t="s">
        <v>15</v>
      </c>
      <c r="D1755" s="8" t="str">
        <f>"潘燕玲"</f>
        <v>潘燕玲</v>
      </c>
      <c r="E1755" s="8" t="str">
        <f t="shared" si="128"/>
        <v>女</v>
      </c>
    </row>
    <row r="1756" spans="1:5" ht="19.5" customHeight="1">
      <c r="A1756" s="8">
        <v>1754</v>
      </c>
      <c r="B1756" s="8" t="str">
        <f>"21902020071521582228543"</f>
        <v>21902020071521582228543</v>
      </c>
      <c r="C1756" s="8" t="s">
        <v>15</v>
      </c>
      <c r="D1756" s="8" t="str">
        <f>"陈琼亮"</f>
        <v>陈琼亮</v>
      </c>
      <c r="E1756" s="8" t="str">
        <f>"男"</f>
        <v>男</v>
      </c>
    </row>
    <row r="1757" spans="1:5" ht="19.5" customHeight="1">
      <c r="A1757" s="8">
        <v>1755</v>
      </c>
      <c r="B1757" s="8" t="str">
        <f>"21902020071522140428561"</f>
        <v>21902020071522140428561</v>
      </c>
      <c r="C1757" s="8" t="s">
        <v>15</v>
      </c>
      <c r="D1757" s="8" t="str">
        <f>"羊雄强"</f>
        <v>羊雄强</v>
      </c>
      <c r="E1757" s="8" t="str">
        <f>"男"</f>
        <v>男</v>
      </c>
    </row>
    <row r="1758" spans="1:5" ht="19.5" customHeight="1">
      <c r="A1758" s="8">
        <v>1756</v>
      </c>
      <c r="B1758" s="8" t="str">
        <f>"21902020071522414628589"</f>
        <v>21902020071522414628589</v>
      </c>
      <c r="C1758" s="8" t="s">
        <v>15</v>
      </c>
      <c r="D1758" s="8" t="str">
        <f>"邱子峰"</f>
        <v>邱子峰</v>
      </c>
      <c r="E1758" s="8" t="str">
        <f>"男"</f>
        <v>男</v>
      </c>
    </row>
    <row r="1759" spans="1:5" ht="19.5" customHeight="1">
      <c r="A1759" s="8">
        <v>1757</v>
      </c>
      <c r="B1759" s="8" t="str">
        <f>"21902020071522523028596"</f>
        <v>21902020071522523028596</v>
      </c>
      <c r="C1759" s="8" t="s">
        <v>15</v>
      </c>
      <c r="D1759" s="8" t="str">
        <f>"陈威霖"</f>
        <v>陈威霖</v>
      </c>
      <c r="E1759" s="8" t="str">
        <f>"男"</f>
        <v>男</v>
      </c>
    </row>
    <row r="1760" spans="1:5" ht="19.5" customHeight="1">
      <c r="A1760" s="8">
        <v>1758</v>
      </c>
      <c r="B1760" s="8" t="str">
        <f>"21902020071523315628623"</f>
        <v>21902020071523315628623</v>
      </c>
      <c r="C1760" s="8" t="s">
        <v>15</v>
      </c>
      <c r="D1760" s="8" t="str">
        <f>"符娴"</f>
        <v>符娴</v>
      </c>
      <c r="E1760" s="8" t="str">
        <f>"女"</f>
        <v>女</v>
      </c>
    </row>
    <row r="1761" spans="1:5" ht="19.5" customHeight="1">
      <c r="A1761" s="8">
        <v>1759</v>
      </c>
      <c r="B1761" s="8" t="str">
        <f>"21902020071600110628644"</f>
        <v>21902020071600110628644</v>
      </c>
      <c r="C1761" s="8" t="s">
        <v>15</v>
      </c>
      <c r="D1761" s="8" t="str">
        <f>"羊连姣"</f>
        <v>羊连姣</v>
      </c>
      <c r="E1761" s="8" t="str">
        <f>"女"</f>
        <v>女</v>
      </c>
    </row>
    <row r="1762" spans="1:5" ht="19.5" customHeight="1">
      <c r="A1762" s="8">
        <v>1760</v>
      </c>
      <c r="B1762" s="8" t="str">
        <f>"21902020071600154228645"</f>
        <v>21902020071600154228645</v>
      </c>
      <c r="C1762" s="8" t="s">
        <v>15</v>
      </c>
      <c r="D1762" s="8" t="str">
        <f>"胡秀妃"</f>
        <v>胡秀妃</v>
      </c>
      <c r="E1762" s="8" t="str">
        <f>"女"</f>
        <v>女</v>
      </c>
    </row>
    <row r="1763" spans="1:5" ht="19.5" customHeight="1">
      <c r="A1763" s="8">
        <v>1761</v>
      </c>
      <c r="B1763" s="8" t="str">
        <f>"21902020071601091928658"</f>
        <v>21902020071601091928658</v>
      </c>
      <c r="C1763" s="8" t="s">
        <v>15</v>
      </c>
      <c r="D1763" s="8" t="str">
        <f>"黎元珠"</f>
        <v>黎元珠</v>
      </c>
      <c r="E1763" s="8" t="str">
        <f>"男"</f>
        <v>男</v>
      </c>
    </row>
    <row r="1764" spans="1:5" ht="19.5" customHeight="1">
      <c r="A1764" s="8">
        <v>1762</v>
      </c>
      <c r="B1764" s="8" t="str">
        <f>"21902020071607384228667"</f>
        <v>21902020071607384228667</v>
      </c>
      <c r="C1764" s="8" t="s">
        <v>15</v>
      </c>
      <c r="D1764" s="8" t="str">
        <f>"黎成彪"</f>
        <v>黎成彪</v>
      </c>
      <c r="E1764" s="8" t="str">
        <f>"男"</f>
        <v>男</v>
      </c>
    </row>
    <row r="1765" spans="1:5" ht="19.5" customHeight="1">
      <c r="A1765" s="8">
        <v>1763</v>
      </c>
      <c r="B1765" s="8" t="str">
        <f>"21902020071608242428678"</f>
        <v>21902020071608242428678</v>
      </c>
      <c r="C1765" s="8" t="s">
        <v>15</v>
      </c>
      <c r="D1765" s="8" t="str">
        <f>"徐艺哲"</f>
        <v>徐艺哲</v>
      </c>
      <c r="E1765" s="8" t="str">
        <f>"男"</f>
        <v>男</v>
      </c>
    </row>
    <row r="1766" spans="1:5" ht="19.5" customHeight="1">
      <c r="A1766" s="8">
        <v>1764</v>
      </c>
      <c r="B1766" s="8" t="str">
        <f>"21902020071608264628680"</f>
        <v>21902020071608264628680</v>
      </c>
      <c r="C1766" s="8" t="s">
        <v>15</v>
      </c>
      <c r="D1766" s="8" t="str">
        <f>"林猷韵"</f>
        <v>林猷韵</v>
      </c>
      <c r="E1766" s="8" t="str">
        <f>"女"</f>
        <v>女</v>
      </c>
    </row>
    <row r="1767" spans="1:5" ht="19.5" customHeight="1">
      <c r="A1767" s="8">
        <v>1765</v>
      </c>
      <c r="B1767" s="8" t="str">
        <f>"21902020071608513328698"</f>
        <v>21902020071608513328698</v>
      </c>
      <c r="C1767" s="8" t="s">
        <v>15</v>
      </c>
      <c r="D1767" s="8" t="str">
        <f>"羊春燕"</f>
        <v>羊春燕</v>
      </c>
      <c r="E1767" s="8" t="str">
        <f>"女"</f>
        <v>女</v>
      </c>
    </row>
    <row r="1768" spans="1:5" ht="19.5" customHeight="1">
      <c r="A1768" s="8">
        <v>1766</v>
      </c>
      <c r="B1768" s="8" t="str">
        <f>"21902020071611021228806"</f>
        <v>21902020071611021228806</v>
      </c>
      <c r="C1768" s="8" t="s">
        <v>15</v>
      </c>
      <c r="D1768" s="8" t="str">
        <f>"李业升"</f>
        <v>李业升</v>
      </c>
      <c r="E1768" s="8" t="str">
        <f>"男"</f>
        <v>男</v>
      </c>
    </row>
    <row r="1769" spans="1:5" ht="19.5" customHeight="1">
      <c r="A1769" s="8">
        <v>1767</v>
      </c>
      <c r="B1769" s="8" t="str">
        <f>"21902020071611024328807"</f>
        <v>21902020071611024328807</v>
      </c>
      <c r="C1769" s="8" t="s">
        <v>15</v>
      </c>
      <c r="D1769" s="8" t="str">
        <f>"王崇熙"</f>
        <v>王崇熙</v>
      </c>
      <c r="E1769" s="8" t="str">
        <f>"男"</f>
        <v>男</v>
      </c>
    </row>
    <row r="1770" spans="1:5" ht="19.5" customHeight="1">
      <c r="A1770" s="8">
        <v>1768</v>
      </c>
      <c r="B1770" s="8" t="str">
        <f>"21902020071611090128818"</f>
        <v>21902020071611090128818</v>
      </c>
      <c r="C1770" s="8" t="s">
        <v>15</v>
      </c>
      <c r="D1770" s="8" t="str">
        <f>"余滨芝"</f>
        <v>余滨芝</v>
      </c>
      <c r="E1770" s="8" t="str">
        <f>"女"</f>
        <v>女</v>
      </c>
    </row>
    <row r="1771" spans="1:5" ht="19.5" customHeight="1">
      <c r="A1771" s="8">
        <v>1769</v>
      </c>
      <c r="B1771" s="8" t="str">
        <f>"21902020071611184228828"</f>
        <v>21902020071611184228828</v>
      </c>
      <c r="C1771" s="8" t="s">
        <v>15</v>
      </c>
      <c r="D1771" s="8" t="str">
        <f>"陈俊羽"</f>
        <v>陈俊羽</v>
      </c>
      <c r="E1771" s="8" t="str">
        <f>"男"</f>
        <v>男</v>
      </c>
    </row>
    <row r="1772" spans="1:5" ht="19.5" customHeight="1">
      <c r="A1772" s="8">
        <v>1770</v>
      </c>
      <c r="B1772" s="8" t="str">
        <f>"21902020071611342028844"</f>
        <v>21902020071611342028844</v>
      </c>
      <c r="C1772" s="8" t="s">
        <v>15</v>
      </c>
      <c r="D1772" s="8" t="str">
        <f>"叶卓芳"</f>
        <v>叶卓芳</v>
      </c>
      <c r="E1772" s="8" t="str">
        <f>"女"</f>
        <v>女</v>
      </c>
    </row>
    <row r="1773" spans="1:5" ht="19.5" customHeight="1">
      <c r="A1773" s="8">
        <v>1771</v>
      </c>
      <c r="B1773" s="8" t="str">
        <f>"21902020071612193828876"</f>
        <v>21902020071612193828876</v>
      </c>
      <c r="C1773" s="8" t="s">
        <v>15</v>
      </c>
      <c r="D1773" s="8" t="str">
        <f>"梁宝煌"</f>
        <v>梁宝煌</v>
      </c>
      <c r="E1773" s="8" t="str">
        <f>"男"</f>
        <v>男</v>
      </c>
    </row>
    <row r="1774" spans="1:5" ht="19.5" customHeight="1">
      <c r="A1774" s="8">
        <v>1772</v>
      </c>
      <c r="B1774" s="8" t="str">
        <f>"21902020071614153528937"</f>
        <v>21902020071614153528937</v>
      </c>
      <c r="C1774" s="8" t="s">
        <v>15</v>
      </c>
      <c r="D1774" s="8" t="str">
        <f>"李晓婷"</f>
        <v>李晓婷</v>
      </c>
      <c r="E1774" s="8" t="str">
        <f>"女"</f>
        <v>女</v>
      </c>
    </row>
    <row r="1775" spans="1:5" ht="19.5" customHeight="1">
      <c r="A1775" s="8">
        <v>1773</v>
      </c>
      <c r="B1775" s="8" t="str">
        <f>"21902020071614204528939"</f>
        <v>21902020071614204528939</v>
      </c>
      <c r="C1775" s="8" t="s">
        <v>15</v>
      </c>
      <c r="D1775" s="8" t="str">
        <f>"符少柱"</f>
        <v>符少柱</v>
      </c>
      <c r="E1775" s="8" t="str">
        <f>"男"</f>
        <v>男</v>
      </c>
    </row>
    <row r="1776" spans="1:5" ht="19.5" customHeight="1">
      <c r="A1776" s="8">
        <v>1774</v>
      </c>
      <c r="B1776" s="8" t="str">
        <f>"21902020071615302228997"</f>
        <v>21902020071615302228997</v>
      </c>
      <c r="C1776" s="8" t="s">
        <v>15</v>
      </c>
      <c r="D1776" s="8" t="str">
        <f>"李文良"</f>
        <v>李文良</v>
      </c>
      <c r="E1776" s="8" t="str">
        <f>"男"</f>
        <v>男</v>
      </c>
    </row>
    <row r="1777" spans="1:5" ht="19.5" customHeight="1">
      <c r="A1777" s="8">
        <v>1775</v>
      </c>
      <c r="B1777" s="8" t="str">
        <f>"21902020071615372529006"</f>
        <v>21902020071615372529006</v>
      </c>
      <c r="C1777" s="8" t="s">
        <v>15</v>
      </c>
      <c r="D1777" s="8" t="str">
        <f>"王月琼"</f>
        <v>王月琼</v>
      </c>
      <c r="E1777" s="8" t="str">
        <f>"女"</f>
        <v>女</v>
      </c>
    </row>
    <row r="1778" spans="1:5" ht="19.5" customHeight="1">
      <c r="A1778" s="8">
        <v>1776</v>
      </c>
      <c r="B1778" s="8" t="str">
        <f>"21902020071615471229016"</f>
        <v>21902020071615471229016</v>
      </c>
      <c r="C1778" s="8" t="s">
        <v>15</v>
      </c>
      <c r="D1778" s="8" t="str">
        <f>"杨兆环"</f>
        <v>杨兆环</v>
      </c>
      <c r="E1778" s="8" t="str">
        <f>"女"</f>
        <v>女</v>
      </c>
    </row>
    <row r="1779" spans="1:5" ht="19.5" customHeight="1">
      <c r="A1779" s="8">
        <v>1777</v>
      </c>
      <c r="B1779" s="8" t="str">
        <f>"21902020071616101329038"</f>
        <v>21902020071616101329038</v>
      </c>
      <c r="C1779" s="8" t="s">
        <v>15</v>
      </c>
      <c r="D1779" s="8" t="str">
        <f>"谢宗晨"</f>
        <v>谢宗晨</v>
      </c>
      <c r="E1779" s="8" t="str">
        <f>"男"</f>
        <v>男</v>
      </c>
    </row>
    <row r="1780" spans="1:5" ht="19.5" customHeight="1">
      <c r="A1780" s="8">
        <v>1778</v>
      </c>
      <c r="B1780" s="8" t="str">
        <f>"21902020071616212029050"</f>
        <v>21902020071616212029050</v>
      </c>
      <c r="C1780" s="8" t="s">
        <v>15</v>
      </c>
      <c r="D1780" s="8" t="str">
        <f>"吴琼妃"</f>
        <v>吴琼妃</v>
      </c>
      <c r="E1780" s="8" t="str">
        <f>"女"</f>
        <v>女</v>
      </c>
    </row>
    <row r="1781" spans="1:5" ht="19.5" customHeight="1">
      <c r="A1781" s="8">
        <v>1779</v>
      </c>
      <c r="B1781" s="8" t="str">
        <f>"21902020071616274029056"</f>
        <v>21902020071616274029056</v>
      </c>
      <c r="C1781" s="8" t="s">
        <v>15</v>
      </c>
      <c r="D1781" s="8" t="str">
        <f>"李红剑"</f>
        <v>李红剑</v>
      </c>
      <c r="E1781" s="8" t="str">
        <f>"男"</f>
        <v>男</v>
      </c>
    </row>
    <row r="1782" spans="1:5" ht="19.5" customHeight="1">
      <c r="A1782" s="8">
        <v>1780</v>
      </c>
      <c r="B1782" s="8" t="str">
        <f>"21902020071616540729078"</f>
        <v>21902020071616540729078</v>
      </c>
      <c r="C1782" s="8" t="s">
        <v>15</v>
      </c>
      <c r="D1782" s="8" t="str">
        <f>"陈多艳"</f>
        <v>陈多艳</v>
      </c>
      <c r="E1782" s="8" t="str">
        <f>"女"</f>
        <v>女</v>
      </c>
    </row>
    <row r="1783" spans="1:5" ht="19.5" customHeight="1">
      <c r="A1783" s="8">
        <v>1781</v>
      </c>
      <c r="B1783" s="8" t="str">
        <f>"21902020071617121029093"</f>
        <v>21902020071617121029093</v>
      </c>
      <c r="C1783" s="8" t="s">
        <v>15</v>
      </c>
      <c r="D1783" s="8" t="str">
        <f>"黄永霖"</f>
        <v>黄永霖</v>
      </c>
      <c r="E1783" s="8" t="str">
        <f>"男"</f>
        <v>男</v>
      </c>
    </row>
    <row r="1784" spans="1:5" ht="19.5" customHeight="1">
      <c r="A1784" s="8">
        <v>1782</v>
      </c>
      <c r="B1784" s="8" t="str">
        <f>"21902020071619244229166"</f>
        <v>21902020071619244229166</v>
      </c>
      <c r="C1784" s="8" t="s">
        <v>15</v>
      </c>
      <c r="D1784" s="8" t="str">
        <f>"吴浩威"</f>
        <v>吴浩威</v>
      </c>
      <c r="E1784" s="8" t="str">
        <f>"男"</f>
        <v>男</v>
      </c>
    </row>
    <row r="1785" spans="1:5" ht="19.5" customHeight="1">
      <c r="A1785" s="8">
        <v>1783</v>
      </c>
      <c r="B1785" s="8" t="str">
        <f>"21902020071619491129178"</f>
        <v>21902020071619491129178</v>
      </c>
      <c r="C1785" s="8" t="s">
        <v>15</v>
      </c>
      <c r="D1785" s="8" t="str">
        <f>"李觉祥"</f>
        <v>李觉祥</v>
      </c>
      <c r="E1785" s="8" t="str">
        <f>"男"</f>
        <v>男</v>
      </c>
    </row>
    <row r="1786" spans="1:5" ht="19.5" customHeight="1">
      <c r="A1786" s="8">
        <v>1784</v>
      </c>
      <c r="B1786" s="8" t="str">
        <f>"21902020071620295529201"</f>
        <v>21902020071620295529201</v>
      </c>
      <c r="C1786" s="8" t="s">
        <v>15</v>
      </c>
      <c r="D1786" s="8" t="str">
        <f>"黄宁敏"</f>
        <v>黄宁敏</v>
      </c>
      <c r="E1786" s="8" t="str">
        <f>"女"</f>
        <v>女</v>
      </c>
    </row>
    <row r="1787" spans="1:5" ht="19.5" customHeight="1">
      <c r="A1787" s="8">
        <v>1785</v>
      </c>
      <c r="B1787" s="8" t="str">
        <f>"21902020071620553329212"</f>
        <v>21902020071620553329212</v>
      </c>
      <c r="C1787" s="8" t="s">
        <v>15</v>
      </c>
      <c r="D1787" s="8" t="str">
        <f>"钟采"</f>
        <v>钟采</v>
      </c>
      <c r="E1787" s="8" t="str">
        <f>"男"</f>
        <v>男</v>
      </c>
    </row>
    <row r="1788" spans="1:5" ht="19.5" customHeight="1">
      <c r="A1788" s="8">
        <v>1786</v>
      </c>
      <c r="B1788" s="8" t="str">
        <f>"21902020071621062929219"</f>
        <v>21902020071621062929219</v>
      </c>
      <c r="C1788" s="8" t="s">
        <v>15</v>
      </c>
      <c r="D1788" s="8" t="str">
        <f>"符丽丹"</f>
        <v>符丽丹</v>
      </c>
      <c r="E1788" s="8" t="str">
        <f>"女"</f>
        <v>女</v>
      </c>
    </row>
    <row r="1789" spans="1:5" ht="19.5" customHeight="1">
      <c r="A1789" s="8">
        <v>1787</v>
      </c>
      <c r="B1789" s="8" t="str">
        <f>"21902020071621530929243"</f>
        <v>21902020071621530929243</v>
      </c>
      <c r="C1789" s="8" t="s">
        <v>15</v>
      </c>
      <c r="D1789" s="8" t="str">
        <f>"李莉芬"</f>
        <v>李莉芬</v>
      </c>
      <c r="E1789" s="8" t="str">
        <f>"女"</f>
        <v>女</v>
      </c>
    </row>
    <row r="1790" spans="1:5" ht="19.5" customHeight="1">
      <c r="A1790" s="8">
        <v>1788</v>
      </c>
      <c r="B1790" s="8" t="str">
        <f>"21902020071623002829278"</f>
        <v>21902020071623002829278</v>
      </c>
      <c r="C1790" s="8" t="s">
        <v>15</v>
      </c>
      <c r="D1790" s="8" t="str">
        <f>"李二女"</f>
        <v>李二女</v>
      </c>
      <c r="E1790" s="8" t="str">
        <f>"女"</f>
        <v>女</v>
      </c>
    </row>
    <row r="1791" spans="1:5" ht="19.5" customHeight="1">
      <c r="A1791" s="8">
        <v>1789</v>
      </c>
      <c r="B1791" s="8" t="str">
        <f>"21902020071623013529281"</f>
        <v>21902020071623013529281</v>
      </c>
      <c r="C1791" s="8" t="s">
        <v>15</v>
      </c>
      <c r="D1791" s="8" t="str">
        <f>"陈莹"</f>
        <v>陈莹</v>
      </c>
      <c r="E1791" s="8" t="str">
        <f>"女"</f>
        <v>女</v>
      </c>
    </row>
    <row r="1792" spans="1:5" ht="19.5" customHeight="1">
      <c r="A1792" s="8">
        <v>1790</v>
      </c>
      <c r="B1792" s="8" t="str">
        <f>"21902020071700035129303"</f>
        <v>21902020071700035129303</v>
      </c>
      <c r="C1792" s="8" t="s">
        <v>15</v>
      </c>
      <c r="D1792" s="8" t="str">
        <f>"阮荣斌"</f>
        <v>阮荣斌</v>
      </c>
      <c r="E1792" s="8" t="str">
        <f>"男"</f>
        <v>男</v>
      </c>
    </row>
    <row r="1793" spans="1:5" ht="19.5" customHeight="1">
      <c r="A1793" s="8">
        <v>1791</v>
      </c>
      <c r="B1793" s="8" t="str">
        <f>"21902020071708401429335"</f>
        <v>21902020071708401429335</v>
      </c>
      <c r="C1793" s="8" t="s">
        <v>15</v>
      </c>
      <c r="D1793" s="8" t="str">
        <f>"曾兴周"</f>
        <v>曾兴周</v>
      </c>
      <c r="E1793" s="8" t="str">
        <f>"男"</f>
        <v>男</v>
      </c>
    </row>
    <row r="1794" spans="1:5" ht="19.5" customHeight="1">
      <c r="A1794" s="8">
        <v>1792</v>
      </c>
      <c r="B1794" s="8" t="str">
        <f>"21902020071708431329336"</f>
        <v>21902020071708431329336</v>
      </c>
      <c r="C1794" s="8" t="s">
        <v>15</v>
      </c>
      <c r="D1794" s="8" t="str">
        <f>"麦豪壮"</f>
        <v>麦豪壮</v>
      </c>
      <c r="E1794" s="8" t="str">
        <f>"男"</f>
        <v>男</v>
      </c>
    </row>
    <row r="1795" spans="1:5" ht="19.5" customHeight="1">
      <c r="A1795" s="8">
        <v>1793</v>
      </c>
      <c r="B1795" s="8" t="str">
        <f>"21902020071709253229367"</f>
        <v>21902020071709253229367</v>
      </c>
      <c r="C1795" s="8" t="s">
        <v>15</v>
      </c>
      <c r="D1795" s="8" t="str">
        <f>"李永成"</f>
        <v>李永成</v>
      </c>
      <c r="E1795" s="8" t="str">
        <f>"男"</f>
        <v>男</v>
      </c>
    </row>
    <row r="1796" spans="1:5" ht="19.5" customHeight="1">
      <c r="A1796" s="8">
        <v>1794</v>
      </c>
      <c r="B1796" s="8" t="str">
        <f>"21902020071709544829383"</f>
        <v>21902020071709544829383</v>
      </c>
      <c r="C1796" s="8" t="s">
        <v>15</v>
      </c>
      <c r="D1796" s="8" t="str">
        <f>"陈贤"</f>
        <v>陈贤</v>
      </c>
      <c r="E1796" s="8" t="str">
        <f>"男"</f>
        <v>男</v>
      </c>
    </row>
    <row r="1797" spans="1:5" ht="19.5" customHeight="1">
      <c r="A1797" s="8">
        <v>1795</v>
      </c>
      <c r="B1797" s="8" t="str">
        <f>"21902020071710134929397"</f>
        <v>21902020071710134929397</v>
      </c>
      <c r="C1797" s="8" t="s">
        <v>15</v>
      </c>
      <c r="D1797" s="8" t="str">
        <f>"何秀英"</f>
        <v>何秀英</v>
      </c>
      <c r="E1797" s="8" t="str">
        <f>"女"</f>
        <v>女</v>
      </c>
    </row>
    <row r="1798" spans="1:5" ht="19.5" customHeight="1">
      <c r="A1798" s="8">
        <v>1796</v>
      </c>
      <c r="B1798" s="8" t="str">
        <f>"21902020071710291529409"</f>
        <v>21902020071710291529409</v>
      </c>
      <c r="C1798" s="8" t="s">
        <v>15</v>
      </c>
      <c r="D1798" s="8" t="str">
        <f>"羊高传"</f>
        <v>羊高传</v>
      </c>
      <c r="E1798" s="8" t="str">
        <f>"男"</f>
        <v>男</v>
      </c>
    </row>
    <row r="1799" spans="1:5" ht="19.5" customHeight="1">
      <c r="A1799" s="8">
        <v>1797</v>
      </c>
      <c r="B1799" s="8" t="str">
        <f>"21902020071710295529411"</f>
        <v>21902020071710295529411</v>
      </c>
      <c r="C1799" s="8" t="s">
        <v>15</v>
      </c>
      <c r="D1799" s="8" t="str">
        <f>"吴堂慧"</f>
        <v>吴堂慧</v>
      </c>
      <c r="E1799" s="8" t="str">
        <f>"女"</f>
        <v>女</v>
      </c>
    </row>
    <row r="1800" spans="1:5" ht="19.5" customHeight="1">
      <c r="A1800" s="8">
        <v>1798</v>
      </c>
      <c r="B1800" s="8" t="str">
        <f>"21902020071710463929419"</f>
        <v>21902020071710463929419</v>
      </c>
      <c r="C1800" s="8" t="s">
        <v>15</v>
      </c>
      <c r="D1800" s="8" t="str">
        <f>"周美珍"</f>
        <v>周美珍</v>
      </c>
      <c r="E1800" s="8" t="str">
        <f>"女"</f>
        <v>女</v>
      </c>
    </row>
    <row r="1801" spans="1:5" ht="19.5" customHeight="1">
      <c r="A1801" s="8">
        <v>1799</v>
      </c>
      <c r="B1801" s="8" t="str">
        <f>"21902020071710512029423"</f>
        <v>21902020071710512029423</v>
      </c>
      <c r="C1801" s="8" t="s">
        <v>15</v>
      </c>
      <c r="D1801" s="8" t="str">
        <f>"何小月"</f>
        <v>何小月</v>
      </c>
      <c r="E1801" s="8" t="str">
        <f>"女"</f>
        <v>女</v>
      </c>
    </row>
    <row r="1802" spans="1:5" ht="19.5" customHeight="1">
      <c r="A1802" s="8">
        <v>1800</v>
      </c>
      <c r="B1802" s="8" t="str">
        <f>"21902020071710570329428"</f>
        <v>21902020071710570329428</v>
      </c>
      <c r="C1802" s="8" t="s">
        <v>15</v>
      </c>
      <c r="D1802" s="8" t="str">
        <f>"梁艳斌"</f>
        <v>梁艳斌</v>
      </c>
      <c r="E1802" s="8" t="str">
        <f>"女"</f>
        <v>女</v>
      </c>
    </row>
    <row r="1803" spans="1:5" ht="19.5" customHeight="1">
      <c r="A1803" s="8">
        <v>1801</v>
      </c>
      <c r="B1803" s="8" t="str">
        <f>"21902020071710582129432"</f>
        <v>21902020071710582129432</v>
      </c>
      <c r="C1803" s="8" t="s">
        <v>15</v>
      </c>
      <c r="D1803" s="8" t="str">
        <f>"薛显俊"</f>
        <v>薛显俊</v>
      </c>
      <c r="E1803" s="8" t="str">
        <f>"男"</f>
        <v>男</v>
      </c>
    </row>
    <row r="1804" spans="1:5" ht="19.5" customHeight="1">
      <c r="A1804" s="8">
        <v>1802</v>
      </c>
      <c r="B1804" s="8" t="str">
        <f>"21902020071711133629443"</f>
        <v>21902020071711133629443</v>
      </c>
      <c r="C1804" s="8" t="s">
        <v>15</v>
      </c>
      <c r="D1804" s="8" t="str">
        <f>"刘怡钟"</f>
        <v>刘怡钟</v>
      </c>
      <c r="E1804" s="8" t="str">
        <f>"男"</f>
        <v>男</v>
      </c>
    </row>
    <row r="1805" spans="1:5" ht="19.5" customHeight="1">
      <c r="A1805" s="8">
        <v>1803</v>
      </c>
      <c r="B1805" s="8" t="str">
        <f>"21902020071711221929450"</f>
        <v>21902020071711221929450</v>
      </c>
      <c r="C1805" s="8" t="s">
        <v>15</v>
      </c>
      <c r="D1805" s="8" t="str">
        <f>"陈香教"</f>
        <v>陈香教</v>
      </c>
      <c r="E1805" s="8" t="str">
        <f>"女"</f>
        <v>女</v>
      </c>
    </row>
    <row r="1806" spans="1:5" ht="19.5" customHeight="1">
      <c r="A1806" s="8">
        <v>1804</v>
      </c>
      <c r="B1806" s="8" t="str">
        <f>"21902020071711253229452"</f>
        <v>21902020071711253229452</v>
      </c>
      <c r="C1806" s="8" t="s">
        <v>15</v>
      </c>
      <c r="D1806" s="8" t="str">
        <f>"盘悦华"</f>
        <v>盘悦华</v>
      </c>
      <c r="E1806" s="8" t="str">
        <f>"女"</f>
        <v>女</v>
      </c>
    </row>
    <row r="1807" spans="1:5" ht="19.5" customHeight="1">
      <c r="A1807" s="8">
        <v>1805</v>
      </c>
      <c r="B1807" s="8" t="str">
        <f>"21902020071711265729453"</f>
        <v>21902020071711265729453</v>
      </c>
      <c r="C1807" s="8" t="s">
        <v>15</v>
      </c>
      <c r="D1807" s="8" t="str">
        <f>"杨秀国"</f>
        <v>杨秀国</v>
      </c>
      <c r="E1807" s="8" t="str">
        <f>"男"</f>
        <v>男</v>
      </c>
    </row>
    <row r="1808" spans="1:5" ht="19.5" customHeight="1">
      <c r="A1808" s="8">
        <v>1806</v>
      </c>
      <c r="B1808" s="8" t="str">
        <f>"21902020071711442229468"</f>
        <v>21902020071711442229468</v>
      </c>
      <c r="C1808" s="8" t="s">
        <v>15</v>
      </c>
      <c r="D1808" s="8" t="str">
        <f>"符奇玲"</f>
        <v>符奇玲</v>
      </c>
      <c r="E1808" s="8" t="str">
        <f>"女"</f>
        <v>女</v>
      </c>
    </row>
    <row r="1809" spans="1:5" ht="19.5" customHeight="1">
      <c r="A1809" s="8">
        <v>1807</v>
      </c>
      <c r="B1809" s="8" t="str">
        <f>"21902020071711532329475"</f>
        <v>21902020071711532329475</v>
      </c>
      <c r="C1809" s="8" t="s">
        <v>15</v>
      </c>
      <c r="D1809" s="8" t="str">
        <f>"赖宇鑫"</f>
        <v>赖宇鑫</v>
      </c>
      <c r="E1809" s="8" t="str">
        <f>"男"</f>
        <v>男</v>
      </c>
    </row>
    <row r="1810" spans="1:5" ht="19.5" customHeight="1">
      <c r="A1810" s="8">
        <v>1808</v>
      </c>
      <c r="B1810" s="8" t="str">
        <f>"21902020071711583429480"</f>
        <v>21902020071711583429480</v>
      </c>
      <c r="C1810" s="8" t="s">
        <v>15</v>
      </c>
      <c r="D1810" s="8" t="str">
        <f>"谭美英"</f>
        <v>谭美英</v>
      </c>
      <c r="E1810" s="8" t="str">
        <f>"女"</f>
        <v>女</v>
      </c>
    </row>
    <row r="1811" spans="1:5" ht="19.5" customHeight="1">
      <c r="A1811" s="8">
        <v>1809</v>
      </c>
      <c r="B1811" s="8" t="str">
        <f>"21902020071713280629525"</f>
        <v>21902020071713280629525</v>
      </c>
      <c r="C1811" s="8" t="s">
        <v>15</v>
      </c>
      <c r="D1811" s="8" t="str">
        <f>"郑胜蓝"</f>
        <v>郑胜蓝</v>
      </c>
      <c r="E1811" s="8" t="str">
        <f>"女"</f>
        <v>女</v>
      </c>
    </row>
    <row r="1812" spans="1:5" ht="19.5" customHeight="1">
      <c r="A1812" s="8">
        <v>1810</v>
      </c>
      <c r="B1812" s="8" t="str">
        <f>"21902020071714271329548"</f>
        <v>21902020071714271329548</v>
      </c>
      <c r="C1812" s="8" t="s">
        <v>15</v>
      </c>
      <c r="D1812" s="8" t="str">
        <f>"李冬岩"</f>
        <v>李冬岩</v>
      </c>
      <c r="E1812" s="8" t="str">
        <f>"女"</f>
        <v>女</v>
      </c>
    </row>
    <row r="1813" spans="1:5" ht="19.5" customHeight="1">
      <c r="A1813" s="8">
        <v>1811</v>
      </c>
      <c r="B1813" s="8" t="str">
        <f>"21902020071714400429556"</f>
        <v>21902020071714400429556</v>
      </c>
      <c r="C1813" s="8" t="s">
        <v>15</v>
      </c>
      <c r="D1813" s="8" t="str">
        <f>"张大卫"</f>
        <v>张大卫</v>
      </c>
      <c r="E1813" s="8" t="str">
        <f>"男"</f>
        <v>男</v>
      </c>
    </row>
    <row r="1814" spans="1:5" ht="19.5" customHeight="1">
      <c r="A1814" s="8">
        <v>1812</v>
      </c>
      <c r="B1814" s="8" t="str">
        <f>"21902020071715120329580"</f>
        <v>21902020071715120329580</v>
      </c>
      <c r="C1814" s="8" t="s">
        <v>15</v>
      </c>
      <c r="D1814" s="8" t="str">
        <f>"李正隆"</f>
        <v>李正隆</v>
      </c>
      <c r="E1814" s="8" t="str">
        <f>"男"</f>
        <v>男</v>
      </c>
    </row>
    <row r="1815" spans="1:5" ht="19.5" customHeight="1">
      <c r="A1815" s="8">
        <v>1813</v>
      </c>
      <c r="B1815" s="8" t="str">
        <f>"21902020071715325629597"</f>
        <v>21902020071715325629597</v>
      </c>
      <c r="C1815" s="8" t="s">
        <v>15</v>
      </c>
      <c r="D1815" s="8" t="str">
        <f>"陈应宽"</f>
        <v>陈应宽</v>
      </c>
      <c r="E1815" s="8" t="str">
        <f>"女"</f>
        <v>女</v>
      </c>
    </row>
    <row r="1816" spans="1:5" ht="19.5" customHeight="1">
      <c r="A1816" s="8">
        <v>1814</v>
      </c>
      <c r="B1816" s="8" t="str">
        <f>"21902020071715504429613"</f>
        <v>21902020071715504429613</v>
      </c>
      <c r="C1816" s="8" t="s">
        <v>15</v>
      </c>
      <c r="D1816" s="8" t="str">
        <f>"林丹娜"</f>
        <v>林丹娜</v>
      </c>
      <c r="E1816" s="8" t="str">
        <f>"女"</f>
        <v>女</v>
      </c>
    </row>
    <row r="1817" spans="1:5" ht="19.5" customHeight="1">
      <c r="A1817" s="8">
        <v>1815</v>
      </c>
      <c r="B1817" s="8" t="str">
        <f>"21902020071716104929622"</f>
        <v>21902020071716104929622</v>
      </c>
      <c r="C1817" s="8" t="s">
        <v>15</v>
      </c>
      <c r="D1817" s="8" t="str">
        <f>"张俊忠"</f>
        <v>张俊忠</v>
      </c>
      <c r="E1817" s="8" t="str">
        <f>"男"</f>
        <v>男</v>
      </c>
    </row>
    <row r="1818" spans="1:5" ht="19.5" customHeight="1">
      <c r="A1818" s="8">
        <v>1816</v>
      </c>
      <c r="B1818" s="8" t="str">
        <f>"21902020071716241829638"</f>
        <v>21902020071716241829638</v>
      </c>
      <c r="C1818" s="8" t="s">
        <v>15</v>
      </c>
      <c r="D1818" s="8" t="str">
        <f>"林载花"</f>
        <v>林载花</v>
      </c>
      <c r="E1818" s="8" t="str">
        <f>"女"</f>
        <v>女</v>
      </c>
    </row>
    <row r="1819" spans="1:5" ht="19.5" customHeight="1">
      <c r="A1819" s="8">
        <v>1817</v>
      </c>
      <c r="B1819" s="8" t="str">
        <f>"21902020071717193129673"</f>
        <v>21902020071717193129673</v>
      </c>
      <c r="C1819" s="8" t="s">
        <v>15</v>
      </c>
      <c r="D1819" s="8" t="str">
        <f>"潘美志"</f>
        <v>潘美志</v>
      </c>
      <c r="E1819" s="8" t="str">
        <f>"女"</f>
        <v>女</v>
      </c>
    </row>
    <row r="1820" spans="1:5" ht="19.5" customHeight="1">
      <c r="A1820" s="8">
        <v>1818</v>
      </c>
      <c r="B1820" s="8" t="str">
        <f>"21902020071719015729717"</f>
        <v>21902020071719015729717</v>
      </c>
      <c r="C1820" s="8" t="s">
        <v>15</v>
      </c>
      <c r="D1820" s="8" t="str">
        <f>"张春丽"</f>
        <v>张春丽</v>
      </c>
      <c r="E1820" s="8" t="str">
        <f>"女"</f>
        <v>女</v>
      </c>
    </row>
    <row r="1821" spans="1:5" ht="19.5" customHeight="1">
      <c r="A1821" s="8">
        <v>1819</v>
      </c>
      <c r="B1821" s="8" t="str">
        <f>"21902020071722332629782"</f>
        <v>21902020071722332629782</v>
      </c>
      <c r="C1821" s="8" t="s">
        <v>15</v>
      </c>
      <c r="D1821" s="8" t="str">
        <f>"符水秀"</f>
        <v>符水秀</v>
      </c>
      <c r="E1821" s="8" t="str">
        <f>"女"</f>
        <v>女</v>
      </c>
    </row>
    <row r="1822" spans="1:5" ht="19.5" customHeight="1">
      <c r="A1822" s="8">
        <v>1820</v>
      </c>
      <c r="B1822" s="8" t="str">
        <f>"21902020071801141929803"</f>
        <v>21902020071801141929803</v>
      </c>
      <c r="C1822" s="8" t="s">
        <v>15</v>
      </c>
      <c r="D1822" s="8" t="str">
        <f>"谢有优"</f>
        <v>谢有优</v>
      </c>
      <c r="E1822" s="8" t="str">
        <f>"男"</f>
        <v>男</v>
      </c>
    </row>
    <row r="1823" spans="1:5" ht="19.5" customHeight="1">
      <c r="A1823" s="8">
        <v>1821</v>
      </c>
      <c r="B1823" s="8" t="str">
        <f>"21902020071810102429835"</f>
        <v>21902020071810102429835</v>
      </c>
      <c r="C1823" s="8" t="s">
        <v>15</v>
      </c>
      <c r="D1823" s="8" t="str">
        <f>"郭登婉"</f>
        <v>郭登婉</v>
      </c>
      <c r="E1823" s="8" t="str">
        <f>"女"</f>
        <v>女</v>
      </c>
    </row>
    <row r="1824" spans="1:5" ht="19.5" customHeight="1">
      <c r="A1824" s="8">
        <v>1822</v>
      </c>
      <c r="B1824" s="8" t="str">
        <f>"21902020071810520029858"</f>
        <v>21902020071810520029858</v>
      </c>
      <c r="C1824" s="8" t="s">
        <v>15</v>
      </c>
      <c r="D1824" s="8" t="str">
        <f>"王正都"</f>
        <v>王正都</v>
      </c>
      <c r="E1824" s="8" t="str">
        <f>"男"</f>
        <v>男</v>
      </c>
    </row>
    <row r="1825" spans="1:5" ht="19.5" customHeight="1">
      <c r="A1825" s="8">
        <v>1823</v>
      </c>
      <c r="B1825" s="8" t="str">
        <f>"21902020071811240529875"</f>
        <v>21902020071811240529875</v>
      </c>
      <c r="C1825" s="8" t="s">
        <v>15</v>
      </c>
      <c r="D1825" s="8" t="str">
        <f>"符子娟"</f>
        <v>符子娟</v>
      </c>
      <c r="E1825" s="8" t="str">
        <f>"女"</f>
        <v>女</v>
      </c>
    </row>
    <row r="1826" spans="1:5" ht="19.5" customHeight="1">
      <c r="A1826" s="8">
        <v>1824</v>
      </c>
      <c r="B1826" s="8" t="str">
        <f>"21902020071813093829907"</f>
        <v>21902020071813093829907</v>
      </c>
      <c r="C1826" s="8" t="s">
        <v>15</v>
      </c>
      <c r="D1826" s="8" t="str">
        <f>"苏忠堂"</f>
        <v>苏忠堂</v>
      </c>
      <c r="E1826" s="8" t="str">
        <f>"男"</f>
        <v>男</v>
      </c>
    </row>
    <row r="1827" spans="1:5" ht="19.5" customHeight="1">
      <c r="A1827" s="8">
        <v>1825</v>
      </c>
      <c r="B1827" s="8" t="str">
        <f>"21902020071814483629939"</f>
        <v>21902020071814483629939</v>
      </c>
      <c r="C1827" s="8" t="s">
        <v>15</v>
      </c>
      <c r="D1827" s="8" t="str">
        <f>"王小芬"</f>
        <v>王小芬</v>
      </c>
      <c r="E1827" s="8" t="str">
        <f>"女"</f>
        <v>女</v>
      </c>
    </row>
    <row r="1828" spans="1:5" ht="19.5" customHeight="1">
      <c r="A1828" s="8">
        <v>1826</v>
      </c>
      <c r="B1828" s="8" t="str">
        <f>"21902020071815322729950"</f>
        <v>21902020071815322729950</v>
      </c>
      <c r="C1828" s="8" t="s">
        <v>15</v>
      </c>
      <c r="D1828" s="8" t="str">
        <f>"王明威"</f>
        <v>王明威</v>
      </c>
      <c r="E1828" s="8" t="str">
        <f>"男"</f>
        <v>男</v>
      </c>
    </row>
    <row r="1829" spans="1:5" ht="19.5" customHeight="1">
      <c r="A1829" s="8">
        <v>1827</v>
      </c>
      <c r="B1829" s="8" t="str">
        <f>"21902020071816074529967"</f>
        <v>21902020071816074529967</v>
      </c>
      <c r="C1829" s="8" t="s">
        <v>15</v>
      </c>
      <c r="D1829" s="8" t="str">
        <f>"钟垂震"</f>
        <v>钟垂震</v>
      </c>
      <c r="E1829" s="8" t="str">
        <f>"男"</f>
        <v>男</v>
      </c>
    </row>
    <row r="1830" spans="1:5" ht="19.5" customHeight="1">
      <c r="A1830" s="8">
        <v>1828</v>
      </c>
      <c r="B1830" s="8" t="str">
        <f>"21902020071817542729990"</f>
        <v>21902020071817542729990</v>
      </c>
      <c r="C1830" s="8" t="s">
        <v>15</v>
      </c>
      <c r="D1830" s="8" t="str">
        <f>"陈香珠"</f>
        <v>陈香珠</v>
      </c>
      <c r="E1830" s="8" t="str">
        <f>"女"</f>
        <v>女</v>
      </c>
    </row>
    <row r="1831" spans="1:5" ht="19.5" customHeight="1">
      <c r="A1831" s="8">
        <v>1829</v>
      </c>
      <c r="B1831" s="8" t="str">
        <f>"21902020071822291230063"</f>
        <v>21902020071822291230063</v>
      </c>
      <c r="C1831" s="8" t="s">
        <v>15</v>
      </c>
      <c r="D1831" s="8" t="str">
        <f>"陈荣莲"</f>
        <v>陈荣莲</v>
      </c>
      <c r="E1831" s="8" t="str">
        <f>"女"</f>
        <v>女</v>
      </c>
    </row>
    <row r="1832" spans="1:5" ht="19.5" customHeight="1">
      <c r="A1832" s="8">
        <v>1830</v>
      </c>
      <c r="B1832" s="8" t="str">
        <f>"21902020071822350130065"</f>
        <v>21902020071822350130065</v>
      </c>
      <c r="C1832" s="8" t="s">
        <v>15</v>
      </c>
      <c r="D1832" s="8" t="str">
        <f>"陈奕蓉"</f>
        <v>陈奕蓉</v>
      </c>
      <c r="E1832" s="8" t="str">
        <f>"女"</f>
        <v>女</v>
      </c>
    </row>
    <row r="1833" spans="1:5" ht="19.5" customHeight="1">
      <c r="A1833" s="8">
        <v>1831</v>
      </c>
      <c r="B1833" s="8" t="str">
        <f>"21902020071901262630085"</f>
        <v>21902020071901262630085</v>
      </c>
      <c r="C1833" s="8" t="s">
        <v>15</v>
      </c>
      <c r="D1833" s="8" t="str">
        <f>"王钰莹"</f>
        <v>王钰莹</v>
      </c>
      <c r="E1833" s="8" t="str">
        <f>"女"</f>
        <v>女</v>
      </c>
    </row>
    <row r="1834" spans="1:5" ht="19.5" customHeight="1">
      <c r="A1834" s="8">
        <v>1832</v>
      </c>
      <c r="B1834" s="8" t="str">
        <f>"21902020071909583730109"</f>
        <v>21902020071909583730109</v>
      </c>
      <c r="C1834" s="8" t="s">
        <v>15</v>
      </c>
      <c r="D1834" s="8" t="str">
        <f>"郑克刚"</f>
        <v>郑克刚</v>
      </c>
      <c r="E1834" s="8" t="str">
        <f>"男"</f>
        <v>男</v>
      </c>
    </row>
    <row r="1835" spans="1:5" ht="19.5" customHeight="1">
      <c r="A1835" s="8">
        <v>1833</v>
      </c>
      <c r="B1835" s="8" t="str">
        <f>"21902020071910194130114"</f>
        <v>21902020071910194130114</v>
      </c>
      <c r="C1835" s="8" t="s">
        <v>15</v>
      </c>
      <c r="D1835" s="8" t="str">
        <f>"郑少波"</f>
        <v>郑少波</v>
      </c>
      <c r="E1835" s="8" t="str">
        <f>"男"</f>
        <v>男</v>
      </c>
    </row>
    <row r="1836" spans="1:5" ht="19.5" customHeight="1">
      <c r="A1836" s="8">
        <v>1834</v>
      </c>
      <c r="B1836" s="8" t="str">
        <f>"21902020071910231230116"</f>
        <v>21902020071910231230116</v>
      </c>
      <c r="C1836" s="8" t="s">
        <v>15</v>
      </c>
      <c r="D1836" s="8" t="str">
        <f>"叶露"</f>
        <v>叶露</v>
      </c>
      <c r="E1836" s="8" t="str">
        <f>"女"</f>
        <v>女</v>
      </c>
    </row>
    <row r="1837" spans="1:5" ht="19.5" customHeight="1">
      <c r="A1837" s="8">
        <v>1835</v>
      </c>
      <c r="B1837" s="8" t="str">
        <f>"21902020071910490830125"</f>
        <v>21902020071910490830125</v>
      </c>
      <c r="C1837" s="8" t="s">
        <v>15</v>
      </c>
      <c r="D1837" s="8" t="str">
        <f>"黄永健"</f>
        <v>黄永健</v>
      </c>
      <c r="E1837" s="8" t="str">
        <f>"男"</f>
        <v>男</v>
      </c>
    </row>
    <row r="1838" spans="1:5" ht="19.5" customHeight="1">
      <c r="A1838" s="8">
        <v>1836</v>
      </c>
      <c r="B1838" s="8" t="str">
        <f>"21902020071910520530128"</f>
        <v>21902020071910520530128</v>
      </c>
      <c r="C1838" s="8" t="s">
        <v>15</v>
      </c>
      <c r="D1838" s="8" t="str">
        <f>"谢庭立"</f>
        <v>谢庭立</v>
      </c>
      <c r="E1838" s="8" t="str">
        <f>"男"</f>
        <v>男</v>
      </c>
    </row>
    <row r="1839" spans="1:5" ht="19.5" customHeight="1">
      <c r="A1839" s="8">
        <v>1837</v>
      </c>
      <c r="B1839" s="8" t="str">
        <f>"21902020071912371230165"</f>
        <v>21902020071912371230165</v>
      </c>
      <c r="C1839" s="8" t="s">
        <v>15</v>
      </c>
      <c r="D1839" s="8" t="str">
        <f>"严泽生"</f>
        <v>严泽生</v>
      </c>
      <c r="E1839" s="8" t="str">
        <f>"男"</f>
        <v>男</v>
      </c>
    </row>
    <row r="1840" spans="1:5" ht="19.5" customHeight="1">
      <c r="A1840" s="8">
        <v>1838</v>
      </c>
      <c r="B1840" s="8" t="str">
        <f>"21902020071913125330185"</f>
        <v>21902020071913125330185</v>
      </c>
      <c r="C1840" s="8" t="s">
        <v>15</v>
      </c>
      <c r="D1840" s="8" t="str">
        <f>"马雯君"</f>
        <v>马雯君</v>
      </c>
      <c r="E1840" s="8" t="str">
        <f>"女"</f>
        <v>女</v>
      </c>
    </row>
    <row r="1841" spans="1:5" ht="19.5" customHeight="1">
      <c r="A1841" s="8">
        <v>1839</v>
      </c>
      <c r="B1841" s="8" t="str">
        <f>"21902020071914362030212"</f>
        <v>21902020071914362030212</v>
      </c>
      <c r="C1841" s="8" t="s">
        <v>15</v>
      </c>
      <c r="D1841" s="8" t="str">
        <f>"吴梅霜"</f>
        <v>吴梅霜</v>
      </c>
      <c r="E1841" s="8" t="str">
        <f>"女"</f>
        <v>女</v>
      </c>
    </row>
    <row r="1842" spans="1:5" ht="19.5" customHeight="1">
      <c r="A1842" s="8">
        <v>1840</v>
      </c>
      <c r="B1842" s="8" t="str">
        <f>"21902020071916134330243"</f>
        <v>21902020071916134330243</v>
      </c>
      <c r="C1842" s="8" t="s">
        <v>15</v>
      </c>
      <c r="D1842" s="8" t="str">
        <f>"陈青龙"</f>
        <v>陈青龙</v>
      </c>
      <c r="E1842" s="8" t="str">
        <f>"男"</f>
        <v>男</v>
      </c>
    </row>
    <row r="1843" spans="1:5" ht="19.5" customHeight="1">
      <c r="A1843" s="8">
        <v>1841</v>
      </c>
      <c r="B1843" s="8" t="str">
        <f>"21902020071917094030269"</f>
        <v>21902020071917094030269</v>
      </c>
      <c r="C1843" s="8" t="s">
        <v>15</v>
      </c>
      <c r="D1843" s="8" t="str">
        <f>"李秀艾"</f>
        <v>李秀艾</v>
      </c>
      <c r="E1843" s="8" t="str">
        <f>"女"</f>
        <v>女</v>
      </c>
    </row>
    <row r="1844" spans="1:5" ht="19.5" customHeight="1">
      <c r="A1844" s="8">
        <v>1842</v>
      </c>
      <c r="B1844" s="8" t="str">
        <f>"21902020071917373430283"</f>
        <v>21902020071917373430283</v>
      </c>
      <c r="C1844" s="8" t="s">
        <v>15</v>
      </c>
      <c r="D1844" s="8" t="str">
        <f>"陈煜凡"</f>
        <v>陈煜凡</v>
      </c>
      <c r="E1844" s="8" t="str">
        <f>"男"</f>
        <v>男</v>
      </c>
    </row>
    <row r="1845" spans="1:5" ht="19.5" customHeight="1">
      <c r="A1845" s="8">
        <v>1843</v>
      </c>
      <c r="B1845" s="8" t="str">
        <f>"21902020071917435730286"</f>
        <v>21902020071917435730286</v>
      </c>
      <c r="C1845" s="8" t="s">
        <v>15</v>
      </c>
      <c r="D1845" s="8" t="str">
        <f>"邱小玉"</f>
        <v>邱小玉</v>
      </c>
      <c r="E1845" s="8" t="str">
        <f>"女"</f>
        <v>女</v>
      </c>
    </row>
    <row r="1846" spans="1:5" ht="19.5" customHeight="1">
      <c r="A1846" s="8">
        <v>1844</v>
      </c>
      <c r="B1846" s="8" t="str">
        <f>"21902020071918212330298"</f>
        <v>21902020071918212330298</v>
      </c>
      <c r="C1846" s="8" t="s">
        <v>15</v>
      </c>
      <c r="D1846" s="8" t="str">
        <f>"郭红丽"</f>
        <v>郭红丽</v>
      </c>
      <c r="E1846" s="8" t="str">
        <f>"女"</f>
        <v>女</v>
      </c>
    </row>
    <row r="1847" spans="1:5" ht="19.5" customHeight="1">
      <c r="A1847" s="8">
        <v>1845</v>
      </c>
      <c r="B1847" s="8" t="str">
        <f>"21902020071919123330308"</f>
        <v>21902020071919123330308</v>
      </c>
      <c r="C1847" s="8" t="s">
        <v>15</v>
      </c>
      <c r="D1847" s="8" t="str">
        <f>"黄蕾"</f>
        <v>黄蕾</v>
      </c>
      <c r="E1847" s="8" t="str">
        <f>"女"</f>
        <v>女</v>
      </c>
    </row>
    <row r="1848" spans="1:5" ht="19.5" customHeight="1">
      <c r="A1848" s="8">
        <v>1846</v>
      </c>
      <c r="B1848" s="8" t="str">
        <f>"21902020071919464830315"</f>
        <v>21902020071919464830315</v>
      </c>
      <c r="C1848" s="8" t="s">
        <v>15</v>
      </c>
      <c r="D1848" s="8" t="str">
        <f>"黎美愉"</f>
        <v>黎美愉</v>
      </c>
      <c r="E1848" s="8" t="str">
        <f>"女"</f>
        <v>女</v>
      </c>
    </row>
    <row r="1849" spans="1:5" ht="19.5" customHeight="1">
      <c r="A1849" s="8">
        <v>1847</v>
      </c>
      <c r="B1849" s="8" t="str">
        <f>"21902020071920011530322"</f>
        <v>21902020071920011530322</v>
      </c>
      <c r="C1849" s="8" t="s">
        <v>15</v>
      </c>
      <c r="D1849" s="8" t="str">
        <f>"彭联豪"</f>
        <v>彭联豪</v>
      </c>
      <c r="E1849" s="8" t="str">
        <f>"男"</f>
        <v>男</v>
      </c>
    </row>
    <row r="1850" spans="1:5" ht="19.5" customHeight="1">
      <c r="A1850" s="8">
        <v>1848</v>
      </c>
      <c r="B1850" s="8" t="str">
        <f>"21902020071920274930331"</f>
        <v>21902020071920274930331</v>
      </c>
      <c r="C1850" s="8" t="s">
        <v>15</v>
      </c>
      <c r="D1850" s="8" t="str">
        <f>"符滢洁"</f>
        <v>符滢洁</v>
      </c>
      <c r="E1850" s="8" t="str">
        <f>"女"</f>
        <v>女</v>
      </c>
    </row>
    <row r="1851" spans="1:5" ht="19.5" customHeight="1">
      <c r="A1851" s="8">
        <v>1849</v>
      </c>
      <c r="B1851" s="8" t="str">
        <f>"21902020071921023130341"</f>
        <v>21902020071921023130341</v>
      </c>
      <c r="C1851" s="8" t="s">
        <v>15</v>
      </c>
      <c r="D1851" s="8" t="str">
        <f>"林靖程"</f>
        <v>林靖程</v>
      </c>
      <c r="E1851" s="8" t="str">
        <f>"男"</f>
        <v>男</v>
      </c>
    </row>
    <row r="1852" spans="1:5" ht="19.5" customHeight="1">
      <c r="A1852" s="8">
        <v>1850</v>
      </c>
      <c r="B1852" s="8" t="str">
        <f>"21902020071921360430352"</f>
        <v>21902020071921360430352</v>
      </c>
      <c r="C1852" s="8" t="s">
        <v>15</v>
      </c>
      <c r="D1852" s="8" t="str">
        <f>"徐万杰"</f>
        <v>徐万杰</v>
      </c>
      <c r="E1852" s="8" t="str">
        <f>"男"</f>
        <v>男</v>
      </c>
    </row>
    <row r="1853" spans="1:5" ht="19.5" customHeight="1">
      <c r="A1853" s="8">
        <v>1851</v>
      </c>
      <c r="B1853" s="8" t="str">
        <f>"21902020071922380130372"</f>
        <v>21902020071922380130372</v>
      </c>
      <c r="C1853" s="8" t="s">
        <v>15</v>
      </c>
      <c r="D1853" s="8" t="str">
        <f>"黎灼雄"</f>
        <v>黎灼雄</v>
      </c>
      <c r="E1853" s="8" t="str">
        <f>"男"</f>
        <v>男</v>
      </c>
    </row>
    <row r="1854" spans="1:5" ht="19.5" customHeight="1">
      <c r="A1854" s="8">
        <v>1852</v>
      </c>
      <c r="B1854" s="8" t="str">
        <f>"21902020071923195030396"</f>
        <v>21902020071923195030396</v>
      </c>
      <c r="C1854" s="8" t="s">
        <v>15</v>
      </c>
      <c r="D1854" s="8" t="str">
        <f>"陈凤霞"</f>
        <v>陈凤霞</v>
      </c>
      <c r="E1854" s="8" t="str">
        <f>"女"</f>
        <v>女</v>
      </c>
    </row>
    <row r="1855" spans="1:5" ht="19.5" customHeight="1">
      <c r="A1855" s="8">
        <v>1853</v>
      </c>
      <c r="B1855" s="8" t="str">
        <f>"21902020071923243130397"</f>
        <v>21902020071923243130397</v>
      </c>
      <c r="C1855" s="8" t="s">
        <v>15</v>
      </c>
      <c r="D1855" s="8" t="str">
        <f>"王俊雄"</f>
        <v>王俊雄</v>
      </c>
      <c r="E1855" s="8" t="str">
        <f>"男"</f>
        <v>男</v>
      </c>
    </row>
    <row r="1856" spans="1:5" ht="19.5" customHeight="1">
      <c r="A1856" s="8">
        <v>1854</v>
      </c>
      <c r="B1856" s="8" t="str">
        <f>"21902020072001174330419"</f>
        <v>21902020072001174330419</v>
      </c>
      <c r="C1856" s="8" t="s">
        <v>15</v>
      </c>
      <c r="D1856" s="8" t="str">
        <f>"李桃香"</f>
        <v>李桃香</v>
      </c>
      <c r="E1856" s="8" t="str">
        <f>"女"</f>
        <v>女</v>
      </c>
    </row>
    <row r="1857" spans="1:5" ht="19.5" customHeight="1">
      <c r="A1857" s="8">
        <v>1855</v>
      </c>
      <c r="B1857" s="8" t="str">
        <f>"21902020072001420730422"</f>
        <v>21902020072001420730422</v>
      </c>
      <c r="C1857" s="8" t="s">
        <v>15</v>
      </c>
      <c r="D1857" s="8" t="str">
        <f>"李耀家"</f>
        <v>李耀家</v>
      </c>
      <c r="E1857" s="8" t="str">
        <f>"男"</f>
        <v>男</v>
      </c>
    </row>
    <row r="1858" spans="1:5" ht="19.5" customHeight="1">
      <c r="A1858" s="8">
        <v>1856</v>
      </c>
      <c r="B1858" s="8" t="str">
        <f>"21902020072003324330425"</f>
        <v>21902020072003324330425</v>
      </c>
      <c r="C1858" s="8" t="s">
        <v>15</v>
      </c>
      <c r="D1858" s="8" t="str">
        <f>"林莹"</f>
        <v>林莹</v>
      </c>
      <c r="E1858" s="8" t="str">
        <f>"女"</f>
        <v>女</v>
      </c>
    </row>
    <row r="1859" spans="1:5" ht="19.5" customHeight="1">
      <c r="A1859" s="8">
        <v>1857</v>
      </c>
      <c r="B1859" s="8" t="str">
        <f>"21902020072008211130436"</f>
        <v>21902020072008211130436</v>
      </c>
      <c r="C1859" s="8" t="s">
        <v>15</v>
      </c>
      <c r="D1859" s="8" t="str">
        <f>"李梦梅"</f>
        <v>李梦梅</v>
      </c>
      <c r="E1859" s="8" t="str">
        <f>"女"</f>
        <v>女</v>
      </c>
    </row>
    <row r="1860" spans="1:5" ht="19.5" customHeight="1">
      <c r="A1860" s="8">
        <v>1858</v>
      </c>
      <c r="B1860" s="8" t="str">
        <f>"21902020072009081930459"</f>
        <v>21902020072009081930459</v>
      </c>
      <c r="C1860" s="8" t="s">
        <v>15</v>
      </c>
      <c r="D1860" s="8" t="str">
        <f>"陈明"</f>
        <v>陈明</v>
      </c>
      <c r="E1860" s="8" t="str">
        <f>"男"</f>
        <v>男</v>
      </c>
    </row>
    <row r="1861" spans="1:5" ht="19.5" customHeight="1">
      <c r="A1861" s="8">
        <v>1859</v>
      </c>
      <c r="B1861" s="8" t="str">
        <f>"21902020072009082530460"</f>
        <v>21902020072009082530460</v>
      </c>
      <c r="C1861" s="8" t="s">
        <v>15</v>
      </c>
      <c r="D1861" s="8" t="str">
        <f>"吴莲花"</f>
        <v>吴莲花</v>
      </c>
      <c r="E1861" s="8" t="str">
        <f>"女"</f>
        <v>女</v>
      </c>
    </row>
    <row r="1862" spans="1:5" ht="19.5" customHeight="1">
      <c r="A1862" s="8">
        <v>1860</v>
      </c>
      <c r="B1862" s="8" t="str">
        <f>"21902020072010473430539"</f>
        <v>21902020072010473430539</v>
      </c>
      <c r="C1862" s="8" t="s">
        <v>15</v>
      </c>
      <c r="D1862" s="8" t="str">
        <f>"王雪君"</f>
        <v>王雪君</v>
      </c>
      <c r="E1862" s="8" t="str">
        <f>"女"</f>
        <v>女</v>
      </c>
    </row>
    <row r="1863" spans="1:5" ht="19.5" customHeight="1">
      <c r="A1863" s="8">
        <v>1861</v>
      </c>
      <c r="B1863" s="8" t="str">
        <f>"21902020072013052730638"</f>
        <v>21902020072013052730638</v>
      </c>
      <c r="C1863" s="8" t="s">
        <v>15</v>
      </c>
      <c r="D1863" s="8" t="str">
        <f>"吴清玮"</f>
        <v>吴清玮</v>
      </c>
      <c r="E1863" s="8" t="str">
        <f>"男"</f>
        <v>男</v>
      </c>
    </row>
    <row r="1864" spans="1:5" ht="19.5" customHeight="1">
      <c r="A1864" s="8">
        <v>1862</v>
      </c>
      <c r="B1864" s="8" t="str">
        <f>"21902020072013374730661"</f>
        <v>21902020072013374730661</v>
      </c>
      <c r="C1864" s="8" t="s">
        <v>15</v>
      </c>
      <c r="D1864" s="8" t="str">
        <f>"符造妍"</f>
        <v>符造妍</v>
      </c>
      <c r="E1864" s="8" t="str">
        <f aca="true" t="shared" si="129" ref="E1864:E1869">"女"</f>
        <v>女</v>
      </c>
    </row>
    <row r="1865" spans="1:5" ht="19.5" customHeight="1">
      <c r="A1865" s="8">
        <v>1863</v>
      </c>
      <c r="B1865" s="8" t="str">
        <f>"21902020072014011930671"</f>
        <v>21902020072014011930671</v>
      </c>
      <c r="C1865" s="8" t="s">
        <v>15</v>
      </c>
      <c r="D1865" s="8" t="str">
        <f>"吴丽君"</f>
        <v>吴丽君</v>
      </c>
      <c r="E1865" s="8" t="str">
        <f t="shared" si="129"/>
        <v>女</v>
      </c>
    </row>
    <row r="1866" spans="1:5" ht="19.5" customHeight="1">
      <c r="A1866" s="8">
        <v>1864</v>
      </c>
      <c r="B1866" s="8" t="str">
        <f>"21902020072014273530684"</f>
        <v>21902020072014273530684</v>
      </c>
      <c r="C1866" s="8" t="s">
        <v>15</v>
      </c>
      <c r="D1866" s="8" t="str">
        <f>"陈联爱"</f>
        <v>陈联爱</v>
      </c>
      <c r="E1866" s="8" t="str">
        <f t="shared" si="129"/>
        <v>女</v>
      </c>
    </row>
    <row r="1867" spans="1:5" ht="19.5" customHeight="1">
      <c r="A1867" s="8">
        <v>1865</v>
      </c>
      <c r="B1867" s="8" t="str">
        <f>"21902020072014533530705"</f>
        <v>21902020072014533530705</v>
      </c>
      <c r="C1867" s="8" t="s">
        <v>15</v>
      </c>
      <c r="D1867" s="8" t="str">
        <f>"陈淑玲"</f>
        <v>陈淑玲</v>
      </c>
      <c r="E1867" s="8" t="str">
        <f t="shared" si="129"/>
        <v>女</v>
      </c>
    </row>
    <row r="1868" spans="1:5" ht="19.5" customHeight="1">
      <c r="A1868" s="8">
        <v>1866</v>
      </c>
      <c r="B1868" s="8" t="str">
        <f>"21902020072015044030712"</f>
        <v>21902020072015044030712</v>
      </c>
      <c r="C1868" s="8" t="s">
        <v>15</v>
      </c>
      <c r="D1868" s="8" t="str">
        <f>"李正梅"</f>
        <v>李正梅</v>
      </c>
      <c r="E1868" s="8" t="str">
        <f t="shared" si="129"/>
        <v>女</v>
      </c>
    </row>
    <row r="1869" spans="1:5" ht="19.5" customHeight="1">
      <c r="A1869" s="8">
        <v>1867</v>
      </c>
      <c r="B1869" s="8" t="str">
        <f>"21902020072015061430713"</f>
        <v>21902020072015061430713</v>
      </c>
      <c r="C1869" s="8" t="s">
        <v>15</v>
      </c>
      <c r="D1869" s="8" t="str">
        <f>"薛丹志"</f>
        <v>薛丹志</v>
      </c>
      <c r="E1869" s="8" t="str">
        <f t="shared" si="129"/>
        <v>女</v>
      </c>
    </row>
    <row r="1870" spans="1:5" ht="19.5" customHeight="1">
      <c r="A1870" s="8">
        <v>1868</v>
      </c>
      <c r="B1870" s="8" t="str">
        <f>"21902020072015113530721"</f>
        <v>21902020072015113530721</v>
      </c>
      <c r="C1870" s="8" t="s">
        <v>15</v>
      </c>
      <c r="D1870" s="8" t="str">
        <f>"薛显博"</f>
        <v>薛显博</v>
      </c>
      <c r="E1870" s="8" t="str">
        <f aca="true" t="shared" si="130" ref="E1870:E1878">"男"</f>
        <v>男</v>
      </c>
    </row>
    <row r="1871" spans="1:5" ht="19.5" customHeight="1">
      <c r="A1871" s="8">
        <v>1869</v>
      </c>
      <c r="B1871" s="8" t="str">
        <f>"21902020072015341830736"</f>
        <v>21902020072015341830736</v>
      </c>
      <c r="C1871" s="8" t="s">
        <v>15</v>
      </c>
      <c r="D1871" s="8" t="str">
        <f>"薛江鸿"</f>
        <v>薛江鸿</v>
      </c>
      <c r="E1871" s="8" t="str">
        <f t="shared" si="130"/>
        <v>男</v>
      </c>
    </row>
    <row r="1872" spans="1:5" ht="19.5" customHeight="1">
      <c r="A1872" s="8">
        <v>1870</v>
      </c>
      <c r="B1872" s="8" t="str">
        <f>"21902020072015400330741"</f>
        <v>21902020072015400330741</v>
      </c>
      <c r="C1872" s="8" t="s">
        <v>15</v>
      </c>
      <c r="D1872" s="8" t="str">
        <f>"赵仙风"</f>
        <v>赵仙风</v>
      </c>
      <c r="E1872" s="8" t="str">
        <f aca="true" t="shared" si="131" ref="E1872:E1874">"女"</f>
        <v>女</v>
      </c>
    </row>
    <row r="1873" spans="1:5" s="3" customFormat="1" ht="19.5" customHeight="1">
      <c r="A1873" s="8">
        <v>1871</v>
      </c>
      <c r="B1873" s="8" t="str">
        <f>"21902020071409013925937"</f>
        <v>21902020071409013925937</v>
      </c>
      <c r="C1873" s="8" t="s">
        <v>16</v>
      </c>
      <c r="D1873" s="8" t="str">
        <f>"李吉"</f>
        <v>李吉</v>
      </c>
      <c r="E1873" s="8" t="str">
        <f t="shared" si="131"/>
        <v>女</v>
      </c>
    </row>
    <row r="1874" spans="1:5" s="3" customFormat="1" ht="19.5" customHeight="1">
      <c r="A1874" s="8">
        <v>1872</v>
      </c>
      <c r="B1874" s="8" t="str">
        <f>"21902020071409035725957"</f>
        <v>21902020071409035725957</v>
      </c>
      <c r="C1874" s="8" t="s">
        <v>16</v>
      </c>
      <c r="D1874" s="8" t="str">
        <f>"童丽丽"</f>
        <v>童丽丽</v>
      </c>
      <c r="E1874" s="8" t="str">
        <f t="shared" si="131"/>
        <v>女</v>
      </c>
    </row>
    <row r="1875" spans="1:5" s="3" customFormat="1" ht="19.5" customHeight="1">
      <c r="A1875" s="8">
        <v>1873</v>
      </c>
      <c r="B1875" s="8" t="str">
        <f>"21902020071409051325965"</f>
        <v>21902020071409051325965</v>
      </c>
      <c r="C1875" s="8" t="s">
        <v>16</v>
      </c>
      <c r="D1875" s="8" t="str">
        <f>"万江泽"</f>
        <v>万江泽</v>
      </c>
      <c r="E1875" s="8" t="str">
        <f t="shared" si="130"/>
        <v>男</v>
      </c>
    </row>
    <row r="1876" spans="1:5" s="3" customFormat="1" ht="19.5" customHeight="1">
      <c r="A1876" s="8">
        <v>1874</v>
      </c>
      <c r="B1876" s="8" t="str">
        <f>"21902020071409060125970"</f>
        <v>21902020071409060125970</v>
      </c>
      <c r="C1876" s="8" t="s">
        <v>16</v>
      </c>
      <c r="D1876" s="8" t="str">
        <f>"黎明道"</f>
        <v>黎明道</v>
      </c>
      <c r="E1876" s="8" t="str">
        <f t="shared" si="130"/>
        <v>男</v>
      </c>
    </row>
    <row r="1877" spans="1:5" s="3" customFormat="1" ht="19.5" customHeight="1">
      <c r="A1877" s="8">
        <v>1875</v>
      </c>
      <c r="B1877" s="8" t="str">
        <f>"21902020071409114926015"</f>
        <v>21902020071409114926015</v>
      </c>
      <c r="C1877" s="8" t="s">
        <v>16</v>
      </c>
      <c r="D1877" s="8" t="str">
        <f>"羊寿品"</f>
        <v>羊寿品</v>
      </c>
      <c r="E1877" s="8" t="str">
        <f t="shared" si="130"/>
        <v>男</v>
      </c>
    </row>
    <row r="1878" spans="1:5" s="3" customFormat="1" ht="19.5" customHeight="1">
      <c r="A1878" s="8">
        <v>1876</v>
      </c>
      <c r="B1878" s="8" t="str">
        <f>"21902020071409120126016"</f>
        <v>21902020071409120126016</v>
      </c>
      <c r="C1878" s="8" t="s">
        <v>16</v>
      </c>
      <c r="D1878" s="8" t="str">
        <f>"李盛兴"</f>
        <v>李盛兴</v>
      </c>
      <c r="E1878" s="8" t="str">
        <f t="shared" si="130"/>
        <v>男</v>
      </c>
    </row>
    <row r="1879" spans="1:5" s="3" customFormat="1" ht="19.5" customHeight="1">
      <c r="A1879" s="8">
        <v>1877</v>
      </c>
      <c r="B1879" s="8" t="str">
        <f>"21902020071409185426060"</f>
        <v>21902020071409185426060</v>
      </c>
      <c r="C1879" s="8" t="s">
        <v>16</v>
      </c>
      <c r="D1879" s="8" t="str">
        <f>"羊忠金"</f>
        <v>羊忠金</v>
      </c>
      <c r="E1879" s="8" t="str">
        <f aca="true" t="shared" si="132" ref="E1879:E1881">"女"</f>
        <v>女</v>
      </c>
    </row>
    <row r="1880" spans="1:5" s="3" customFormat="1" ht="19.5" customHeight="1">
      <c r="A1880" s="8">
        <v>1878</v>
      </c>
      <c r="B1880" s="8" t="str">
        <f>"21902020071409342226133"</f>
        <v>21902020071409342226133</v>
      </c>
      <c r="C1880" s="8" t="s">
        <v>16</v>
      </c>
      <c r="D1880" s="8" t="str">
        <f>"李丽"</f>
        <v>李丽</v>
      </c>
      <c r="E1880" s="8" t="str">
        <f t="shared" si="132"/>
        <v>女</v>
      </c>
    </row>
    <row r="1881" spans="1:5" s="3" customFormat="1" ht="19.5" customHeight="1">
      <c r="A1881" s="8">
        <v>1879</v>
      </c>
      <c r="B1881" s="8" t="str">
        <f>"21902020071409361626145"</f>
        <v>21902020071409361626145</v>
      </c>
      <c r="C1881" s="8" t="s">
        <v>16</v>
      </c>
      <c r="D1881" s="8" t="str">
        <f>"谢杏楼"</f>
        <v>谢杏楼</v>
      </c>
      <c r="E1881" s="8" t="str">
        <f t="shared" si="132"/>
        <v>女</v>
      </c>
    </row>
    <row r="1882" spans="1:5" s="3" customFormat="1" ht="19.5" customHeight="1">
      <c r="A1882" s="8">
        <v>1880</v>
      </c>
      <c r="B1882" s="8" t="str">
        <f>"21902020071409460026180"</f>
        <v>21902020071409460026180</v>
      </c>
      <c r="C1882" s="8" t="s">
        <v>16</v>
      </c>
      <c r="D1882" s="8" t="str">
        <f>"羊卓高"</f>
        <v>羊卓高</v>
      </c>
      <c r="E1882" s="8" t="str">
        <f aca="true" t="shared" si="133" ref="E1882:E1886">"男"</f>
        <v>男</v>
      </c>
    </row>
    <row r="1883" spans="1:5" s="3" customFormat="1" ht="19.5" customHeight="1">
      <c r="A1883" s="8">
        <v>1881</v>
      </c>
      <c r="B1883" s="8" t="str">
        <f>"21902020071409524026211"</f>
        <v>21902020071409524026211</v>
      </c>
      <c r="C1883" s="8" t="s">
        <v>16</v>
      </c>
      <c r="D1883" s="8" t="str">
        <f>"许荣昌"</f>
        <v>许荣昌</v>
      </c>
      <c r="E1883" s="8" t="str">
        <f t="shared" si="133"/>
        <v>男</v>
      </c>
    </row>
    <row r="1884" spans="1:5" s="3" customFormat="1" ht="19.5" customHeight="1">
      <c r="A1884" s="8">
        <v>1882</v>
      </c>
      <c r="B1884" s="8" t="str">
        <f>"21902020071410080426283"</f>
        <v>21902020071410080426283</v>
      </c>
      <c r="C1884" s="8" t="s">
        <v>16</v>
      </c>
      <c r="D1884" s="8" t="str">
        <f>"许文博"</f>
        <v>许文博</v>
      </c>
      <c r="E1884" s="8" t="str">
        <f t="shared" si="133"/>
        <v>男</v>
      </c>
    </row>
    <row r="1885" spans="1:5" s="3" customFormat="1" ht="19.5" customHeight="1">
      <c r="A1885" s="8">
        <v>1883</v>
      </c>
      <c r="B1885" s="8" t="str">
        <f>"21902020071410095626289"</f>
        <v>21902020071410095626289</v>
      </c>
      <c r="C1885" s="8" t="s">
        <v>16</v>
      </c>
      <c r="D1885" s="8" t="str">
        <f>"薛千涛"</f>
        <v>薛千涛</v>
      </c>
      <c r="E1885" s="8" t="str">
        <f t="shared" si="133"/>
        <v>男</v>
      </c>
    </row>
    <row r="1886" spans="1:5" s="3" customFormat="1" ht="19.5" customHeight="1">
      <c r="A1886" s="8">
        <v>1884</v>
      </c>
      <c r="B1886" s="8" t="str">
        <f>"21902020071410241626350"</f>
        <v>21902020071410241626350</v>
      </c>
      <c r="C1886" s="8" t="s">
        <v>16</v>
      </c>
      <c r="D1886" s="8" t="str">
        <f>"吴书怀"</f>
        <v>吴书怀</v>
      </c>
      <c r="E1886" s="8" t="str">
        <f t="shared" si="133"/>
        <v>男</v>
      </c>
    </row>
    <row r="1887" spans="1:5" s="3" customFormat="1" ht="19.5" customHeight="1">
      <c r="A1887" s="8">
        <v>1885</v>
      </c>
      <c r="B1887" s="8" t="str">
        <f>"21902020071410463826432"</f>
        <v>21902020071410463826432</v>
      </c>
      <c r="C1887" s="8" t="s">
        <v>16</v>
      </c>
      <c r="D1887" s="8" t="str">
        <f>"许惠萍"</f>
        <v>许惠萍</v>
      </c>
      <c r="E1887" s="8" t="str">
        <f aca="true" t="shared" si="134" ref="E1887:E1890">"女"</f>
        <v>女</v>
      </c>
    </row>
    <row r="1888" spans="1:5" s="3" customFormat="1" ht="19.5" customHeight="1">
      <c r="A1888" s="8">
        <v>1886</v>
      </c>
      <c r="B1888" s="8" t="str">
        <f>"21902020071410473626436"</f>
        <v>21902020071410473626436</v>
      </c>
      <c r="C1888" s="8" t="s">
        <v>16</v>
      </c>
      <c r="D1888" s="8" t="str">
        <f>"李才敏"</f>
        <v>李才敏</v>
      </c>
      <c r="E1888" s="8" t="str">
        <f t="shared" si="134"/>
        <v>女</v>
      </c>
    </row>
    <row r="1889" spans="1:5" s="3" customFormat="1" ht="19.5" customHeight="1">
      <c r="A1889" s="8">
        <v>1887</v>
      </c>
      <c r="B1889" s="8" t="str">
        <f>"21902020071410480226439"</f>
        <v>21902020071410480226439</v>
      </c>
      <c r="C1889" s="8" t="s">
        <v>16</v>
      </c>
      <c r="D1889" s="8" t="str">
        <f>"万树梁"</f>
        <v>万树梁</v>
      </c>
      <c r="E1889" s="8" t="str">
        <f aca="true" t="shared" si="135" ref="E1889:E1895">"男"</f>
        <v>男</v>
      </c>
    </row>
    <row r="1890" spans="1:5" s="3" customFormat="1" ht="19.5" customHeight="1">
      <c r="A1890" s="8">
        <v>1888</v>
      </c>
      <c r="B1890" s="8" t="str">
        <f>"21902020071410564826466"</f>
        <v>21902020071410564826466</v>
      </c>
      <c r="C1890" s="8" t="s">
        <v>16</v>
      </c>
      <c r="D1890" s="8" t="str">
        <f>"吴爱玲"</f>
        <v>吴爱玲</v>
      </c>
      <c r="E1890" s="8" t="str">
        <f t="shared" si="134"/>
        <v>女</v>
      </c>
    </row>
    <row r="1891" spans="1:5" s="3" customFormat="1" ht="19.5" customHeight="1">
      <c r="A1891" s="8">
        <v>1889</v>
      </c>
      <c r="B1891" s="8" t="str">
        <f>"21902020071411065726495"</f>
        <v>21902020071411065726495</v>
      </c>
      <c r="C1891" s="8" t="s">
        <v>16</v>
      </c>
      <c r="D1891" s="8" t="str">
        <f>"周应卿"</f>
        <v>周应卿</v>
      </c>
      <c r="E1891" s="8" t="str">
        <f t="shared" si="135"/>
        <v>男</v>
      </c>
    </row>
    <row r="1892" spans="1:5" s="3" customFormat="1" ht="19.5" customHeight="1">
      <c r="A1892" s="8">
        <v>1890</v>
      </c>
      <c r="B1892" s="8" t="str">
        <f>"21902020071411413826581"</f>
        <v>21902020071411413826581</v>
      </c>
      <c r="C1892" s="8" t="s">
        <v>16</v>
      </c>
      <c r="D1892" s="8" t="str">
        <f>"伍佳容"</f>
        <v>伍佳容</v>
      </c>
      <c r="E1892" s="8" t="str">
        <f>"女"</f>
        <v>女</v>
      </c>
    </row>
    <row r="1893" spans="1:5" s="3" customFormat="1" ht="19.5" customHeight="1">
      <c r="A1893" s="8">
        <v>1891</v>
      </c>
      <c r="B1893" s="8" t="str">
        <f>"21902020071411462626601"</f>
        <v>21902020071411462626601</v>
      </c>
      <c r="C1893" s="8" t="s">
        <v>16</v>
      </c>
      <c r="D1893" s="8" t="str">
        <f>"符颖开"</f>
        <v>符颖开</v>
      </c>
      <c r="E1893" s="8" t="str">
        <f t="shared" si="135"/>
        <v>男</v>
      </c>
    </row>
    <row r="1894" spans="1:5" s="3" customFormat="1" ht="19.5" customHeight="1">
      <c r="A1894" s="8">
        <v>1892</v>
      </c>
      <c r="B1894" s="8" t="str">
        <f>"21902020071411480326604"</f>
        <v>21902020071411480326604</v>
      </c>
      <c r="C1894" s="8" t="s">
        <v>16</v>
      </c>
      <c r="D1894" s="8" t="str">
        <f>"邱智全"</f>
        <v>邱智全</v>
      </c>
      <c r="E1894" s="8" t="str">
        <f t="shared" si="135"/>
        <v>男</v>
      </c>
    </row>
    <row r="1895" spans="1:5" s="3" customFormat="1" ht="19.5" customHeight="1">
      <c r="A1895" s="8">
        <v>1893</v>
      </c>
      <c r="B1895" s="8" t="str">
        <f>"21902020071412170426658"</f>
        <v>21902020071412170426658</v>
      </c>
      <c r="C1895" s="8" t="s">
        <v>16</v>
      </c>
      <c r="D1895" s="8" t="str">
        <f>"丁悦乾"</f>
        <v>丁悦乾</v>
      </c>
      <c r="E1895" s="8" t="str">
        <f t="shared" si="135"/>
        <v>男</v>
      </c>
    </row>
    <row r="1896" spans="1:5" s="3" customFormat="1" ht="19.5" customHeight="1">
      <c r="A1896" s="8">
        <v>1894</v>
      </c>
      <c r="B1896" s="8" t="str">
        <f>"21902020071412433526705"</f>
        <v>21902020071412433526705</v>
      </c>
      <c r="C1896" s="8" t="s">
        <v>16</v>
      </c>
      <c r="D1896" s="8" t="str">
        <f>"陈静花"</f>
        <v>陈静花</v>
      </c>
      <c r="E1896" s="8" t="str">
        <f aca="true" t="shared" si="136" ref="E1896:E1902">"女"</f>
        <v>女</v>
      </c>
    </row>
    <row r="1897" spans="1:5" s="3" customFormat="1" ht="19.5" customHeight="1">
      <c r="A1897" s="8">
        <v>1895</v>
      </c>
      <c r="B1897" s="8" t="str">
        <f>"21902020071412502626717"</f>
        <v>21902020071412502626717</v>
      </c>
      <c r="C1897" s="8" t="s">
        <v>16</v>
      </c>
      <c r="D1897" s="8" t="str">
        <f>"万泽良"</f>
        <v>万泽良</v>
      </c>
      <c r="E1897" s="8" t="str">
        <f>"男"</f>
        <v>男</v>
      </c>
    </row>
    <row r="1898" spans="1:5" s="3" customFormat="1" ht="19.5" customHeight="1">
      <c r="A1898" s="8">
        <v>1896</v>
      </c>
      <c r="B1898" s="8" t="str">
        <f>"21902020071413170126763"</f>
        <v>21902020071413170126763</v>
      </c>
      <c r="C1898" s="8" t="s">
        <v>16</v>
      </c>
      <c r="D1898" s="8" t="str">
        <f>"吴启家"</f>
        <v>吴启家</v>
      </c>
      <c r="E1898" s="8" t="str">
        <f>"男"</f>
        <v>男</v>
      </c>
    </row>
    <row r="1899" spans="1:5" s="3" customFormat="1" ht="19.5" customHeight="1">
      <c r="A1899" s="8">
        <v>1897</v>
      </c>
      <c r="B1899" s="8" t="str">
        <f>"21902020071413203726769"</f>
        <v>21902020071413203726769</v>
      </c>
      <c r="C1899" s="8" t="s">
        <v>16</v>
      </c>
      <c r="D1899" s="8" t="str">
        <f>"符志萱"</f>
        <v>符志萱</v>
      </c>
      <c r="E1899" s="8" t="str">
        <f t="shared" si="136"/>
        <v>女</v>
      </c>
    </row>
    <row r="1900" spans="1:5" s="3" customFormat="1" ht="19.5" customHeight="1">
      <c r="A1900" s="8">
        <v>1898</v>
      </c>
      <c r="B1900" s="8" t="str">
        <f>"21902020071413293026781"</f>
        <v>21902020071413293026781</v>
      </c>
      <c r="C1900" s="8" t="s">
        <v>16</v>
      </c>
      <c r="D1900" s="8" t="str">
        <f>"张才欢"</f>
        <v>张才欢</v>
      </c>
      <c r="E1900" s="8" t="str">
        <f t="shared" si="136"/>
        <v>女</v>
      </c>
    </row>
    <row r="1901" spans="1:5" s="3" customFormat="1" ht="19.5" customHeight="1">
      <c r="A1901" s="8">
        <v>1899</v>
      </c>
      <c r="B1901" s="8" t="str">
        <f>"21902020071414274726849"</f>
        <v>21902020071414274726849</v>
      </c>
      <c r="C1901" s="8" t="s">
        <v>16</v>
      </c>
      <c r="D1901" s="8" t="str">
        <f>"叶海燕"</f>
        <v>叶海燕</v>
      </c>
      <c r="E1901" s="8" t="str">
        <f t="shared" si="136"/>
        <v>女</v>
      </c>
    </row>
    <row r="1902" spans="1:5" s="3" customFormat="1" ht="19.5" customHeight="1">
      <c r="A1902" s="8">
        <v>1900</v>
      </c>
      <c r="B1902" s="8" t="str">
        <f>"21902020071415310826960"</f>
        <v>21902020071415310826960</v>
      </c>
      <c r="C1902" s="8" t="s">
        <v>16</v>
      </c>
      <c r="D1902" s="8" t="str">
        <f>"蔡美惠"</f>
        <v>蔡美惠</v>
      </c>
      <c r="E1902" s="8" t="str">
        <f t="shared" si="136"/>
        <v>女</v>
      </c>
    </row>
    <row r="1903" spans="1:5" s="3" customFormat="1" ht="19.5" customHeight="1">
      <c r="A1903" s="8">
        <v>1901</v>
      </c>
      <c r="B1903" s="8" t="str">
        <f>"21902020071415542426993"</f>
        <v>21902020071415542426993</v>
      </c>
      <c r="C1903" s="8" t="s">
        <v>16</v>
      </c>
      <c r="D1903" s="8" t="str">
        <f>"曾焕琅"</f>
        <v>曾焕琅</v>
      </c>
      <c r="E1903" s="8" t="str">
        <f aca="true" t="shared" si="137" ref="E1903:E1906">"男"</f>
        <v>男</v>
      </c>
    </row>
    <row r="1904" spans="1:5" s="3" customFormat="1" ht="19.5" customHeight="1">
      <c r="A1904" s="8">
        <v>1902</v>
      </c>
      <c r="B1904" s="8" t="str">
        <f>"21902020071415583627003"</f>
        <v>21902020071415583627003</v>
      </c>
      <c r="C1904" s="8" t="s">
        <v>16</v>
      </c>
      <c r="D1904" s="8" t="str">
        <f>"蔡冠新"</f>
        <v>蔡冠新</v>
      </c>
      <c r="E1904" s="8" t="str">
        <f t="shared" si="137"/>
        <v>男</v>
      </c>
    </row>
    <row r="1905" spans="1:5" s="3" customFormat="1" ht="19.5" customHeight="1">
      <c r="A1905" s="8">
        <v>1903</v>
      </c>
      <c r="B1905" s="8" t="str">
        <f>"21902020071416144927031"</f>
        <v>21902020071416144927031</v>
      </c>
      <c r="C1905" s="8" t="s">
        <v>16</v>
      </c>
      <c r="D1905" s="8" t="str">
        <f>"林耀棱"</f>
        <v>林耀棱</v>
      </c>
      <c r="E1905" s="8" t="str">
        <f t="shared" si="137"/>
        <v>男</v>
      </c>
    </row>
    <row r="1906" spans="1:5" s="3" customFormat="1" ht="19.5" customHeight="1">
      <c r="A1906" s="8">
        <v>1904</v>
      </c>
      <c r="B1906" s="8" t="str">
        <f>"21902020071416235727052"</f>
        <v>21902020071416235727052</v>
      </c>
      <c r="C1906" s="8" t="s">
        <v>16</v>
      </c>
      <c r="D1906" s="8" t="str">
        <f>"刘世波"</f>
        <v>刘世波</v>
      </c>
      <c r="E1906" s="8" t="str">
        <f t="shared" si="137"/>
        <v>男</v>
      </c>
    </row>
    <row r="1907" spans="1:5" s="3" customFormat="1" ht="19.5" customHeight="1">
      <c r="A1907" s="8">
        <v>1905</v>
      </c>
      <c r="B1907" s="8" t="str">
        <f>"21902020071416374427082"</f>
        <v>21902020071416374427082</v>
      </c>
      <c r="C1907" s="8" t="s">
        <v>16</v>
      </c>
      <c r="D1907" s="8" t="str">
        <f>"林青"</f>
        <v>林青</v>
      </c>
      <c r="E1907" s="8" t="str">
        <f>"女"</f>
        <v>女</v>
      </c>
    </row>
    <row r="1908" spans="1:5" s="3" customFormat="1" ht="19.5" customHeight="1">
      <c r="A1908" s="8">
        <v>1906</v>
      </c>
      <c r="B1908" s="8" t="str">
        <f>"21902020071417122027146"</f>
        <v>21902020071417122027146</v>
      </c>
      <c r="C1908" s="8" t="s">
        <v>16</v>
      </c>
      <c r="D1908" s="8" t="str">
        <f>"符博霞"</f>
        <v>符博霞</v>
      </c>
      <c r="E1908" s="8" t="str">
        <f>"女"</f>
        <v>女</v>
      </c>
    </row>
    <row r="1909" spans="1:5" s="3" customFormat="1" ht="19.5" customHeight="1">
      <c r="A1909" s="8">
        <v>1907</v>
      </c>
      <c r="B1909" s="8" t="str">
        <f>"21902020071417555427210"</f>
        <v>21902020071417555427210</v>
      </c>
      <c r="C1909" s="8" t="s">
        <v>16</v>
      </c>
      <c r="D1909" s="8" t="str">
        <f>"汤忠凯"</f>
        <v>汤忠凯</v>
      </c>
      <c r="E1909" s="8" t="str">
        <f aca="true" t="shared" si="138" ref="E1909:E1912">"男"</f>
        <v>男</v>
      </c>
    </row>
    <row r="1910" spans="1:5" s="3" customFormat="1" ht="19.5" customHeight="1">
      <c r="A1910" s="8">
        <v>1908</v>
      </c>
      <c r="B1910" s="8" t="str">
        <f>"21902020071418113727227"</f>
        <v>21902020071418113727227</v>
      </c>
      <c r="C1910" s="8" t="s">
        <v>16</v>
      </c>
      <c r="D1910" s="8" t="str">
        <f>"符位廷"</f>
        <v>符位廷</v>
      </c>
      <c r="E1910" s="8" t="str">
        <f t="shared" si="138"/>
        <v>男</v>
      </c>
    </row>
    <row r="1911" spans="1:5" s="3" customFormat="1" ht="19.5" customHeight="1">
      <c r="A1911" s="8">
        <v>1909</v>
      </c>
      <c r="B1911" s="8" t="str">
        <f>"21902020071418462127276"</f>
        <v>21902020071418462127276</v>
      </c>
      <c r="C1911" s="8" t="s">
        <v>16</v>
      </c>
      <c r="D1911" s="8" t="str">
        <f>"黎于伟"</f>
        <v>黎于伟</v>
      </c>
      <c r="E1911" s="8" t="str">
        <f t="shared" si="138"/>
        <v>男</v>
      </c>
    </row>
    <row r="1912" spans="1:5" s="3" customFormat="1" ht="19.5" customHeight="1">
      <c r="A1912" s="8">
        <v>1910</v>
      </c>
      <c r="B1912" s="8" t="str">
        <f>"21902020071418580927291"</f>
        <v>21902020071418580927291</v>
      </c>
      <c r="C1912" s="8" t="s">
        <v>16</v>
      </c>
      <c r="D1912" s="8" t="str">
        <f>"羊德尚"</f>
        <v>羊德尚</v>
      </c>
      <c r="E1912" s="8" t="str">
        <f t="shared" si="138"/>
        <v>男</v>
      </c>
    </row>
    <row r="1913" spans="1:5" s="3" customFormat="1" ht="19.5" customHeight="1">
      <c r="A1913" s="8">
        <v>1911</v>
      </c>
      <c r="B1913" s="8" t="str">
        <f>"21902020071420042927368"</f>
        <v>21902020071420042927368</v>
      </c>
      <c r="C1913" s="8" t="s">
        <v>16</v>
      </c>
      <c r="D1913" s="8" t="str">
        <f>"王秀玲"</f>
        <v>王秀玲</v>
      </c>
      <c r="E1913" s="8" t="str">
        <f>"女"</f>
        <v>女</v>
      </c>
    </row>
    <row r="1914" spans="1:5" s="3" customFormat="1" ht="19.5" customHeight="1">
      <c r="A1914" s="8">
        <v>1912</v>
      </c>
      <c r="B1914" s="8" t="str">
        <f>"21902020071420394427407"</f>
        <v>21902020071420394427407</v>
      </c>
      <c r="C1914" s="8" t="s">
        <v>16</v>
      </c>
      <c r="D1914" s="8" t="str">
        <f>"郭益强"</f>
        <v>郭益强</v>
      </c>
      <c r="E1914" s="8" t="str">
        <f aca="true" t="shared" si="139" ref="E1914:E1918">"男"</f>
        <v>男</v>
      </c>
    </row>
    <row r="1915" spans="1:5" s="3" customFormat="1" ht="19.5" customHeight="1">
      <c r="A1915" s="8">
        <v>1913</v>
      </c>
      <c r="B1915" s="8" t="str">
        <f>"21902020071420593227432"</f>
        <v>21902020071420593227432</v>
      </c>
      <c r="C1915" s="8" t="s">
        <v>16</v>
      </c>
      <c r="D1915" s="8" t="str">
        <f>"王三女"</f>
        <v>王三女</v>
      </c>
      <c r="E1915" s="8" t="str">
        <f aca="true" t="shared" si="140" ref="E1915:E1920">"女"</f>
        <v>女</v>
      </c>
    </row>
    <row r="1916" spans="1:5" s="3" customFormat="1" ht="19.5" customHeight="1">
      <c r="A1916" s="8">
        <v>1914</v>
      </c>
      <c r="B1916" s="8" t="str">
        <f>"21902020071421062427444"</f>
        <v>21902020071421062427444</v>
      </c>
      <c r="C1916" s="8" t="s">
        <v>16</v>
      </c>
      <c r="D1916" s="8" t="str">
        <f>"张秀庭"</f>
        <v>张秀庭</v>
      </c>
      <c r="E1916" s="8" t="str">
        <f t="shared" si="139"/>
        <v>男</v>
      </c>
    </row>
    <row r="1917" spans="1:5" s="3" customFormat="1" ht="19.5" customHeight="1">
      <c r="A1917" s="8">
        <v>1915</v>
      </c>
      <c r="B1917" s="8" t="str">
        <f>"21902020071421062627445"</f>
        <v>21902020071421062627445</v>
      </c>
      <c r="C1917" s="8" t="s">
        <v>16</v>
      </c>
      <c r="D1917" s="8" t="str">
        <f>"李政彬"</f>
        <v>李政彬</v>
      </c>
      <c r="E1917" s="8" t="str">
        <f t="shared" si="139"/>
        <v>男</v>
      </c>
    </row>
    <row r="1918" spans="1:5" s="3" customFormat="1" ht="19.5" customHeight="1">
      <c r="A1918" s="8">
        <v>1916</v>
      </c>
      <c r="B1918" s="8" t="str">
        <f>"21902020071422164627523"</f>
        <v>21902020071422164627523</v>
      </c>
      <c r="C1918" s="8" t="s">
        <v>16</v>
      </c>
      <c r="D1918" s="8" t="str">
        <f>"王广怀"</f>
        <v>王广怀</v>
      </c>
      <c r="E1918" s="8" t="str">
        <f t="shared" si="139"/>
        <v>男</v>
      </c>
    </row>
    <row r="1919" spans="1:5" s="3" customFormat="1" ht="19.5" customHeight="1">
      <c r="A1919" s="8">
        <v>1917</v>
      </c>
      <c r="B1919" s="8" t="str">
        <f>"21902020071422301627546"</f>
        <v>21902020071422301627546</v>
      </c>
      <c r="C1919" s="8" t="s">
        <v>16</v>
      </c>
      <c r="D1919" s="8" t="str">
        <f>"梁秀柳"</f>
        <v>梁秀柳</v>
      </c>
      <c r="E1919" s="8" t="str">
        <f t="shared" si="140"/>
        <v>女</v>
      </c>
    </row>
    <row r="1920" spans="1:5" s="3" customFormat="1" ht="19.5" customHeight="1">
      <c r="A1920" s="8">
        <v>1918</v>
      </c>
      <c r="B1920" s="8" t="str">
        <f>"21902020071422434227563"</f>
        <v>21902020071422434227563</v>
      </c>
      <c r="C1920" s="8" t="s">
        <v>16</v>
      </c>
      <c r="D1920" s="8" t="str">
        <f>"关海萍"</f>
        <v>关海萍</v>
      </c>
      <c r="E1920" s="8" t="str">
        <f t="shared" si="140"/>
        <v>女</v>
      </c>
    </row>
    <row r="1921" spans="1:5" s="3" customFormat="1" ht="19.5" customHeight="1">
      <c r="A1921" s="8">
        <v>1919</v>
      </c>
      <c r="B1921" s="8" t="str">
        <f>"21902020071423030527588"</f>
        <v>21902020071423030527588</v>
      </c>
      <c r="C1921" s="8" t="s">
        <v>16</v>
      </c>
      <c r="D1921" s="8" t="str">
        <f>"黎天合"</f>
        <v>黎天合</v>
      </c>
      <c r="E1921" s="8" t="str">
        <f aca="true" t="shared" si="141" ref="E1921:E1924">"男"</f>
        <v>男</v>
      </c>
    </row>
    <row r="1922" spans="1:5" s="3" customFormat="1" ht="19.5" customHeight="1">
      <c r="A1922" s="8">
        <v>1920</v>
      </c>
      <c r="B1922" s="8" t="str">
        <f>"21902020071423041827590"</f>
        <v>21902020071423041827590</v>
      </c>
      <c r="C1922" s="8" t="s">
        <v>16</v>
      </c>
      <c r="D1922" s="8" t="str">
        <f>"邱鼎朝"</f>
        <v>邱鼎朝</v>
      </c>
      <c r="E1922" s="8" t="str">
        <f t="shared" si="141"/>
        <v>男</v>
      </c>
    </row>
    <row r="1923" spans="1:5" s="3" customFormat="1" ht="19.5" customHeight="1">
      <c r="A1923" s="8">
        <v>1921</v>
      </c>
      <c r="B1923" s="8" t="str">
        <f>"21902020071423363527617"</f>
        <v>21902020071423363527617</v>
      </c>
      <c r="C1923" s="8" t="s">
        <v>16</v>
      </c>
      <c r="D1923" s="8" t="str">
        <f>"李贤忠"</f>
        <v>李贤忠</v>
      </c>
      <c r="E1923" s="8" t="str">
        <f t="shared" si="141"/>
        <v>男</v>
      </c>
    </row>
    <row r="1924" spans="1:5" s="3" customFormat="1" ht="19.5" customHeight="1">
      <c r="A1924" s="8">
        <v>1922</v>
      </c>
      <c r="B1924" s="8" t="str">
        <f>"21902020071500093527638"</f>
        <v>21902020071500093527638</v>
      </c>
      <c r="C1924" s="8" t="s">
        <v>16</v>
      </c>
      <c r="D1924" s="8" t="str">
        <f>"谢明刚"</f>
        <v>谢明刚</v>
      </c>
      <c r="E1924" s="8" t="str">
        <f t="shared" si="141"/>
        <v>男</v>
      </c>
    </row>
    <row r="1925" spans="1:5" s="3" customFormat="1" ht="19.5" customHeight="1">
      <c r="A1925" s="8">
        <v>1923</v>
      </c>
      <c r="B1925" s="8" t="str">
        <f>"21902020071509085227751"</f>
        <v>21902020071509085227751</v>
      </c>
      <c r="C1925" s="8" t="s">
        <v>16</v>
      </c>
      <c r="D1925" s="8" t="str">
        <f>"文梅霜"</f>
        <v>文梅霜</v>
      </c>
      <c r="E1925" s="8" t="str">
        <f>"女"</f>
        <v>女</v>
      </c>
    </row>
    <row r="1926" spans="1:5" s="3" customFormat="1" ht="19.5" customHeight="1">
      <c r="A1926" s="8">
        <v>1924</v>
      </c>
      <c r="B1926" s="8" t="str">
        <f>"21902020071509231127774"</f>
        <v>21902020071509231127774</v>
      </c>
      <c r="C1926" s="8" t="s">
        <v>16</v>
      </c>
      <c r="D1926" s="8" t="str">
        <f>"伍万新"</f>
        <v>伍万新</v>
      </c>
      <c r="E1926" s="8" t="str">
        <f aca="true" t="shared" si="142" ref="E1926:E1929">"男"</f>
        <v>男</v>
      </c>
    </row>
    <row r="1927" spans="1:5" s="3" customFormat="1" ht="19.5" customHeight="1">
      <c r="A1927" s="8">
        <v>1925</v>
      </c>
      <c r="B1927" s="8" t="str">
        <f>"21902020071509411127796"</f>
        <v>21902020071509411127796</v>
      </c>
      <c r="C1927" s="8" t="s">
        <v>16</v>
      </c>
      <c r="D1927" s="8" t="str">
        <f>"王耀"</f>
        <v>王耀</v>
      </c>
      <c r="E1927" s="8" t="str">
        <f t="shared" si="142"/>
        <v>男</v>
      </c>
    </row>
    <row r="1928" spans="1:5" s="3" customFormat="1" ht="19.5" customHeight="1">
      <c r="A1928" s="8">
        <v>1926</v>
      </c>
      <c r="B1928" s="8" t="str">
        <f>"21902020071509565127826"</f>
        <v>21902020071509565127826</v>
      </c>
      <c r="C1928" s="8" t="s">
        <v>16</v>
      </c>
      <c r="D1928" s="8" t="str">
        <f>"钟有善"</f>
        <v>钟有善</v>
      </c>
      <c r="E1928" s="8" t="str">
        <f t="shared" si="142"/>
        <v>男</v>
      </c>
    </row>
    <row r="1929" spans="1:5" s="3" customFormat="1" ht="19.5" customHeight="1">
      <c r="A1929" s="8">
        <v>1927</v>
      </c>
      <c r="B1929" s="8" t="str">
        <f>"21902020071509582427828"</f>
        <v>21902020071509582427828</v>
      </c>
      <c r="C1929" s="8" t="s">
        <v>16</v>
      </c>
      <c r="D1929" s="8" t="str">
        <f>"李富学"</f>
        <v>李富学</v>
      </c>
      <c r="E1929" s="8" t="str">
        <f t="shared" si="142"/>
        <v>男</v>
      </c>
    </row>
    <row r="1930" spans="1:5" s="3" customFormat="1" ht="19.5" customHeight="1">
      <c r="A1930" s="8">
        <v>1928</v>
      </c>
      <c r="B1930" s="8" t="str">
        <f>"21902020071510082327835"</f>
        <v>21902020071510082327835</v>
      </c>
      <c r="C1930" s="8" t="s">
        <v>16</v>
      </c>
      <c r="D1930" s="8" t="str">
        <f>"符新鹭"</f>
        <v>符新鹭</v>
      </c>
      <c r="E1930" s="8" t="str">
        <f aca="true" t="shared" si="143" ref="E1930:E1932">"女"</f>
        <v>女</v>
      </c>
    </row>
    <row r="1931" spans="1:5" s="3" customFormat="1" ht="19.5" customHeight="1">
      <c r="A1931" s="8">
        <v>1929</v>
      </c>
      <c r="B1931" s="8" t="str">
        <f>"21902020071510144227849"</f>
        <v>21902020071510144227849</v>
      </c>
      <c r="C1931" s="8" t="s">
        <v>16</v>
      </c>
      <c r="D1931" s="8" t="str">
        <f>"符月正"</f>
        <v>符月正</v>
      </c>
      <c r="E1931" s="8" t="str">
        <f t="shared" si="143"/>
        <v>女</v>
      </c>
    </row>
    <row r="1932" spans="1:5" s="3" customFormat="1" ht="19.5" customHeight="1">
      <c r="A1932" s="8">
        <v>1930</v>
      </c>
      <c r="B1932" s="8" t="str">
        <f>"21902020071510264227864"</f>
        <v>21902020071510264227864</v>
      </c>
      <c r="C1932" s="8" t="s">
        <v>16</v>
      </c>
      <c r="D1932" s="8" t="str">
        <f>"王子慧"</f>
        <v>王子慧</v>
      </c>
      <c r="E1932" s="8" t="str">
        <f t="shared" si="143"/>
        <v>女</v>
      </c>
    </row>
    <row r="1933" spans="1:5" s="3" customFormat="1" ht="19.5" customHeight="1">
      <c r="A1933" s="8">
        <v>1931</v>
      </c>
      <c r="B1933" s="8" t="str">
        <f>"21902020071510361227882"</f>
        <v>21902020071510361227882</v>
      </c>
      <c r="C1933" s="8" t="s">
        <v>16</v>
      </c>
      <c r="D1933" s="8" t="str">
        <f>"李懿"</f>
        <v>李懿</v>
      </c>
      <c r="E1933" s="8" t="str">
        <f aca="true" t="shared" si="144" ref="E1933:E1937">"男"</f>
        <v>男</v>
      </c>
    </row>
    <row r="1934" spans="1:5" s="3" customFormat="1" ht="19.5" customHeight="1">
      <c r="A1934" s="8">
        <v>1932</v>
      </c>
      <c r="B1934" s="8" t="str">
        <f>"21902020071511005527923"</f>
        <v>21902020071511005527923</v>
      </c>
      <c r="C1934" s="8" t="s">
        <v>16</v>
      </c>
      <c r="D1934" s="8" t="str">
        <f>"李明祜"</f>
        <v>李明祜</v>
      </c>
      <c r="E1934" s="8" t="str">
        <f t="shared" si="144"/>
        <v>男</v>
      </c>
    </row>
    <row r="1935" spans="1:5" s="3" customFormat="1" ht="19.5" customHeight="1">
      <c r="A1935" s="8">
        <v>1933</v>
      </c>
      <c r="B1935" s="8" t="str">
        <f>"21902020071511315927962"</f>
        <v>21902020071511315927962</v>
      </c>
      <c r="C1935" s="8" t="s">
        <v>16</v>
      </c>
      <c r="D1935" s="8" t="str">
        <f>"郑以震"</f>
        <v>郑以震</v>
      </c>
      <c r="E1935" s="8" t="str">
        <f aca="true" t="shared" si="145" ref="E1935:E1939">"女"</f>
        <v>女</v>
      </c>
    </row>
    <row r="1936" spans="1:5" s="3" customFormat="1" ht="19.5" customHeight="1">
      <c r="A1936" s="8">
        <v>1934</v>
      </c>
      <c r="B1936" s="8" t="str">
        <f>"21902020071512223328022"</f>
        <v>21902020071512223328022</v>
      </c>
      <c r="C1936" s="8" t="s">
        <v>16</v>
      </c>
      <c r="D1936" s="8" t="str">
        <f>"金慧芳"</f>
        <v>金慧芳</v>
      </c>
      <c r="E1936" s="8" t="str">
        <f t="shared" si="145"/>
        <v>女</v>
      </c>
    </row>
    <row r="1937" spans="1:5" s="3" customFormat="1" ht="19.5" customHeight="1">
      <c r="A1937" s="8">
        <v>1935</v>
      </c>
      <c r="B1937" s="8" t="str">
        <f>"21902020071512271628027"</f>
        <v>21902020071512271628027</v>
      </c>
      <c r="C1937" s="8" t="s">
        <v>16</v>
      </c>
      <c r="D1937" s="8" t="str">
        <f>"郭启华"</f>
        <v>郭启华</v>
      </c>
      <c r="E1937" s="8" t="str">
        <f t="shared" si="144"/>
        <v>男</v>
      </c>
    </row>
    <row r="1938" spans="1:5" s="3" customFormat="1" ht="19.5" customHeight="1">
      <c r="A1938" s="8">
        <v>1936</v>
      </c>
      <c r="B1938" s="8" t="str">
        <f>"21902020071513044828062"</f>
        <v>21902020071513044828062</v>
      </c>
      <c r="C1938" s="8" t="s">
        <v>16</v>
      </c>
      <c r="D1938" s="8" t="str">
        <f>"羊焕静"</f>
        <v>羊焕静</v>
      </c>
      <c r="E1938" s="8" t="str">
        <f t="shared" si="145"/>
        <v>女</v>
      </c>
    </row>
    <row r="1939" spans="1:5" s="3" customFormat="1" ht="19.5" customHeight="1">
      <c r="A1939" s="8">
        <v>1937</v>
      </c>
      <c r="B1939" s="8" t="str">
        <f>"21902020071513365628082"</f>
        <v>21902020071513365628082</v>
      </c>
      <c r="C1939" s="8" t="s">
        <v>16</v>
      </c>
      <c r="D1939" s="8" t="str">
        <f>"吴夏婷"</f>
        <v>吴夏婷</v>
      </c>
      <c r="E1939" s="8" t="str">
        <f t="shared" si="145"/>
        <v>女</v>
      </c>
    </row>
    <row r="1940" spans="1:5" s="3" customFormat="1" ht="19.5" customHeight="1">
      <c r="A1940" s="8">
        <v>1938</v>
      </c>
      <c r="B1940" s="8" t="str">
        <f>"21902020071513455328090"</f>
        <v>21902020071513455328090</v>
      </c>
      <c r="C1940" s="8" t="s">
        <v>16</v>
      </c>
      <c r="D1940" s="8" t="str">
        <f>"郑杰波"</f>
        <v>郑杰波</v>
      </c>
      <c r="E1940" s="8" t="str">
        <f aca="true" t="shared" si="146" ref="E1940:E1942">"男"</f>
        <v>男</v>
      </c>
    </row>
    <row r="1941" spans="1:5" s="3" customFormat="1" ht="19.5" customHeight="1">
      <c r="A1941" s="8">
        <v>1939</v>
      </c>
      <c r="B1941" s="8" t="str">
        <f>"21902020071513525528094"</f>
        <v>21902020071513525528094</v>
      </c>
      <c r="C1941" s="8" t="s">
        <v>16</v>
      </c>
      <c r="D1941" s="8" t="str">
        <f>"王槐茂"</f>
        <v>王槐茂</v>
      </c>
      <c r="E1941" s="8" t="str">
        <f t="shared" si="146"/>
        <v>男</v>
      </c>
    </row>
    <row r="1942" spans="1:5" s="3" customFormat="1" ht="19.5" customHeight="1">
      <c r="A1942" s="8">
        <v>1940</v>
      </c>
      <c r="B1942" s="8" t="str">
        <f>"21902020071514090228102"</f>
        <v>21902020071514090228102</v>
      </c>
      <c r="C1942" s="8" t="s">
        <v>16</v>
      </c>
      <c r="D1942" s="8" t="str">
        <f>"陈乃骏"</f>
        <v>陈乃骏</v>
      </c>
      <c r="E1942" s="8" t="str">
        <f t="shared" si="146"/>
        <v>男</v>
      </c>
    </row>
    <row r="1943" spans="1:5" s="3" customFormat="1" ht="19.5" customHeight="1">
      <c r="A1943" s="8">
        <v>1941</v>
      </c>
      <c r="B1943" s="8" t="str">
        <f>"21902020071514365128122"</f>
        <v>21902020071514365128122</v>
      </c>
      <c r="C1943" s="8" t="s">
        <v>16</v>
      </c>
      <c r="D1943" s="8" t="str">
        <f>"许翠允"</f>
        <v>许翠允</v>
      </c>
      <c r="E1943" s="8" t="str">
        <f>"女"</f>
        <v>女</v>
      </c>
    </row>
    <row r="1944" spans="1:5" s="3" customFormat="1" ht="19.5" customHeight="1">
      <c r="A1944" s="8">
        <v>1942</v>
      </c>
      <c r="B1944" s="8" t="str">
        <f>"21902020071515234328171"</f>
        <v>21902020071515234328171</v>
      </c>
      <c r="C1944" s="8" t="s">
        <v>16</v>
      </c>
      <c r="D1944" s="8" t="str">
        <f>"伍万和"</f>
        <v>伍万和</v>
      </c>
      <c r="E1944" s="8" t="str">
        <f aca="true" t="shared" si="147" ref="E1944:E1948">"男"</f>
        <v>男</v>
      </c>
    </row>
    <row r="1945" spans="1:5" s="3" customFormat="1" ht="19.5" customHeight="1">
      <c r="A1945" s="8">
        <v>1943</v>
      </c>
      <c r="B1945" s="8" t="str">
        <f>"21902020071515253428174"</f>
        <v>21902020071515253428174</v>
      </c>
      <c r="C1945" s="8" t="s">
        <v>16</v>
      </c>
      <c r="D1945" s="8" t="str">
        <f>"羊克华"</f>
        <v>羊克华</v>
      </c>
      <c r="E1945" s="8" t="str">
        <f t="shared" si="147"/>
        <v>男</v>
      </c>
    </row>
    <row r="1946" spans="1:5" s="3" customFormat="1" ht="19.5" customHeight="1">
      <c r="A1946" s="8">
        <v>1944</v>
      </c>
      <c r="B1946" s="8" t="str">
        <f>"21902020071515445428199"</f>
        <v>21902020071515445428199</v>
      </c>
      <c r="C1946" s="8" t="s">
        <v>16</v>
      </c>
      <c r="D1946" s="8" t="str">
        <f>"黄新媛"</f>
        <v>黄新媛</v>
      </c>
      <c r="E1946" s="8" t="str">
        <f aca="true" t="shared" si="148" ref="E1946:E1951">"女"</f>
        <v>女</v>
      </c>
    </row>
    <row r="1947" spans="1:5" s="3" customFormat="1" ht="19.5" customHeight="1">
      <c r="A1947" s="8">
        <v>1945</v>
      </c>
      <c r="B1947" s="8" t="str">
        <f>"21902020071515552928207"</f>
        <v>21902020071515552928207</v>
      </c>
      <c r="C1947" s="8" t="s">
        <v>16</v>
      </c>
      <c r="D1947" s="8" t="str">
        <f>"张祖波"</f>
        <v>张祖波</v>
      </c>
      <c r="E1947" s="8" t="str">
        <f t="shared" si="147"/>
        <v>男</v>
      </c>
    </row>
    <row r="1948" spans="1:5" s="3" customFormat="1" ht="19.5" customHeight="1">
      <c r="A1948" s="8">
        <v>1946</v>
      </c>
      <c r="B1948" s="8" t="str">
        <f>"21902020071517421728339"</f>
        <v>21902020071517421728339</v>
      </c>
      <c r="C1948" s="8" t="s">
        <v>16</v>
      </c>
      <c r="D1948" s="8" t="str">
        <f>"曾令嘉"</f>
        <v>曾令嘉</v>
      </c>
      <c r="E1948" s="8" t="str">
        <f t="shared" si="147"/>
        <v>男</v>
      </c>
    </row>
    <row r="1949" spans="1:5" s="3" customFormat="1" ht="19.5" customHeight="1">
      <c r="A1949" s="8">
        <v>1947</v>
      </c>
      <c r="B1949" s="8" t="str">
        <f>"21902020071519322028419"</f>
        <v>21902020071519322028419</v>
      </c>
      <c r="C1949" s="8" t="s">
        <v>16</v>
      </c>
      <c r="D1949" s="8" t="str">
        <f>"黄瑞娇"</f>
        <v>黄瑞娇</v>
      </c>
      <c r="E1949" s="8" t="str">
        <f t="shared" si="148"/>
        <v>女</v>
      </c>
    </row>
    <row r="1950" spans="1:5" s="3" customFormat="1" ht="19.5" customHeight="1">
      <c r="A1950" s="8">
        <v>1948</v>
      </c>
      <c r="B1950" s="8" t="str">
        <f>"21902020071519391828425"</f>
        <v>21902020071519391828425</v>
      </c>
      <c r="C1950" s="8" t="s">
        <v>16</v>
      </c>
      <c r="D1950" s="8" t="str">
        <f>"许启鹄"</f>
        <v>许启鹄</v>
      </c>
      <c r="E1950" s="8" t="str">
        <f aca="true" t="shared" si="149" ref="E1950:E1959">"男"</f>
        <v>男</v>
      </c>
    </row>
    <row r="1951" spans="1:5" s="3" customFormat="1" ht="19.5" customHeight="1">
      <c r="A1951" s="8">
        <v>1949</v>
      </c>
      <c r="B1951" s="8" t="str">
        <f>"21902020071520504028490"</f>
        <v>21902020071520504028490</v>
      </c>
      <c r="C1951" s="8" t="s">
        <v>16</v>
      </c>
      <c r="D1951" s="8" t="str">
        <f>"唐日姣"</f>
        <v>唐日姣</v>
      </c>
      <c r="E1951" s="8" t="str">
        <f t="shared" si="148"/>
        <v>女</v>
      </c>
    </row>
    <row r="1952" spans="1:5" s="3" customFormat="1" ht="19.5" customHeight="1">
      <c r="A1952" s="8">
        <v>1950</v>
      </c>
      <c r="B1952" s="8" t="str">
        <f>"21902020071521091328505"</f>
        <v>21902020071521091328505</v>
      </c>
      <c r="C1952" s="8" t="s">
        <v>16</v>
      </c>
      <c r="D1952" s="8" t="str">
        <f>"徐瑞鹏"</f>
        <v>徐瑞鹏</v>
      </c>
      <c r="E1952" s="8" t="str">
        <f t="shared" si="149"/>
        <v>男</v>
      </c>
    </row>
    <row r="1953" spans="1:5" s="3" customFormat="1" ht="19.5" customHeight="1">
      <c r="A1953" s="8">
        <v>1951</v>
      </c>
      <c r="B1953" s="8" t="str">
        <f>"21902020071521274328521"</f>
        <v>21902020071521274328521</v>
      </c>
      <c r="C1953" s="8" t="s">
        <v>16</v>
      </c>
      <c r="D1953" s="8" t="str">
        <f>"刘润香"</f>
        <v>刘润香</v>
      </c>
      <c r="E1953" s="8" t="str">
        <f>"女"</f>
        <v>女</v>
      </c>
    </row>
    <row r="1954" spans="1:5" s="3" customFormat="1" ht="19.5" customHeight="1">
      <c r="A1954" s="8">
        <v>1952</v>
      </c>
      <c r="B1954" s="8" t="str">
        <f>"21902020071521510528534"</f>
        <v>21902020071521510528534</v>
      </c>
      <c r="C1954" s="8" t="s">
        <v>16</v>
      </c>
      <c r="D1954" s="8" t="str">
        <f>"陈子女"</f>
        <v>陈子女</v>
      </c>
      <c r="E1954" s="8" t="str">
        <f>"女"</f>
        <v>女</v>
      </c>
    </row>
    <row r="1955" spans="1:5" s="3" customFormat="1" ht="19.5" customHeight="1">
      <c r="A1955" s="8">
        <v>1953</v>
      </c>
      <c r="B1955" s="8" t="str">
        <f>"21902020071522135928560"</f>
        <v>21902020071522135928560</v>
      </c>
      <c r="C1955" s="8" t="s">
        <v>16</v>
      </c>
      <c r="D1955" s="8" t="str">
        <f>"洪起业"</f>
        <v>洪起业</v>
      </c>
      <c r="E1955" s="8" t="str">
        <f t="shared" si="149"/>
        <v>男</v>
      </c>
    </row>
    <row r="1956" spans="1:5" s="3" customFormat="1" ht="19.5" customHeight="1">
      <c r="A1956" s="8">
        <v>1954</v>
      </c>
      <c r="B1956" s="8" t="str">
        <f>"21902020071522154828562"</f>
        <v>21902020071522154828562</v>
      </c>
      <c r="C1956" s="8" t="s">
        <v>16</v>
      </c>
      <c r="D1956" s="8" t="str">
        <f>"王健"</f>
        <v>王健</v>
      </c>
      <c r="E1956" s="8" t="str">
        <f t="shared" si="149"/>
        <v>男</v>
      </c>
    </row>
    <row r="1957" spans="1:5" s="3" customFormat="1" ht="19.5" customHeight="1">
      <c r="A1957" s="8">
        <v>1955</v>
      </c>
      <c r="B1957" s="8" t="str">
        <f>"21902020071522200128568"</f>
        <v>21902020071522200128568</v>
      </c>
      <c r="C1957" s="8" t="s">
        <v>16</v>
      </c>
      <c r="D1957" s="8" t="str">
        <f>"符壮昌"</f>
        <v>符壮昌</v>
      </c>
      <c r="E1957" s="8" t="str">
        <f t="shared" si="149"/>
        <v>男</v>
      </c>
    </row>
    <row r="1958" spans="1:5" s="3" customFormat="1" ht="19.5" customHeight="1">
      <c r="A1958" s="8">
        <v>1956</v>
      </c>
      <c r="B1958" s="8" t="str">
        <f>"21902020071522290528576"</f>
        <v>21902020071522290528576</v>
      </c>
      <c r="C1958" s="8" t="s">
        <v>16</v>
      </c>
      <c r="D1958" s="8" t="str">
        <f>"陈琼铭"</f>
        <v>陈琼铭</v>
      </c>
      <c r="E1958" s="8" t="str">
        <f t="shared" si="149"/>
        <v>男</v>
      </c>
    </row>
    <row r="1959" spans="1:5" s="3" customFormat="1" ht="19.5" customHeight="1">
      <c r="A1959" s="8">
        <v>1957</v>
      </c>
      <c r="B1959" s="8" t="str">
        <f>"21902020071523181928612"</f>
        <v>21902020071523181928612</v>
      </c>
      <c r="C1959" s="8" t="s">
        <v>16</v>
      </c>
      <c r="D1959" s="8" t="str">
        <f>"羊金烁"</f>
        <v>羊金烁</v>
      </c>
      <c r="E1959" s="8" t="str">
        <f t="shared" si="149"/>
        <v>男</v>
      </c>
    </row>
    <row r="1960" spans="1:5" s="3" customFormat="1" ht="19.5" customHeight="1">
      <c r="A1960" s="8">
        <v>1958</v>
      </c>
      <c r="B1960" s="8" t="str">
        <f>"21902020071607520028670"</f>
        <v>21902020071607520028670</v>
      </c>
      <c r="C1960" s="8" t="s">
        <v>16</v>
      </c>
      <c r="D1960" s="8" t="str">
        <f>"谢淑兰"</f>
        <v>谢淑兰</v>
      </c>
      <c r="E1960" s="8" t="str">
        <f>"女"</f>
        <v>女</v>
      </c>
    </row>
    <row r="1961" spans="1:5" s="3" customFormat="1" ht="19.5" customHeight="1">
      <c r="A1961" s="8">
        <v>1959</v>
      </c>
      <c r="B1961" s="8" t="str">
        <f>"21902020071609112328709"</f>
        <v>21902020071609112328709</v>
      </c>
      <c r="C1961" s="8" t="s">
        <v>16</v>
      </c>
      <c r="D1961" s="8" t="str">
        <f>"李朝禄"</f>
        <v>李朝禄</v>
      </c>
      <c r="E1961" s="8" t="str">
        <f aca="true" t="shared" si="150" ref="E1961:E1965">"男"</f>
        <v>男</v>
      </c>
    </row>
    <row r="1962" spans="1:5" s="3" customFormat="1" ht="19.5" customHeight="1">
      <c r="A1962" s="8">
        <v>1960</v>
      </c>
      <c r="B1962" s="8" t="str">
        <f>"21902020071609324528728"</f>
        <v>21902020071609324528728</v>
      </c>
      <c r="C1962" s="8" t="s">
        <v>16</v>
      </c>
      <c r="D1962" s="8" t="str">
        <f>"陈丽翠"</f>
        <v>陈丽翠</v>
      </c>
      <c r="E1962" s="8" t="str">
        <f aca="true" t="shared" si="151" ref="E1962:E1967">"女"</f>
        <v>女</v>
      </c>
    </row>
    <row r="1963" spans="1:5" s="3" customFormat="1" ht="19.5" customHeight="1">
      <c r="A1963" s="8">
        <v>1961</v>
      </c>
      <c r="B1963" s="8" t="str">
        <f>"21902020071610293428772"</f>
        <v>21902020071610293428772</v>
      </c>
      <c r="C1963" s="8" t="s">
        <v>16</v>
      </c>
      <c r="D1963" s="8" t="str">
        <f>"吴可学"</f>
        <v>吴可学</v>
      </c>
      <c r="E1963" s="8" t="str">
        <f t="shared" si="150"/>
        <v>男</v>
      </c>
    </row>
    <row r="1964" spans="1:5" s="3" customFormat="1" ht="19.5" customHeight="1">
      <c r="A1964" s="8">
        <v>1962</v>
      </c>
      <c r="B1964" s="8" t="str">
        <f>"21902020071610511528792"</f>
        <v>21902020071610511528792</v>
      </c>
      <c r="C1964" s="8" t="s">
        <v>16</v>
      </c>
      <c r="D1964" s="8" t="str">
        <f>"王敏志"</f>
        <v>王敏志</v>
      </c>
      <c r="E1964" s="8" t="str">
        <f t="shared" si="150"/>
        <v>男</v>
      </c>
    </row>
    <row r="1965" spans="1:5" s="3" customFormat="1" ht="19.5" customHeight="1">
      <c r="A1965" s="8">
        <v>1963</v>
      </c>
      <c r="B1965" s="8" t="str">
        <f>"21902020071611144828823"</f>
        <v>21902020071611144828823</v>
      </c>
      <c r="C1965" s="8" t="s">
        <v>16</v>
      </c>
      <c r="D1965" s="8" t="str">
        <f>"符必猷"</f>
        <v>符必猷</v>
      </c>
      <c r="E1965" s="8" t="str">
        <f t="shared" si="150"/>
        <v>男</v>
      </c>
    </row>
    <row r="1966" spans="1:5" s="3" customFormat="1" ht="19.5" customHeight="1">
      <c r="A1966" s="8">
        <v>1964</v>
      </c>
      <c r="B1966" s="8" t="str">
        <f>"21902020071611260328836"</f>
        <v>21902020071611260328836</v>
      </c>
      <c r="C1966" s="8" t="s">
        <v>16</v>
      </c>
      <c r="D1966" s="8" t="str">
        <f>"陈正翠"</f>
        <v>陈正翠</v>
      </c>
      <c r="E1966" s="8" t="str">
        <f t="shared" si="151"/>
        <v>女</v>
      </c>
    </row>
    <row r="1967" spans="1:5" s="3" customFormat="1" ht="19.5" customHeight="1">
      <c r="A1967" s="8">
        <v>1965</v>
      </c>
      <c r="B1967" s="8" t="str">
        <f>"21902020071611463628852"</f>
        <v>21902020071611463628852</v>
      </c>
      <c r="C1967" s="8" t="s">
        <v>16</v>
      </c>
      <c r="D1967" s="8" t="str">
        <f>"曾丽蓉"</f>
        <v>曾丽蓉</v>
      </c>
      <c r="E1967" s="8" t="str">
        <f t="shared" si="151"/>
        <v>女</v>
      </c>
    </row>
    <row r="1968" spans="1:5" s="3" customFormat="1" ht="19.5" customHeight="1">
      <c r="A1968" s="8">
        <v>1966</v>
      </c>
      <c r="B1968" s="8" t="str">
        <f>"21902020071612135928874"</f>
        <v>21902020071612135928874</v>
      </c>
      <c r="C1968" s="8" t="s">
        <v>16</v>
      </c>
      <c r="D1968" s="8" t="str">
        <f>"陈锦隆"</f>
        <v>陈锦隆</v>
      </c>
      <c r="E1968" s="8" t="str">
        <f>"男"</f>
        <v>男</v>
      </c>
    </row>
    <row r="1969" spans="1:5" s="3" customFormat="1" ht="19.5" customHeight="1">
      <c r="A1969" s="8">
        <v>1967</v>
      </c>
      <c r="B1969" s="8" t="str">
        <f>"21902020071612365728889"</f>
        <v>21902020071612365728889</v>
      </c>
      <c r="C1969" s="8" t="s">
        <v>16</v>
      </c>
      <c r="D1969" s="8" t="str">
        <f>"黄天民"</f>
        <v>黄天民</v>
      </c>
      <c r="E1969" s="8" t="str">
        <f>"男"</f>
        <v>男</v>
      </c>
    </row>
    <row r="1970" spans="1:5" s="3" customFormat="1" ht="19.5" customHeight="1">
      <c r="A1970" s="8">
        <v>1968</v>
      </c>
      <c r="B1970" s="8" t="str">
        <f>"21902020071612391028891"</f>
        <v>21902020071612391028891</v>
      </c>
      <c r="C1970" s="8" t="s">
        <v>16</v>
      </c>
      <c r="D1970" s="8" t="str">
        <f>"黎阳"</f>
        <v>黎阳</v>
      </c>
      <c r="E1970" s="8" t="str">
        <f aca="true" t="shared" si="152" ref="E1970:E1973">"女"</f>
        <v>女</v>
      </c>
    </row>
    <row r="1971" spans="1:5" s="3" customFormat="1" ht="19.5" customHeight="1">
      <c r="A1971" s="8">
        <v>1969</v>
      </c>
      <c r="B1971" s="8" t="str">
        <f>"21902020071615250528994"</f>
        <v>21902020071615250528994</v>
      </c>
      <c r="C1971" s="8" t="s">
        <v>16</v>
      </c>
      <c r="D1971" s="8" t="str">
        <f>"李高群"</f>
        <v>李高群</v>
      </c>
      <c r="E1971" s="8" t="str">
        <f t="shared" si="152"/>
        <v>女</v>
      </c>
    </row>
    <row r="1972" spans="1:5" s="3" customFormat="1" ht="19.5" customHeight="1">
      <c r="A1972" s="8">
        <v>1970</v>
      </c>
      <c r="B1972" s="8" t="str">
        <f>"21902020071615560229027"</f>
        <v>21902020071615560229027</v>
      </c>
      <c r="C1972" s="8" t="s">
        <v>16</v>
      </c>
      <c r="D1972" s="8" t="str">
        <f>"吕淑芳"</f>
        <v>吕淑芳</v>
      </c>
      <c r="E1972" s="8" t="str">
        <f t="shared" si="152"/>
        <v>女</v>
      </c>
    </row>
    <row r="1973" spans="1:5" s="3" customFormat="1" ht="19.5" customHeight="1">
      <c r="A1973" s="8">
        <v>1971</v>
      </c>
      <c r="B1973" s="8" t="str">
        <f>"21902020071616010829033"</f>
        <v>21902020071616010829033</v>
      </c>
      <c r="C1973" s="8" t="s">
        <v>16</v>
      </c>
      <c r="D1973" s="8" t="str">
        <f>"林玉慧"</f>
        <v>林玉慧</v>
      </c>
      <c r="E1973" s="8" t="str">
        <f t="shared" si="152"/>
        <v>女</v>
      </c>
    </row>
    <row r="1974" spans="1:5" s="3" customFormat="1" ht="19.5" customHeight="1">
      <c r="A1974" s="8">
        <v>1972</v>
      </c>
      <c r="B1974" s="8" t="str">
        <f>"21902020071616253529053"</f>
        <v>21902020071616253529053</v>
      </c>
      <c r="C1974" s="8" t="s">
        <v>16</v>
      </c>
      <c r="D1974" s="8" t="str">
        <f>"杨后平"</f>
        <v>杨后平</v>
      </c>
      <c r="E1974" s="8" t="str">
        <f>"男"</f>
        <v>男</v>
      </c>
    </row>
    <row r="1975" spans="1:5" s="3" customFormat="1" ht="19.5" customHeight="1">
      <c r="A1975" s="8">
        <v>1973</v>
      </c>
      <c r="B1975" s="8" t="str">
        <f>"21902020071616504729075"</f>
        <v>21902020071616504729075</v>
      </c>
      <c r="C1975" s="8" t="s">
        <v>16</v>
      </c>
      <c r="D1975" s="8" t="str">
        <f>"林谷"</f>
        <v>林谷</v>
      </c>
      <c r="E1975" s="8" t="str">
        <f aca="true" t="shared" si="153" ref="E1975:E1978">"女"</f>
        <v>女</v>
      </c>
    </row>
    <row r="1976" spans="1:5" s="3" customFormat="1" ht="19.5" customHeight="1">
      <c r="A1976" s="8">
        <v>1974</v>
      </c>
      <c r="B1976" s="8" t="str">
        <f>"21902020071617052329087"</f>
        <v>21902020071617052329087</v>
      </c>
      <c r="C1976" s="8" t="s">
        <v>16</v>
      </c>
      <c r="D1976" s="8" t="str">
        <f>"王彩乾"</f>
        <v>王彩乾</v>
      </c>
      <c r="E1976" s="8" t="str">
        <f t="shared" si="153"/>
        <v>女</v>
      </c>
    </row>
    <row r="1977" spans="1:5" s="3" customFormat="1" ht="19.5" customHeight="1">
      <c r="A1977" s="8">
        <v>1975</v>
      </c>
      <c r="B1977" s="8" t="str">
        <f>"21902020071617281629105"</f>
        <v>21902020071617281629105</v>
      </c>
      <c r="C1977" s="8" t="s">
        <v>16</v>
      </c>
      <c r="D1977" s="8" t="str">
        <f>"吴桂柳"</f>
        <v>吴桂柳</v>
      </c>
      <c r="E1977" s="8" t="str">
        <f t="shared" si="153"/>
        <v>女</v>
      </c>
    </row>
    <row r="1978" spans="1:5" s="3" customFormat="1" ht="19.5" customHeight="1">
      <c r="A1978" s="8">
        <v>1976</v>
      </c>
      <c r="B1978" s="8" t="str">
        <f>"21902020071617354429117"</f>
        <v>21902020071617354429117</v>
      </c>
      <c r="C1978" s="8" t="s">
        <v>16</v>
      </c>
      <c r="D1978" s="8" t="str">
        <f>"羊才川"</f>
        <v>羊才川</v>
      </c>
      <c r="E1978" s="8" t="str">
        <f t="shared" si="153"/>
        <v>女</v>
      </c>
    </row>
    <row r="1979" spans="1:5" s="3" customFormat="1" ht="19.5" customHeight="1">
      <c r="A1979" s="8">
        <v>1977</v>
      </c>
      <c r="B1979" s="8" t="str">
        <f>"21902020071620042929188"</f>
        <v>21902020071620042929188</v>
      </c>
      <c r="C1979" s="8" t="s">
        <v>16</v>
      </c>
      <c r="D1979" s="8" t="str">
        <f>"陈厚才"</f>
        <v>陈厚才</v>
      </c>
      <c r="E1979" s="8" t="str">
        <f aca="true" t="shared" si="154" ref="E1979:E1984">"男"</f>
        <v>男</v>
      </c>
    </row>
    <row r="1980" spans="1:5" s="3" customFormat="1" ht="19.5" customHeight="1">
      <c r="A1980" s="8">
        <v>1978</v>
      </c>
      <c r="B1980" s="8" t="str">
        <f>"21902020071620045729189"</f>
        <v>21902020071620045729189</v>
      </c>
      <c r="C1980" s="8" t="s">
        <v>16</v>
      </c>
      <c r="D1980" s="8" t="str">
        <f>"谢爵蔚"</f>
        <v>谢爵蔚</v>
      </c>
      <c r="E1980" s="8" t="str">
        <f t="shared" si="154"/>
        <v>男</v>
      </c>
    </row>
    <row r="1981" spans="1:5" s="3" customFormat="1" ht="19.5" customHeight="1">
      <c r="A1981" s="8">
        <v>1979</v>
      </c>
      <c r="B1981" s="8" t="str">
        <f>"21902020071620343529202"</f>
        <v>21902020071620343529202</v>
      </c>
      <c r="C1981" s="8" t="s">
        <v>16</v>
      </c>
      <c r="D1981" s="8" t="str">
        <f>"李德坚"</f>
        <v>李德坚</v>
      </c>
      <c r="E1981" s="8" t="str">
        <f t="shared" si="154"/>
        <v>男</v>
      </c>
    </row>
    <row r="1982" spans="1:5" s="3" customFormat="1" ht="19.5" customHeight="1">
      <c r="A1982" s="8">
        <v>1980</v>
      </c>
      <c r="B1982" s="8" t="str">
        <f>"21902020071621372529234"</f>
        <v>21902020071621372529234</v>
      </c>
      <c r="C1982" s="8" t="s">
        <v>16</v>
      </c>
      <c r="D1982" s="8" t="str">
        <f>"薛乃垂"</f>
        <v>薛乃垂</v>
      </c>
      <c r="E1982" s="8" t="str">
        <f t="shared" si="154"/>
        <v>男</v>
      </c>
    </row>
    <row r="1983" spans="1:5" s="3" customFormat="1" ht="19.5" customHeight="1">
      <c r="A1983" s="8">
        <v>1981</v>
      </c>
      <c r="B1983" s="8" t="str">
        <f>"21902020071622255629261"</f>
        <v>21902020071622255629261</v>
      </c>
      <c r="C1983" s="8" t="s">
        <v>16</v>
      </c>
      <c r="D1983" s="8" t="str">
        <f>"吴可文"</f>
        <v>吴可文</v>
      </c>
      <c r="E1983" s="8" t="str">
        <f t="shared" si="154"/>
        <v>男</v>
      </c>
    </row>
    <row r="1984" spans="1:5" s="3" customFormat="1" ht="19.5" customHeight="1">
      <c r="A1984" s="8">
        <v>1982</v>
      </c>
      <c r="B1984" s="8" t="str">
        <f>"21902020071622263329263"</f>
        <v>21902020071622263329263</v>
      </c>
      <c r="C1984" s="8" t="s">
        <v>16</v>
      </c>
      <c r="D1984" s="8" t="str">
        <f>"伍世海"</f>
        <v>伍世海</v>
      </c>
      <c r="E1984" s="8" t="str">
        <f t="shared" si="154"/>
        <v>男</v>
      </c>
    </row>
    <row r="1985" spans="1:5" s="3" customFormat="1" ht="19.5" customHeight="1">
      <c r="A1985" s="8">
        <v>1983</v>
      </c>
      <c r="B1985" s="8" t="str">
        <f>"21902020071622363929266"</f>
        <v>21902020071622363929266</v>
      </c>
      <c r="C1985" s="8" t="s">
        <v>16</v>
      </c>
      <c r="D1985" s="8" t="str">
        <f>"王子梅"</f>
        <v>王子梅</v>
      </c>
      <c r="E1985" s="8" t="str">
        <f aca="true" t="shared" si="155" ref="E1985:E1990">"女"</f>
        <v>女</v>
      </c>
    </row>
    <row r="1986" spans="1:5" s="3" customFormat="1" ht="19.5" customHeight="1">
      <c r="A1986" s="8">
        <v>1984</v>
      </c>
      <c r="B1986" s="8" t="str">
        <f>"21902020071623070629286"</f>
        <v>21902020071623070629286</v>
      </c>
      <c r="C1986" s="8" t="s">
        <v>16</v>
      </c>
      <c r="D1986" s="8" t="str">
        <f>"李美学"</f>
        <v>李美学</v>
      </c>
      <c r="E1986" s="8" t="str">
        <f aca="true" t="shared" si="156" ref="E1986:E1989">"男"</f>
        <v>男</v>
      </c>
    </row>
    <row r="1987" spans="1:5" s="3" customFormat="1" ht="19.5" customHeight="1">
      <c r="A1987" s="8">
        <v>1985</v>
      </c>
      <c r="B1987" s="8" t="str">
        <f>"21902020071701070029309"</f>
        <v>21902020071701070029309</v>
      </c>
      <c r="C1987" s="8" t="s">
        <v>16</v>
      </c>
      <c r="D1987" s="8" t="str">
        <f>"王允桂"</f>
        <v>王允桂</v>
      </c>
      <c r="E1987" s="8" t="str">
        <f t="shared" si="155"/>
        <v>女</v>
      </c>
    </row>
    <row r="1988" spans="1:5" s="3" customFormat="1" ht="19.5" customHeight="1">
      <c r="A1988" s="8">
        <v>1986</v>
      </c>
      <c r="B1988" s="8" t="str">
        <f>"21902020071709220329363"</f>
        <v>21902020071709220329363</v>
      </c>
      <c r="C1988" s="8" t="s">
        <v>16</v>
      </c>
      <c r="D1988" s="8" t="str">
        <f>"许德富"</f>
        <v>许德富</v>
      </c>
      <c r="E1988" s="8" t="str">
        <f t="shared" si="156"/>
        <v>男</v>
      </c>
    </row>
    <row r="1989" spans="1:5" s="3" customFormat="1" ht="19.5" customHeight="1">
      <c r="A1989" s="8">
        <v>1987</v>
      </c>
      <c r="B1989" s="8" t="str">
        <f>"21902020071709371629372"</f>
        <v>21902020071709371629372</v>
      </c>
      <c r="C1989" s="8" t="s">
        <v>16</v>
      </c>
      <c r="D1989" s="8" t="str">
        <f>"符博垂"</f>
        <v>符博垂</v>
      </c>
      <c r="E1989" s="8" t="str">
        <f t="shared" si="156"/>
        <v>男</v>
      </c>
    </row>
    <row r="1990" spans="1:5" s="3" customFormat="1" ht="19.5" customHeight="1">
      <c r="A1990" s="8">
        <v>1988</v>
      </c>
      <c r="B1990" s="8" t="str">
        <f>"21902020071709372229373"</f>
        <v>21902020071709372229373</v>
      </c>
      <c r="C1990" s="8" t="s">
        <v>16</v>
      </c>
      <c r="D1990" s="8" t="str">
        <f>"陈春兰"</f>
        <v>陈春兰</v>
      </c>
      <c r="E1990" s="8" t="str">
        <f t="shared" si="155"/>
        <v>女</v>
      </c>
    </row>
    <row r="1991" spans="1:5" s="3" customFormat="1" ht="19.5" customHeight="1">
      <c r="A1991" s="8">
        <v>1989</v>
      </c>
      <c r="B1991" s="8" t="str">
        <f>"21902020071709420829376"</f>
        <v>21902020071709420829376</v>
      </c>
      <c r="C1991" s="8" t="s">
        <v>16</v>
      </c>
      <c r="D1991" s="8" t="str">
        <f>"羊应光"</f>
        <v>羊应光</v>
      </c>
      <c r="E1991" s="8" t="str">
        <f aca="true" t="shared" si="157" ref="E1991:E1995">"男"</f>
        <v>男</v>
      </c>
    </row>
    <row r="1992" spans="1:5" s="3" customFormat="1" ht="19.5" customHeight="1">
      <c r="A1992" s="8">
        <v>1990</v>
      </c>
      <c r="B1992" s="8" t="str">
        <f>"21902020071710580329431"</f>
        <v>21902020071710580329431</v>
      </c>
      <c r="C1992" s="8" t="s">
        <v>16</v>
      </c>
      <c r="D1992" s="8" t="str">
        <f>"刘江波"</f>
        <v>刘江波</v>
      </c>
      <c r="E1992" s="8" t="str">
        <f t="shared" si="157"/>
        <v>男</v>
      </c>
    </row>
    <row r="1993" spans="1:5" s="3" customFormat="1" ht="19.5" customHeight="1">
      <c r="A1993" s="8">
        <v>1991</v>
      </c>
      <c r="B1993" s="8" t="str">
        <f>"21902020071712552429509"</f>
        <v>21902020071712552429509</v>
      </c>
      <c r="C1993" s="8" t="s">
        <v>16</v>
      </c>
      <c r="D1993" s="8" t="str">
        <f>"羊永梅"</f>
        <v>羊永梅</v>
      </c>
      <c r="E1993" s="8" t="str">
        <f aca="true" t="shared" si="158" ref="E1993:E1997">"女"</f>
        <v>女</v>
      </c>
    </row>
    <row r="1994" spans="1:5" s="3" customFormat="1" ht="19.5" customHeight="1">
      <c r="A1994" s="8">
        <v>1992</v>
      </c>
      <c r="B1994" s="8" t="str">
        <f>"21902020071713035729514"</f>
        <v>21902020071713035729514</v>
      </c>
      <c r="C1994" s="8" t="s">
        <v>16</v>
      </c>
      <c r="D1994" s="8" t="str">
        <f>"郭敏书"</f>
        <v>郭敏书</v>
      </c>
      <c r="E1994" s="8" t="str">
        <f t="shared" si="157"/>
        <v>男</v>
      </c>
    </row>
    <row r="1995" spans="1:5" s="3" customFormat="1" ht="19.5" customHeight="1">
      <c r="A1995" s="8">
        <v>1993</v>
      </c>
      <c r="B1995" s="8" t="str">
        <f>"21902020071713250229523"</f>
        <v>21902020071713250229523</v>
      </c>
      <c r="C1995" s="8" t="s">
        <v>16</v>
      </c>
      <c r="D1995" s="8" t="str">
        <f>"陈鸿俊"</f>
        <v>陈鸿俊</v>
      </c>
      <c r="E1995" s="8" t="str">
        <f t="shared" si="157"/>
        <v>男</v>
      </c>
    </row>
    <row r="1996" spans="1:5" s="3" customFormat="1" ht="19.5" customHeight="1">
      <c r="A1996" s="8">
        <v>1994</v>
      </c>
      <c r="B1996" s="8" t="str">
        <f>"21902020071713574929538"</f>
        <v>21902020071713574929538</v>
      </c>
      <c r="C1996" s="8" t="s">
        <v>16</v>
      </c>
      <c r="D1996" s="8" t="str">
        <f>"李柳爱"</f>
        <v>李柳爱</v>
      </c>
      <c r="E1996" s="8" t="str">
        <f t="shared" si="158"/>
        <v>女</v>
      </c>
    </row>
    <row r="1997" spans="1:5" s="3" customFormat="1" ht="19.5" customHeight="1">
      <c r="A1997" s="8">
        <v>1995</v>
      </c>
      <c r="B1997" s="8" t="str">
        <f>"21902020071714521829566"</f>
        <v>21902020071714521829566</v>
      </c>
      <c r="C1997" s="8" t="s">
        <v>16</v>
      </c>
      <c r="D1997" s="8" t="str">
        <f>"吴菊妹"</f>
        <v>吴菊妹</v>
      </c>
      <c r="E1997" s="8" t="str">
        <f t="shared" si="158"/>
        <v>女</v>
      </c>
    </row>
    <row r="1998" spans="1:5" s="3" customFormat="1" ht="19.5" customHeight="1">
      <c r="A1998" s="8">
        <v>1996</v>
      </c>
      <c r="B1998" s="8" t="str">
        <f>"21902020071715011229573"</f>
        <v>21902020071715011229573</v>
      </c>
      <c r="C1998" s="8" t="s">
        <v>16</v>
      </c>
      <c r="D1998" s="8" t="str">
        <f>"王世精"</f>
        <v>王世精</v>
      </c>
      <c r="E1998" s="8" t="str">
        <f aca="true" t="shared" si="159" ref="E1998:E2002">"男"</f>
        <v>男</v>
      </c>
    </row>
    <row r="1999" spans="1:5" s="3" customFormat="1" ht="19.5" customHeight="1">
      <c r="A1999" s="8">
        <v>1997</v>
      </c>
      <c r="B1999" s="8" t="str">
        <f>"21902020071716054429620"</f>
        <v>21902020071716054429620</v>
      </c>
      <c r="C1999" s="8" t="s">
        <v>16</v>
      </c>
      <c r="D1999" s="8" t="str">
        <f>"李春桃"</f>
        <v>李春桃</v>
      </c>
      <c r="E1999" s="8" t="str">
        <f aca="true" t="shared" si="160" ref="E1999:E2005">"女"</f>
        <v>女</v>
      </c>
    </row>
    <row r="2000" spans="1:5" s="3" customFormat="1" ht="19.5" customHeight="1">
      <c r="A2000" s="8">
        <v>1998</v>
      </c>
      <c r="B2000" s="8" t="str">
        <f>"21902020071716115929624"</f>
        <v>21902020071716115929624</v>
      </c>
      <c r="C2000" s="8" t="s">
        <v>16</v>
      </c>
      <c r="D2000" s="8" t="str">
        <f>"黎夏彩"</f>
        <v>黎夏彩</v>
      </c>
      <c r="E2000" s="8" t="str">
        <f t="shared" si="160"/>
        <v>女</v>
      </c>
    </row>
    <row r="2001" spans="1:5" s="3" customFormat="1" ht="19.5" customHeight="1">
      <c r="A2001" s="8">
        <v>1999</v>
      </c>
      <c r="B2001" s="8" t="str">
        <f>"21902020071716234329637"</f>
        <v>21902020071716234329637</v>
      </c>
      <c r="C2001" s="8" t="s">
        <v>16</v>
      </c>
      <c r="D2001" s="8" t="str">
        <f>"吴元雄"</f>
        <v>吴元雄</v>
      </c>
      <c r="E2001" s="8" t="str">
        <f t="shared" si="159"/>
        <v>男</v>
      </c>
    </row>
    <row r="2002" spans="1:5" s="3" customFormat="1" ht="19.5" customHeight="1">
      <c r="A2002" s="8">
        <v>2000</v>
      </c>
      <c r="B2002" s="8" t="str">
        <f>"21902020071716583529661"</f>
        <v>21902020071716583529661</v>
      </c>
      <c r="C2002" s="8" t="s">
        <v>16</v>
      </c>
      <c r="D2002" s="8" t="str">
        <f>"谢国进"</f>
        <v>谢国进</v>
      </c>
      <c r="E2002" s="8" t="str">
        <f t="shared" si="159"/>
        <v>男</v>
      </c>
    </row>
    <row r="2003" spans="1:5" s="3" customFormat="1" ht="19.5" customHeight="1">
      <c r="A2003" s="8">
        <v>2001</v>
      </c>
      <c r="B2003" s="8" t="str">
        <f>"21902020071717132029669"</f>
        <v>21902020071717132029669</v>
      </c>
      <c r="C2003" s="8" t="s">
        <v>16</v>
      </c>
      <c r="D2003" s="8" t="str">
        <f>"羊春娜"</f>
        <v>羊春娜</v>
      </c>
      <c r="E2003" s="8" t="str">
        <f t="shared" si="160"/>
        <v>女</v>
      </c>
    </row>
    <row r="2004" spans="1:5" s="3" customFormat="1" ht="19.5" customHeight="1">
      <c r="A2004" s="8">
        <v>2002</v>
      </c>
      <c r="B2004" s="8" t="str">
        <f>"21902020071717223529675"</f>
        <v>21902020071717223529675</v>
      </c>
      <c r="C2004" s="8" t="s">
        <v>16</v>
      </c>
      <c r="D2004" s="8" t="str">
        <f>"王秋琴"</f>
        <v>王秋琴</v>
      </c>
      <c r="E2004" s="8" t="str">
        <f t="shared" si="160"/>
        <v>女</v>
      </c>
    </row>
    <row r="2005" spans="1:5" s="3" customFormat="1" ht="19.5" customHeight="1">
      <c r="A2005" s="8">
        <v>2003</v>
      </c>
      <c r="B2005" s="8" t="str">
        <f>"21902020071722074729770"</f>
        <v>21902020071722074729770</v>
      </c>
      <c r="C2005" s="8" t="s">
        <v>16</v>
      </c>
      <c r="D2005" s="8" t="str">
        <f>"何世婷"</f>
        <v>何世婷</v>
      </c>
      <c r="E2005" s="8" t="str">
        <f t="shared" si="160"/>
        <v>女</v>
      </c>
    </row>
    <row r="2006" spans="1:5" s="3" customFormat="1" ht="19.5" customHeight="1">
      <c r="A2006" s="8">
        <v>2004</v>
      </c>
      <c r="B2006" s="8" t="str">
        <f>"21902020071722114029774"</f>
        <v>21902020071722114029774</v>
      </c>
      <c r="C2006" s="8" t="s">
        <v>16</v>
      </c>
      <c r="D2006" s="8" t="str">
        <f>"唐学伟"</f>
        <v>唐学伟</v>
      </c>
      <c r="E2006" s="8" t="str">
        <f aca="true" t="shared" si="161" ref="E2006:E2011">"男"</f>
        <v>男</v>
      </c>
    </row>
    <row r="2007" spans="1:5" s="3" customFormat="1" ht="19.5" customHeight="1">
      <c r="A2007" s="8">
        <v>2005</v>
      </c>
      <c r="B2007" s="8" t="str">
        <f>"21902020071811204029872"</f>
        <v>21902020071811204029872</v>
      </c>
      <c r="C2007" s="8" t="s">
        <v>16</v>
      </c>
      <c r="D2007" s="8" t="str">
        <f>"徐伟姣"</f>
        <v>徐伟姣</v>
      </c>
      <c r="E2007" s="8" t="str">
        <f>"女"</f>
        <v>女</v>
      </c>
    </row>
    <row r="2008" spans="1:5" s="3" customFormat="1" ht="19.5" customHeight="1">
      <c r="A2008" s="8">
        <v>2006</v>
      </c>
      <c r="B2008" s="8" t="str">
        <f>"21902020071812421529895"</f>
        <v>21902020071812421529895</v>
      </c>
      <c r="C2008" s="8" t="s">
        <v>16</v>
      </c>
      <c r="D2008" s="8" t="str">
        <f>"林文辉"</f>
        <v>林文辉</v>
      </c>
      <c r="E2008" s="8" t="str">
        <f t="shared" si="161"/>
        <v>男</v>
      </c>
    </row>
    <row r="2009" spans="1:5" s="3" customFormat="1" ht="19.5" customHeight="1">
      <c r="A2009" s="8">
        <v>2007</v>
      </c>
      <c r="B2009" s="8" t="str">
        <f>"21902020071816292529971"</f>
        <v>21902020071816292529971</v>
      </c>
      <c r="C2009" s="8" t="s">
        <v>16</v>
      </c>
      <c r="D2009" s="8" t="str">
        <f>"李占亮"</f>
        <v>李占亮</v>
      </c>
      <c r="E2009" s="8" t="str">
        <f t="shared" si="161"/>
        <v>男</v>
      </c>
    </row>
    <row r="2010" spans="1:5" s="3" customFormat="1" ht="19.5" customHeight="1">
      <c r="A2010" s="8">
        <v>2008</v>
      </c>
      <c r="B2010" s="8" t="str">
        <f>"21902020071818355930001"</f>
        <v>21902020071818355930001</v>
      </c>
      <c r="C2010" s="8" t="s">
        <v>16</v>
      </c>
      <c r="D2010" s="8" t="str">
        <f>"孙贤位"</f>
        <v>孙贤位</v>
      </c>
      <c r="E2010" s="8" t="str">
        <f t="shared" si="161"/>
        <v>男</v>
      </c>
    </row>
    <row r="2011" spans="1:5" s="3" customFormat="1" ht="19.5" customHeight="1">
      <c r="A2011" s="8">
        <v>2009</v>
      </c>
      <c r="B2011" s="8" t="str">
        <f>"21902020071820474730036"</f>
        <v>21902020071820474730036</v>
      </c>
      <c r="C2011" s="8" t="s">
        <v>16</v>
      </c>
      <c r="D2011" s="8" t="str">
        <f>"许必阳"</f>
        <v>许必阳</v>
      </c>
      <c r="E2011" s="8" t="str">
        <f t="shared" si="161"/>
        <v>男</v>
      </c>
    </row>
    <row r="2012" spans="1:5" s="3" customFormat="1" ht="19.5" customHeight="1">
      <c r="A2012" s="8">
        <v>2010</v>
      </c>
      <c r="B2012" s="8" t="str">
        <f>"21902020071823170430073"</f>
        <v>21902020071823170430073</v>
      </c>
      <c r="C2012" s="8" t="s">
        <v>16</v>
      </c>
      <c r="D2012" s="8" t="str">
        <f>"许华丹"</f>
        <v>许华丹</v>
      </c>
      <c r="E2012" s="8" t="str">
        <f aca="true" t="shared" si="162" ref="E2012:E2017">"女"</f>
        <v>女</v>
      </c>
    </row>
    <row r="2013" spans="1:5" s="3" customFormat="1" ht="19.5" customHeight="1">
      <c r="A2013" s="8">
        <v>2011</v>
      </c>
      <c r="B2013" s="8" t="str">
        <f>"21902020071910540630129"</f>
        <v>21902020071910540630129</v>
      </c>
      <c r="C2013" s="8" t="s">
        <v>16</v>
      </c>
      <c r="D2013" s="8" t="str">
        <f>"林才义"</f>
        <v>林才义</v>
      </c>
      <c r="E2013" s="8" t="str">
        <f aca="true" t="shared" si="163" ref="E2013:E2018">"男"</f>
        <v>男</v>
      </c>
    </row>
    <row r="2014" spans="1:5" s="3" customFormat="1" ht="19.5" customHeight="1">
      <c r="A2014" s="8">
        <v>2012</v>
      </c>
      <c r="B2014" s="8" t="str">
        <f>"21902020071911204530137"</f>
        <v>21902020071911204530137</v>
      </c>
      <c r="C2014" s="8" t="s">
        <v>16</v>
      </c>
      <c r="D2014" s="8" t="str">
        <f>"吴敏"</f>
        <v>吴敏</v>
      </c>
      <c r="E2014" s="8" t="str">
        <f t="shared" si="162"/>
        <v>女</v>
      </c>
    </row>
    <row r="2015" spans="1:5" s="3" customFormat="1" ht="19.5" customHeight="1">
      <c r="A2015" s="8">
        <v>2013</v>
      </c>
      <c r="B2015" s="8" t="str">
        <f>"21902020071916220030248"</f>
        <v>21902020071916220030248</v>
      </c>
      <c r="C2015" s="8" t="s">
        <v>16</v>
      </c>
      <c r="D2015" s="8" t="str">
        <f>"李笔庚"</f>
        <v>李笔庚</v>
      </c>
      <c r="E2015" s="8" t="str">
        <f t="shared" si="163"/>
        <v>男</v>
      </c>
    </row>
    <row r="2016" spans="1:5" s="3" customFormat="1" ht="19.5" customHeight="1">
      <c r="A2016" s="8">
        <v>2014</v>
      </c>
      <c r="B2016" s="8" t="str">
        <f>"21902020071916353530254"</f>
        <v>21902020071916353530254</v>
      </c>
      <c r="C2016" s="8" t="s">
        <v>16</v>
      </c>
      <c r="D2016" s="8" t="str">
        <f>"郑新娥"</f>
        <v>郑新娥</v>
      </c>
      <c r="E2016" s="8" t="str">
        <f t="shared" si="162"/>
        <v>女</v>
      </c>
    </row>
    <row r="2017" spans="1:5" s="3" customFormat="1" ht="19.5" customHeight="1">
      <c r="A2017" s="8">
        <v>2015</v>
      </c>
      <c r="B2017" s="8" t="str">
        <f>"21902020071918123030292"</f>
        <v>21902020071918123030292</v>
      </c>
      <c r="C2017" s="8" t="s">
        <v>16</v>
      </c>
      <c r="D2017" s="8" t="str">
        <f>"韦清慧"</f>
        <v>韦清慧</v>
      </c>
      <c r="E2017" s="8" t="str">
        <f t="shared" si="162"/>
        <v>女</v>
      </c>
    </row>
    <row r="2018" spans="1:5" s="3" customFormat="1" ht="19.5" customHeight="1">
      <c r="A2018" s="8">
        <v>2016</v>
      </c>
      <c r="B2018" s="8" t="str">
        <f>"21902020071919435030314"</f>
        <v>21902020071919435030314</v>
      </c>
      <c r="C2018" s="8" t="s">
        <v>16</v>
      </c>
      <c r="D2018" s="8" t="str">
        <f>"李仁智"</f>
        <v>李仁智</v>
      </c>
      <c r="E2018" s="8" t="str">
        <f t="shared" si="163"/>
        <v>男</v>
      </c>
    </row>
    <row r="2019" spans="1:5" s="3" customFormat="1" ht="19.5" customHeight="1">
      <c r="A2019" s="8">
        <v>2017</v>
      </c>
      <c r="B2019" s="8" t="str">
        <f>"21902020071920491230337"</f>
        <v>21902020071920491230337</v>
      </c>
      <c r="C2019" s="8" t="s">
        <v>16</v>
      </c>
      <c r="D2019" s="8" t="str">
        <f>"符发火"</f>
        <v>符发火</v>
      </c>
      <c r="E2019" s="8" t="str">
        <f aca="true" t="shared" si="164" ref="E2019:E2021">"女"</f>
        <v>女</v>
      </c>
    </row>
    <row r="2020" spans="1:5" s="3" customFormat="1" ht="19.5" customHeight="1">
      <c r="A2020" s="8">
        <v>2018</v>
      </c>
      <c r="B2020" s="8" t="str">
        <f>"21902020071922565630383"</f>
        <v>21902020071922565630383</v>
      </c>
      <c r="C2020" s="8" t="s">
        <v>16</v>
      </c>
      <c r="D2020" s="8" t="str">
        <f>"郑莲女"</f>
        <v>郑莲女</v>
      </c>
      <c r="E2020" s="8" t="str">
        <f t="shared" si="164"/>
        <v>女</v>
      </c>
    </row>
    <row r="2021" spans="1:5" s="3" customFormat="1" ht="19.5" customHeight="1">
      <c r="A2021" s="8">
        <v>2019</v>
      </c>
      <c r="B2021" s="8" t="str">
        <f>"21902020072000150430409"</f>
        <v>21902020072000150430409</v>
      </c>
      <c r="C2021" s="8" t="s">
        <v>16</v>
      </c>
      <c r="D2021" s="8" t="str">
        <f>"符善庆"</f>
        <v>符善庆</v>
      </c>
      <c r="E2021" s="8" t="str">
        <f t="shared" si="164"/>
        <v>女</v>
      </c>
    </row>
    <row r="2022" spans="1:5" s="3" customFormat="1" ht="19.5" customHeight="1">
      <c r="A2022" s="8">
        <v>2020</v>
      </c>
      <c r="B2022" s="8" t="str">
        <f>"21902020072008181330432"</f>
        <v>21902020072008181330432</v>
      </c>
      <c r="C2022" s="8" t="s">
        <v>16</v>
      </c>
      <c r="D2022" s="8" t="str">
        <f>"张海鹏"</f>
        <v>张海鹏</v>
      </c>
      <c r="E2022" s="8" t="str">
        <f aca="true" t="shared" si="165" ref="E2022:E2029">"男"</f>
        <v>男</v>
      </c>
    </row>
    <row r="2023" spans="1:5" s="3" customFormat="1" ht="19.5" customHeight="1">
      <c r="A2023" s="8">
        <v>2021</v>
      </c>
      <c r="B2023" s="8" t="str">
        <f>"21902020072008405830445"</f>
        <v>21902020072008405830445</v>
      </c>
      <c r="C2023" s="8" t="s">
        <v>16</v>
      </c>
      <c r="D2023" s="8" t="str">
        <f>"唐多松"</f>
        <v>唐多松</v>
      </c>
      <c r="E2023" s="8" t="str">
        <f t="shared" si="165"/>
        <v>男</v>
      </c>
    </row>
    <row r="2024" spans="1:5" s="3" customFormat="1" ht="19.5" customHeight="1">
      <c r="A2024" s="8">
        <v>2022</v>
      </c>
      <c r="B2024" s="8" t="str">
        <f>"21902020072010470730538"</f>
        <v>21902020072010470730538</v>
      </c>
      <c r="C2024" s="8" t="s">
        <v>16</v>
      </c>
      <c r="D2024" s="8" t="str">
        <f>"陈金彩"</f>
        <v>陈金彩</v>
      </c>
      <c r="E2024" s="8" t="str">
        <f>"女"</f>
        <v>女</v>
      </c>
    </row>
    <row r="2025" spans="1:5" s="3" customFormat="1" ht="19.5" customHeight="1">
      <c r="A2025" s="8">
        <v>2023</v>
      </c>
      <c r="B2025" s="8" t="str">
        <f>"21902020072011244930569"</f>
        <v>21902020072011244930569</v>
      </c>
      <c r="C2025" s="8" t="s">
        <v>16</v>
      </c>
      <c r="D2025" s="8" t="str">
        <f>"陈有宝"</f>
        <v>陈有宝</v>
      </c>
      <c r="E2025" s="8" t="str">
        <f t="shared" si="165"/>
        <v>男</v>
      </c>
    </row>
    <row r="2026" spans="1:5" s="3" customFormat="1" ht="19.5" customHeight="1">
      <c r="A2026" s="8">
        <v>2024</v>
      </c>
      <c r="B2026" s="8" t="str">
        <f>"21902020072012090430600"</f>
        <v>21902020072012090430600</v>
      </c>
      <c r="C2026" s="8" t="s">
        <v>16</v>
      </c>
      <c r="D2026" s="8" t="str">
        <f>"唐福阳"</f>
        <v>唐福阳</v>
      </c>
      <c r="E2026" s="8" t="str">
        <f t="shared" si="165"/>
        <v>男</v>
      </c>
    </row>
    <row r="2027" spans="1:5" s="3" customFormat="1" ht="19.5" customHeight="1">
      <c r="A2027" s="8">
        <v>2025</v>
      </c>
      <c r="B2027" s="8" t="str">
        <f>"21902020072012271030610"</f>
        <v>21902020072012271030610</v>
      </c>
      <c r="C2027" s="8" t="s">
        <v>16</v>
      </c>
      <c r="D2027" s="8" t="str">
        <f>"唐喜欢"</f>
        <v>唐喜欢</v>
      </c>
      <c r="E2027" s="8" t="str">
        <f t="shared" si="165"/>
        <v>男</v>
      </c>
    </row>
    <row r="2028" spans="1:5" s="3" customFormat="1" ht="19.5" customHeight="1">
      <c r="A2028" s="8">
        <v>2026</v>
      </c>
      <c r="B2028" s="8" t="str">
        <f>"21902020072013493630668"</f>
        <v>21902020072013493630668</v>
      </c>
      <c r="C2028" s="8" t="s">
        <v>16</v>
      </c>
      <c r="D2028" s="8" t="str">
        <f>"沈茂相"</f>
        <v>沈茂相</v>
      </c>
      <c r="E2028" s="8" t="str">
        <f t="shared" si="165"/>
        <v>男</v>
      </c>
    </row>
    <row r="2029" spans="1:5" s="3" customFormat="1" ht="19.5" customHeight="1">
      <c r="A2029" s="8">
        <v>2027</v>
      </c>
      <c r="B2029" s="8" t="str">
        <f>"21902020071409035725956"</f>
        <v>21902020071409035725956</v>
      </c>
      <c r="C2029" s="8" t="s">
        <v>17</v>
      </c>
      <c r="D2029" s="8" t="str">
        <f>"陈万见"</f>
        <v>陈万见</v>
      </c>
      <c r="E2029" s="8" t="str">
        <f t="shared" si="165"/>
        <v>男</v>
      </c>
    </row>
    <row r="2030" spans="1:5" s="3" customFormat="1" ht="19.5" customHeight="1">
      <c r="A2030" s="8">
        <v>2028</v>
      </c>
      <c r="B2030" s="8" t="str">
        <f>"21902020071409041325958"</f>
        <v>21902020071409041325958</v>
      </c>
      <c r="C2030" s="8" t="s">
        <v>17</v>
      </c>
      <c r="D2030" s="8" t="str">
        <f>"赵丽花"</f>
        <v>赵丽花</v>
      </c>
      <c r="E2030" s="8" t="str">
        <f aca="true" t="shared" si="166" ref="E2030:E2032">"女"</f>
        <v>女</v>
      </c>
    </row>
    <row r="2031" spans="1:5" s="3" customFormat="1" ht="19.5" customHeight="1">
      <c r="A2031" s="8">
        <v>2029</v>
      </c>
      <c r="B2031" s="8" t="str">
        <f>"21902020071409060325971"</f>
        <v>21902020071409060325971</v>
      </c>
      <c r="C2031" s="8" t="s">
        <v>17</v>
      </c>
      <c r="D2031" s="8" t="str">
        <f>"陈珊珊"</f>
        <v>陈珊珊</v>
      </c>
      <c r="E2031" s="8" t="str">
        <f t="shared" si="166"/>
        <v>女</v>
      </c>
    </row>
    <row r="2032" spans="1:5" s="3" customFormat="1" ht="19.5" customHeight="1">
      <c r="A2032" s="8">
        <v>2030</v>
      </c>
      <c r="B2032" s="8" t="str">
        <f>"21902020071409061225973"</f>
        <v>21902020071409061225973</v>
      </c>
      <c r="C2032" s="8" t="s">
        <v>17</v>
      </c>
      <c r="D2032" s="8" t="str">
        <f>"吴哲茹"</f>
        <v>吴哲茹</v>
      </c>
      <c r="E2032" s="8" t="str">
        <f t="shared" si="166"/>
        <v>女</v>
      </c>
    </row>
    <row r="2033" spans="1:5" s="3" customFormat="1" ht="19.5" customHeight="1">
      <c r="A2033" s="8">
        <v>2031</v>
      </c>
      <c r="B2033" s="8" t="str">
        <f>"21902020071409063525977"</f>
        <v>21902020071409063525977</v>
      </c>
      <c r="C2033" s="8" t="s">
        <v>17</v>
      </c>
      <c r="D2033" s="8" t="str">
        <f>"黎维荣"</f>
        <v>黎维荣</v>
      </c>
      <c r="E2033" s="8" t="str">
        <f aca="true" t="shared" si="167" ref="E2033:E2035">"男"</f>
        <v>男</v>
      </c>
    </row>
    <row r="2034" spans="1:5" s="3" customFormat="1" ht="19.5" customHeight="1">
      <c r="A2034" s="8">
        <v>2032</v>
      </c>
      <c r="B2034" s="8" t="str">
        <f>"21902020071409063725978"</f>
        <v>21902020071409063725978</v>
      </c>
      <c r="C2034" s="8" t="s">
        <v>17</v>
      </c>
      <c r="D2034" s="8" t="str">
        <f>"齐麟和"</f>
        <v>齐麟和</v>
      </c>
      <c r="E2034" s="8" t="str">
        <f t="shared" si="167"/>
        <v>男</v>
      </c>
    </row>
    <row r="2035" spans="1:5" s="3" customFormat="1" ht="19.5" customHeight="1">
      <c r="A2035" s="8">
        <v>2033</v>
      </c>
      <c r="B2035" s="8" t="str">
        <f>"21902020071409065525982"</f>
        <v>21902020071409065525982</v>
      </c>
      <c r="C2035" s="8" t="s">
        <v>17</v>
      </c>
      <c r="D2035" s="8" t="str">
        <f>"符健荣"</f>
        <v>符健荣</v>
      </c>
      <c r="E2035" s="8" t="str">
        <f t="shared" si="167"/>
        <v>男</v>
      </c>
    </row>
    <row r="2036" spans="1:5" s="3" customFormat="1" ht="19.5" customHeight="1">
      <c r="A2036" s="8">
        <v>2034</v>
      </c>
      <c r="B2036" s="8" t="str">
        <f>"21902020071409070125983"</f>
        <v>21902020071409070125983</v>
      </c>
      <c r="C2036" s="8" t="s">
        <v>17</v>
      </c>
      <c r="D2036" s="8" t="str">
        <f>"何仙瑷"</f>
        <v>何仙瑷</v>
      </c>
      <c r="E2036" s="8" t="str">
        <f aca="true" t="shared" si="168" ref="E2036:E2046">"女"</f>
        <v>女</v>
      </c>
    </row>
    <row r="2037" spans="1:5" s="3" customFormat="1" ht="19.5" customHeight="1">
      <c r="A2037" s="8">
        <v>2035</v>
      </c>
      <c r="B2037" s="8" t="str">
        <f>"21902020071409082025992"</f>
        <v>21902020071409082025992</v>
      </c>
      <c r="C2037" s="8" t="s">
        <v>17</v>
      </c>
      <c r="D2037" s="8" t="str">
        <f>"周彩今"</f>
        <v>周彩今</v>
      </c>
      <c r="E2037" s="8" t="str">
        <f t="shared" si="168"/>
        <v>女</v>
      </c>
    </row>
    <row r="2038" spans="1:5" s="3" customFormat="1" ht="19.5" customHeight="1">
      <c r="A2038" s="8">
        <v>2036</v>
      </c>
      <c r="B2038" s="8" t="str">
        <f>"21902020071409112826013"</f>
        <v>21902020071409112826013</v>
      </c>
      <c r="C2038" s="8" t="s">
        <v>17</v>
      </c>
      <c r="D2038" s="8" t="str">
        <f>"陈厚任"</f>
        <v>陈厚任</v>
      </c>
      <c r="E2038" s="8" t="str">
        <f>"男"</f>
        <v>男</v>
      </c>
    </row>
    <row r="2039" spans="1:5" s="3" customFormat="1" ht="19.5" customHeight="1">
      <c r="A2039" s="8">
        <v>2037</v>
      </c>
      <c r="B2039" s="8" t="str">
        <f>"21902020071409130426024"</f>
        <v>21902020071409130426024</v>
      </c>
      <c r="C2039" s="8" t="s">
        <v>17</v>
      </c>
      <c r="D2039" s="8" t="str">
        <f>"许玉梅"</f>
        <v>许玉梅</v>
      </c>
      <c r="E2039" s="8" t="str">
        <f t="shared" si="168"/>
        <v>女</v>
      </c>
    </row>
    <row r="2040" spans="1:5" s="3" customFormat="1" ht="19.5" customHeight="1">
      <c r="A2040" s="8">
        <v>2038</v>
      </c>
      <c r="B2040" s="8" t="str">
        <f>"21902020071409141526032"</f>
        <v>21902020071409141526032</v>
      </c>
      <c r="C2040" s="8" t="s">
        <v>17</v>
      </c>
      <c r="D2040" s="8" t="str">
        <f>"陈坤莲"</f>
        <v>陈坤莲</v>
      </c>
      <c r="E2040" s="8" t="str">
        <f t="shared" si="168"/>
        <v>女</v>
      </c>
    </row>
    <row r="2041" spans="1:5" s="3" customFormat="1" ht="19.5" customHeight="1">
      <c r="A2041" s="8">
        <v>2039</v>
      </c>
      <c r="B2041" s="8" t="str">
        <f>"21902020071409191726064"</f>
        <v>21902020071409191726064</v>
      </c>
      <c r="C2041" s="8" t="s">
        <v>17</v>
      </c>
      <c r="D2041" s="8" t="str">
        <f>"符海霞"</f>
        <v>符海霞</v>
      </c>
      <c r="E2041" s="8" t="str">
        <f t="shared" si="168"/>
        <v>女</v>
      </c>
    </row>
    <row r="2042" spans="1:5" s="3" customFormat="1" ht="19.5" customHeight="1">
      <c r="A2042" s="8">
        <v>2040</v>
      </c>
      <c r="B2042" s="8" t="str">
        <f>"21902020071409195026068"</f>
        <v>21902020071409195026068</v>
      </c>
      <c r="C2042" s="8" t="s">
        <v>17</v>
      </c>
      <c r="D2042" s="8" t="str">
        <f>"符晓晶"</f>
        <v>符晓晶</v>
      </c>
      <c r="E2042" s="8" t="str">
        <f t="shared" si="168"/>
        <v>女</v>
      </c>
    </row>
    <row r="2043" spans="1:5" s="3" customFormat="1" ht="19.5" customHeight="1">
      <c r="A2043" s="8">
        <v>2041</v>
      </c>
      <c r="B2043" s="8" t="str">
        <f>"21902020071409253726097"</f>
        <v>21902020071409253726097</v>
      </c>
      <c r="C2043" s="8" t="s">
        <v>17</v>
      </c>
      <c r="D2043" s="8" t="str">
        <f>"卓彩虹"</f>
        <v>卓彩虹</v>
      </c>
      <c r="E2043" s="8" t="str">
        <f t="shared" si="168"/>
        <v>女</v>
      </c>
    </row>
    <row r="2044" spans="1:5" s="3" customFormat="1" ht="19.5" customHeight="1">
      <c r="A2044" s="8">
        <v>2042</v>
      </c>
      <c r="B2044" s="8" t="str">
        <f>"21902020071409270826106"</f>
        <v>21902020071409270826106</v>
      </c>
      <c r="C2044" s="8" t="s">
        <v>17</v>
      </c>
      <c r="D2044" s="8" t="str">
        <f>"符玉坤"</f>
        <v>符玉坤</v>
      </c>
      <c r="E2044" s="8" t="str">
        <f t="shared" si="168"/>
        <v>女</v>
      </c>
    </row>
    <row r="2045" spans="1:5" s="3" customFormat="1" ht="19.5" customHeight="1">
      <c r="A2045" s="8">
        <v>2043</v>
      </c>
      <c r="B2045" s="8" t="str">
        <f>"21902020071409274526108"</f>
        <v>21902020071409274526108</v>
      </c>
      <c r="C2045" s="8" t="s">
        <v>17</v>
      </c>
      <c r="D2045" s="8" t="str">
        <f>"岑永芳"</f>
        <v>岑永芳</v>
      </c>
      <c r="E2045" s="8" t="str">
        <f t="shared" si="168"/>
        <v>女</v>
      </c>
    </row>
    <row r="2046" spans="1:5" s="3" customFormat="1" ht="19.5" customHeight="1">
      <c r="A2046" s="8">
        <v>2044</v>
      </c>
      <c r="B2046" s="8" t="str">
        <f>"21902020071409283426112"</f>
        <v>21902020071409283426112</v>
      </c>
      <c r="C2046" s="8" t="s">
        <v>17</v>
      </c>
      <c r="D2046" s="8" t="str">
        <f>"李美风"</f>
        <v>李美风</v>
      </c>
      <c r="E2046" s="8" t="str">
        <f t="shared" si="168"/>
        <v>女</v>
      </c>
    </row>
    <row r="2047" spans="1:5" s="3" customFormat="1" ht="19.5" customHeight="1">
      <c r="A2047" s="8">
        <v>2045</v>
      </c>
      <c r="B2047" s="8" t="str">
        <f>"21902020071409370026148"</f>
        <v>21902020071409370026148</v>
      </c>
      <c r="C2047" s="8" t="s">
        <v>17</v>
      </c>
      <c r="D2047" s="8" t="str">
        <f>"符灵基"</f>
        <v>符灵基</v>
      </c>
      <c r="E2047" s="8" t="str">
        <f aca="true" t="shared" si="169" ref="E2047:E2055">"男"</f>
        <v>男</v>
      </c>
    </row>
    <row r="2048" spans="1:5" s="3" customFormat="1" ht="19.5" customHeight="1">
      <c r="A2048" s="8">
        <v>2046</v>
      </c>
      <c r="B2048" s="8" t="str">
        <f>"21902020071409373926153"</f>
        <v>21902020071409373926153</v>
      </c>
      <c r="C2048" s="8" t="s">
        <v>17</v>
      </c>
      <c r="D2048" s="8" t="str">
        <f>"羊婷"</f>
        <v>羊婷</v>
      </c>
      <c r="E2048" s="8" t="str">
        <f>"女"</f>
        <v>女</v>
      </c>
    </row>
    <row r="2049" spans="1:5" s="3" customFormat="1" ht="19.5" customHeight="1">
      <c r="A2049" s="8">
        <v>2047</v>
      </c>
      <c r="B2049" s="8" t="str">
        <f>"21902020071409425926168"</f>
        <v>21902020071409425926168</v>
      </c>
      <c r="C2049" s="8" t="s">
        <v>17</v>
      </c>
      <c r="D2049" s="8" t="str">
        <f>"陈博川"</f>
        <v>陈博川</v>
      </c>
      <c r="E2049" s="8" t="str">
        <f>"女"</f>
        <v>女</v>
      </c>
    </row>
    <row r="2050" spans="1:5" s="3" customFormat="1" ht="19.5" customHeight="1">
      <c r="A2050" s="8">
        <v>2048</v>
      </c>
      <c r="B2050" s="8" t="str">
        <f>"21902020071409451426176"</f>
        <v>21902020071409451426176</v>
      </c>
      <c r="C2050" s="8" t="s">
        <v>17</v>
      </c>
      <c r="D2050" s="8" t="str">
        <f>"李东蔚"</f>
        <v>李东蔚</v>
      </c>
      <c r="E2050" s="8" t="str">
        <f t="shared" si="169"/>
        <v>男</v>
      </c>
    </row>
    <row r="2051" spans="1:5" s="3" customFormat="1" ht="19.5" customHeight="1">
      <c r="A2051" s="8">
        <v>2049</v>
      </c>
      <c r="B2051" s="8" t="str">
        <f>"21902020071409452326177"</f>
        <v>21902020071409452326177</v>
      </c>
      <c r="C2051" s="8" t="s">
        <v>17</v>
      </c>
      <c r="D2051" s="8" t="str">
        <f>"陈学乐"</f>
        <v>陈学乐</v>
      </c>
      <c r="E2051" s="8" t="str">
        <f t="shared" si="169"/>
        <v>男</v>
      </c>
    </row>
    <row r="2052" spans="1:5" s="3" customFormat="1" ht="19.5" customHeight="1">
      <c r="A2052" s="8">
        <v>2050</v>
      </c>
      <c r="B2052" s="8" t="str">
        <f>"21902020071409462226183"</f>
        <v>21902020071409462226183</v>
      </c>
      <c r="C2052" s="8" t="s">
        <v>17</v>
      </c>
      <c r="D2052" s="8" t="str">
        <f>"杨世明"</f>
        <v>杨世明</v>
      </c>
      <c r="E2052" s="8" t="str">
        <f t="shared" si="169"/>
        <v>男</v>
      </c>
    </row>
    <row r="2053" spans="1:5" s="3" customFormat="1" ht="19.5" customHeight="1">
      <c r="A2053" s="8">
        <v>2051</v>
      </c>
      <c r="B2053" s="8" t="str">
        <f>"21902020071409485226191"</f>
        <v>21902020071409485226191</v>
      </c>
      <c r="C2053" s="8" t="s">
        <v>17</v>
      </c>
      <c r="D2053" s="8" t="str">
        <f>"黎镠"</f>
        <v>黎镠</v>
      </c>
      <c r="E2053" s="8" t="str">
        <f t="shared" si="169"/>
        <v>男</v>
      </c>
    </row>
    <row r="2054" spans="1:5" s="3" customFormat="1" ht="19.5" customHeight="1">
      <c r="A2054" s="8">
        <v>2052</v>
      </c>
      <c r="B2054" s="8" t="str">
        <f>"21902020071409500426195"</f>
        <v>21902020071409500426195</v>
      </c>
      <c r="C2054" s="8" t="s">
        <v>17</v>
      </c>
      <c r="D2054" s="8" t="str">
        <f>"黎发权"</f>
        <v>黎发权</v>
      </c>
      <c r="E2054" s="8" t="str">
        <f t="shared" si="169"/>
        <v>男</v>
      </c>
    </row>
    <row r="2055" spans="1:5" s="3" customFormat="1" ht="19.5" customHeight="1">
      <c r="A2055" s="8">
        <v>2053</v>
      </c>
      <c r="B2055" s="8" t="str">
        <f>"21902020071409515626204"</f>
        <v>21902020071409515626204</v>
      </c>
      <c r="C2055" s="8" t="s">
        <v>17</v>
      </c>
      <c r="D2055" s="8" t="str">
        <f>"唐广之"</f>
        <v>唐广之</v>
      </c>
      <c r="E2055" s="8" t="str">
        <f t="shared" si="169"/>
        <v>男</v>
      </c>
    </row>
    <row r="2056" spans="1:5" s="3" customFormat="1" ht="19.5" customHeight="1">
      <c r="A2056" s="8">
        <v>2054</v>
      </c>
      <c r="B2056" s="8" t="str">
        <f>"21902020071409585826233"</f>
        <v>21902020071409585826233</v>
      </c>
      <c r="C2056" s="8" t="s">
        <v>17</v>
      </c>
      <c r="D2056" s="8" t="str">
        <f>"李秋爱"</f>
        <v>李秋爱</v>
      </c>
      <c r="E2056" s="8" t="str">
        <f aca="true" t="shared" si="170" ref="E2056:E2061">"女"</f>
        <v>女</v>
      </c>
    </row>
    <row r="2057" spans="1:5" s="3" customFormat="1" ht="19.5" customHeight="1">
      <c r="A2057" s="8">
        <v>2055</v>
      </c>
      <c r="B2057" s="8" t="str">
        <f>"21902020071410002026238"</f>
        <v>21902020071410002026238</v>
      </c>
      <c r="C2057" s="8" t="s">
        <v>17</v>
      </c>
      <c r="D2057" s="8" t="str">
        <f>"许卓栋"</f>
        <v>许卓栋</v>
      </c>
      <c r="E2057" s="8" t="str">
        <f aca="true" t="shared" si="171" ref="E2057:E2059">"男"</f>
        <v>男</v>
      </c>
    </row>
    <row r="2058" spans="1:5" s="3" customFormat="1" ht="19.5" customHeight="1">
      <c r="A2058" s="8">
        <v>2056</v>
      </c>
      <c r="B2058" s="8" t="str">
        <f>"21902020071410064826273"</f>
        <v>21902020071410064826273</v>
      </c>
      <c r="C2058" s="8" t="s">
        <v>17</v>
      </c>
      <c r="D2058" s="8" t="str">
        <f>"何健良"</f>
        <v>何健良</v>
      </c>
      <c r="E2058" s="8" t="str">
        <f t="shared" si="171"/>
        <v>男</v>
      </c>
    </row>
    <row r="2059" spans="1:5" s="3" customFormat="1" ht="19.5" customHeight="1">
      <c r="A2059" s="8">
        <v>2057</v>
      </c>
      <c r="B2059" s="8" t="str">
        <f>"21902020071410071926279"</f>
        <v>21902020071410071926279</v>
      </c>
      <c r="C2059" s="8" t="s">
        <v>17</v>
      </c>
      <c r="D2059" s="8" t="str">
        <f>"薛智广"</f>
        <v>薛智广</v>
      </c>
      <c r="E2059" s="8" t="str">
        <f t="shared" si="171"/>
        <v>男</v>
      </c>
    </row>
    <row r="2060" spans="1:5" s="3" customFormat="1" ht="19.5" customHeight="1">
      <c r="A2060" s="8">
        <v>2058</v>
      </c>
      <c r="B2060" s="8" t="str">
        <f>"21902020071410072926280"</f>
        <v>21902020071410072926280</v>
      </c>
      <c r="C2060" s="8" t="s">
        <v>17</v>
      </c>
      <c r="D2060" s="8" t="str">
        <f>"王凌霞"</f>
        <v>王凌霞</v>
      </c>
      <c r="E2060" s="8" t="str">
        <f t="shared" si="170"/>
        <v>女</v>
      </c>
    </row>
    <row r="2061" spans="1:5" s="3" customFormat="1" ht="19.5" customHeight="1">
      <c r="A2061" s="8">
        <v>2059</v>
      </c>
      <c r="B2061" s="8" t="str">
        <f>"21902020071410204426339"</f>
        <v>21902020071410204426339</v>
      </c>
      <c r="C2061" s="8" t="s">
        <v>17</v>
      </c>
      <c r="D2061" s="8" t="str">
        <f>"颜雯"</f>
        <v>颜雯</v>
      </c>
      <c r="E2061" s="8" t="str">
        <f t="shared" si="170"/>
        <v>女</v>
      </c>
    </row>
    <row r="2062" spans="1:5" s="3" customFormat="1" ht="19.5" customHeight="1">
      <c r="A2062" s="8">
        <v>2060</v>
      </c>
      <c r="B2062" s="8" t="str">
        <f>"21902020071410223926343"</f>
        <v>21902020071410223926343</v>
      </c>
      <c r="C2062" s="8" t="s">
        <v>17</v>
      </c>
      <c r="D2062" s="8" t="str">
        <f>"陈伟龙"</f>
        <v>陈伟龙</v>
      </c>
      <c r="E2062" s="8" t="str">
        <f aca="true" t="shared" si="172" ref="E2062:E2066">"男"</f>
        <v>男</v>
      </c>
    </row>
    <row r="2063" spans="1:5" s="3" customFormat="1" ht="19.5" customHeight="1">
      <c r="A2063" s="8">
        <v>2061</v>
      </c>
      <c r="B2063" s="8" t="str">
        <f>"21902020071410225626346"</f>
        <v>21902020071410225626346</v>
      </c>
      <c r="C2063" s="8" t="s">
        <v>17</v>
      </c>
      <c r="D2063" s="8" t="str">
        <f>"张运丰"</f>
        <v>张运丰</v>
      </c>
      <c r="E2063" s="8" t="str">
        <f t="shared" si="172"/>
        <v>男</v>
      </c>
    </row>
    <row r="2064" spans="1:5" s="3" customFormat="1" ht="19.5" customHeight="1">
      <c r="A2064" s="8">
        <v>2062</v>
      </c>
      <c r="B2064" s="8" t="str">
        <f>"21902020071410245926353"</f>
        <v>21902020071410245926353</v>
      </c>
      <c r="C2064" s="8" t="s">
        <v>17</v>
      </c>
      <c r="D2064" s="8" t="str">
        <f>"曾琼妹"</f>
        <v>曾琼妹</v>
      </c>
      <c r="E2064" s="8" t="str">
        <f aca="true" t="shared" si="173" ref="E2064:E2069">"女"</f>
        <v>女</v>
      </c>
    </row>
    <row r="2065" spans="1:5" s="3" customFormat="1" ht="19.5" customHeight="1">
      <c r="A2065" s="8">
        <v>2063</v>
      </c>
      <c r="B2065" s="8" t="str">
        <f>"21902020071410311826376"</f>
        <v>21902020071410311826376</v>
      </c>
      <c r="C2065" s="8" t="s">
        <v>17</v>
      </c>
      <c r="D2065" s="8" t="str">
        <f>"朱金姬"</f>
        <v>朱金姬</v>
      </c>
      <c r="E2065" s="8" t="str">
        <f t="shared" si="173"/>
        <v>女</v>
      </c>
    </row>
    <row r="2066" spans="1:5" s="3" customFormat="1" ht="19.5" customHeight="1">
      <c r="A2066" s="8">
        <v>2064</v>
      </c>
      <c r="B2066" s="8" t="str">
        <f>"21902020071410343226388"</f>
        <v>21902020071410343226388</v>
      </c>
      <c r="C2066" s="8" t="s">
        <v>17</v>
      </c>
      <c r="D2066" s="8" t="str">
        <f>"林才煌"</f>
        <v>林才煌</v>
      </c>
      <c r="E2066" s="8" t="str">
        <f t="shared" si="172"/>
        <v>男</v>
      </c>
    </row>
    <row r="2067" spans="1:5" s="3" customFormat="1" ht="19.5" customHeight="1">
      <c r="A2067" s="8">
        <v>2065</v>
      </c>
      <c r="B2067" s="8" t="str">
        <f>"21902020071410343526389"</f>
        <v>21902020071410343526389</v>
      </c>
      <c r="C2067" s="8" t="s">
        <v>17</v>
      </c>
      <c r="D2067" s="8" t="str">
        <f>"许莉芬"</f>
        <v>许莉芬</v>
      </c>
      <c r="E2067" s="8" t="str">
        <f t="shared" si="173"/>
        <v>女</v>
      </c>
    </row>
    <row r="2068" spans="1:5" s="3" customFormat="1" ht="19.5" customHeight="1">
      <c r="A2068" s="8">
        <v>2066</v>
      </c>
      <c r="B2068" s="8" t="str">
        <f>"21902020071410351726391"</f>
        <v>21902020071410351726391</v>
      </c>
      <c r="C2068" s="8" t="s">
        <v>17</v>
      </c>
      <c r="D2068" s="8" t="str">
        <f>"张倩"</f>
        <v>张倩</v>
      </c>
      <c r="E2068" s="8" t="str">
        <f t="shared" si="173"/>
        <v>女</v>
      </c>
    </row>
    <row r="2069" spans="1:5" s="3" customFormat="1" ht="19.5" customHeight="1">
      <c r="A2069" s="8">
        <v>2067</v>
      </c>
      <c r="B2069" s="8" t="str">
        <f>"21902020071410442626423"</f>
        <v>21902020071410442626423</v>
      </c>
      <c r="C2069" s="8" t="s">
        <v>17</v>
      </c>
      <c r="D2069" s="8" t="str">
        <f>"赵栋莲"</f>
        <v>赵栋莲</v>
      </c>
      <c r="E2069" s="8" t="str">
        <f t="shared" si="173"/>
        <v>女</v>
      </c>
    </row>
    <row r="2070" spans="1:5" s="3" customFormat="1" ht="19.5" customHeight="1">
      <c r="A2070" s="8">
        <v>2068</v>
      </c>
      <c r="B2070" s="8" t="str">
        <f>"21902020071410462226431"</f>
        <v>21902020071410462226431</v>
      </c>
      <c r="C2070" s="8" t="s">
        <v>17</v>
      </c>
      <c r="D2070" s="8" t="str">
        <f>"李武雄"</f>
        <v>李武雄</v>
      </c>
      <c r="E2070" s="8" t="str">
        <f aca="true" t="shared" si="174" ref="E2070:E2073">"男"</f>
        <v>男</v>
      </c>
    </row>
    <row r="2071" spans="1:5" s="3" customFormat="1" ht="19.5" customHeight="1">
      <c r="A2071" s="8">
        <v>2069</v>
      </c>
      <c r="B2071" s="8" t="str">
        <f>"21902020071410480826440"</f>
        <v>21902020071410480826440</v>
      </c>
      <c r="C2071" s="8" t="s">
        <v>17</v>
      </c>
      <c r="D2071" s="8" t="str">
        <f>"吴秀清"</f>
        <v>吴秀清</v>
      </c>
      <c r="E2071" s="8" t="str">
        <f aca="true" t="shared" si="175" ref="E2071:E2076">"女"</f>
        <v>女</v>
      </c>
    </row>
    <row r="2072" spans="1:5" s="3" customFormat="1" ht="19.5" customHeight="1">
      <c r="A2072" s="8">
        <v>2070</v>
      </c>
      <c r="B2072" s="8" t="str">
        <f>"21902020071410502726446"</f>
        <v>21902020071410502726446</v>
      </c>
      <c r="C2072" s="8" t="s">
        <v>17</v>
      </c>
      <c r="D2072" s="8" t="str">
        <f>"麦富豪"</f>
        <v>麦富豪</v>
      </c>
      <c r="E2072" s="8" t="str">
        <f t="shared" si="174"/>
        <v>男</v>
      </c>
    </row>
    <row r="2073" spans="1:5" s="3" customFormat="1" ht="19.5" customHeight="1">
      <c r="A2073" s="8">
        <v>2071</v>
      </c>
      <c r="B2073" s="8" t="str">
        <f>"21902020071411063126491"</f>
        <v>21902020071411063126491</v>
      </c>
      <c r="C2073" s="8" t="s">
        <v>17</v>
      </c>
      <c r="D2073" s="8" t="str">
        <f>"羊超俊"</f>
        <v>羊超俊</v>
      </c>
      <c r="E2073" s="8" t="str">
        <f t="shared" si="174"/>
        <v>男</v>
      </c>
    </row>
    <row r="2074" spans="1:5" s="3" customFormat="1" ht="19.5" customHeight="1">
      <c r="A2074" s="8">
        <v>2072</v>
      </c>
      <c r="B2074" s="8" t="str">
        <f>"21902020071411083026503"</f>
        <v>21902020071411083026503</v>
      </c>
      <c r="C2074" s="8" t="s">
        <v>17</v>
      </c>
      <c r="D2074" s="8" t="str">
        <f>"谢欣彤"</f>
        <v>谢欣彤</v>
      </c>
      <c r="E2074" s="8" t="str">
        <f t="shared" si="175"/>
        <v>女</v>
      </c>
    </row>
    <row r="2075" spans="1:5" s="3" customFormat="1" ht="19.5" customHeight="1">
      <c r="A2075" s="8">
        <v>2073</v>
      </c>
      <c r="B2075" s="8" t="str">
        <f>"21902020071411094226507"</f>
        <v>21902020071411094226507</v>
      </c>
      <c r="C2075" s="8" t="s">
        <v>17</v>
      </c>
      <c r="D2075" s="8" t="str">
        <f>"王丽诗"</f>
        <v>王丽诗</v>
      </c>
      <c r="E2075" s="8" t="str">
        <f t="shared" si="175"/>
        <v>女</v>
      </c>
    </row>
    <row r="2076" spans="1:5" s="3" customFormat="1" ht="19.5" customHeight="1">
      <c r="A2076" s="8">
        <v>2074</v>
      </c>
      <c r="B2076" s="8" t="str">
        <f>"21902020071411095226508"</f>
        <v>21902020071411095226508</v>
      </c>
      <c r="C2076" s="8" t="s">
        <v>17</v>
      </c>
      <c r="D2076" s="8" t="str">
        <f>"王晶蕊"</f>
        <v>王晶蕊</v>
      </c>
      <c r="E2076" s="8" t="str">
        <f t="shared" si="175"/>
        <v>女</v>
      </c>
    </row>
    <row r="2077" spans="1:5" s="3" customFormat="1" ht="19.5" customHeight="1">
      <c r="A2077" s="8">
        <v>2075</v>
      </c>
      <c r="B2077" s="8" t="str">
        <f>"21902020071411113626515"</f>
        <v>21902020071411113626515</v>
      </c>
      <c r="C2077" s="8" t="s">
        <v>17</v>
      </c>
      <c r="D2077" s="8" t="str">
        <f>"金江华"</f>
        <v>金江华</v>
      </c>
      <c r="E2077" s="8" t="str">
        <f aca="true" t="shared" si="176" ref="E2077:E2082">"男"</f>
        <v>男</v>
      </c>
    </row>
    <row r="2078" spans="1:5" s="3" customFormat="1" ht="19.5" customHeight="1">
      <c r="A2078" s="8">
        <v>2076</v>
      </c>
      <c r="B2078" s="8" t="str">
        <f>"21902020071411114826518"</f>
        <v>21902020071411114826518</v>
      </c>
      <c r="C2078" s="8" t="s">
        <v>17</v>
      </c>
      <c r="D2078" s="8" t="str">
        <f>"万增豪"</f>
        <v>万增豪</v>
      </c>
      <c r="E2078" s="8" t="str">
        <f t="shared" si="176"/>
        <v>男</v>
      </c>
    </row>
    <row r="2079" spans="1:5" s="3" customFormat="1" ht="19.5" customHeight="1">
      <c r="A2079" s="8">
        <v>2077</v>
      </c>
      <c r="B2079" s="8" t="str">
        <f>"21902020071411133426526"</f>
        <v>21902020071411133426526</v>
      </c>
      <c r="C2079" s="8" t="s">
        <v>17</v>
      </c>
      <c r="D2079" s="8" t="str">
        <f>"张贝斯"</f>
        <v>张贝斯</v>
      </c>
      <c r="E2079" s="8" t="str">
        <f>"女"</f>
        <v>女</v>
      </c>
    </row>
    <row r="2080" spans="1:5" s="3" customFormat="1" ht="19.5" customHeight="1">
      <c r="A2080" s="8">
        <v>2078</v>
      </c>
      <c r="B2080" s="8" t="str">
        <f>"21902020071411140126528"</f>
        <v>21902020071411140126528</v>
      </c>
      <c r="C2080" s="8" t="s">
        <v>17</v>
      </c>
      <c r="D2080" s="8" t="str">
        <f>"陈涛峰"</f>
        <v>陈涛峰</v>
      </c>
      <c r="E2080" s="8" t="str">
        <f t="shared" si="176"/>
        <v>男</v>
      </c>
    </row>
    <row r="2081" spans="1:5" s="3" customFormat="1" ht="19.5" customHeight="1">
      <c r="A2081" s="8">
        <v>2079</v>
      </c>
      <c r="B2081" s="8" t="str">
        <f>"21902020071411145826530"</f>
        <v>21902020071411145826530</v>
      </c>
      <c r="C2081" s="8" t="s">
        <v>17</v>
      </c>
      <c r="D2081" s="8" t="str">
        <f>"陈文训"</f>
        <v>陈文训</v>
      </c>
      <c r="E2081" s="8" t="str">
        <f t="shared" si="176"/>
        <v>男</v>
      </c>
    </row>
    <row r="2082" spans="1:5" s="3" customFormat="1" ht="19.5" customHeight="1">
      <c r="A2082" s="8">
        <v>2080</v>
      </c>
      <c r="B2082" s="8" t="str">
        <f>"21902020071411172226535"</f>
        <v>21902020071411172226535</v>
      </c>
      <c r="C2082" s="8" t="s">
        <v>17</v>
      </c>
      <c r="D2082" s="8" t="str">
        <f>"羊金鹏"</f>
        <v>羊金鹏</v>
      </c>
      <c r="E2082" s="8" t="str">
        <f t="shared" si="176"/>
        <v>男</v>
      </c>
    </row>
    <row r="2083" spans="1:5" s="3" customFormat="1" ht="19.5" customHeight="1">
      <c r="A2083" s="8">
        <v>2081</v>
      </c>
      <c r="B2083" s="8" t="str">
        <f>"21902020071411184926538"</f>
        <v>21902020071411184926538</v>
      </c>
      <c r="C2083" s="8" t="s">
        <v>17</v>
      </c>
      <c r="D2083" s="8" t="str">
        <f>"王江妹"</f>
        <v>王江妹</v>
      </c>
      <c r="E2083" s="8" t="str">
        <f aca="true" t="shared" si="177" ref="E2083:E2087">"女"</f>
        <v>女</v>
      </c>
    </row>
    <row r="2084" spans="1:5" s="3" customFormat="1" ht="19.5" customHeight="1">
      <c r="A2084" s="8">
        <v>2082</v>
      </c>
      <c r="B2084" s="8" t="str">
        <f>"21902020071411200226542"</f>
        <v>21902020071411200226542</v>
      </c>
      <c r="C2084" s="8" t="s">
        <v>17</v>
      </c>
      <c r="D2084" s="8" t="str">
        <f>"李祥忠"</f>
        <v>李祥忠</v>
      </c>
      <c r="E2084" s="8" t="str">
        <f aca="true" t="shared" si="178" ref="E2084:E2089">"男"</f>
        <v>男</v>
      </c>
    </row>
    <row r="2085" spans="1:5" s="3" customFormat="1" ht="19.5" customHeight="1">
      <c r="A2085" s="8">
        <v>2083</v>
      </c>
      <c r="B2085" s="8" t="str">
        <f>"21902020071411200726543"</f>
        <v>21902020071411200726543</v>
      </c>
      <c r="C2085" s="8" t="s">
        <v>17</v>
      </c>
      <c r="D2085" s="8" t="str">
        <f>"王月琴"</f>
        <v>王月琴</v>
      </c>
      <c r="E2085" s="8" t="str">
        <f t="shared" si="177"/>
        <v>女</v>
      </c>
    </row>
    <row r="2086" spans="1:5" s="3" customFormat="1" ht="19.5" customHeight="1">
      <c r="A2086" s="8">
        <v>2084</v>
      </c>
      <c r="B2086" s="8" t="str">
        <f>"21902020071411203726544"</f>
        <v>21902020071411203726544</v>
      </c>
      <c r="C2086" s="8" t="s">
        <v>17</v>
      </c>
      <c r="D2086" s="8" t="str">
        <f>"杨远烽"</f>
        <v>杨远烽</v>
      </c>
      <c r="E2086" s="8" t="str">
        <f t="shared" si="178"/>
        <v>男</v>
      </c>
    </row>
    <row r="2087" spans="1:5" s="3" customFormat="1" ht="19.5" customHeight="1">
      <c r="A2087" s="8">
        <v>2085</v>
      </c>
      <c r="B2087" s="8" t="str">
        <f>"21902020071411213926549"</f>
        <v>21902020071411213926549</v>
      </c>
      <c r="C2087" s="8" t="s">
        <v>17</v>
      </c>
      <c r="D2087" s="8" t="str">
        <f>"许秀英"</f>
        <v>许秀英</v>
      </c>
      <c r="E2087" s="8" t="str">
        <f t="shared" si="177"/>
        <v>女</v>
      </c>
    </row>
    <row r="2088" spans="1:5" s="3" customFormat="1" ht="19.5" customHeight="1">
      <c r="A2088" s="8">
        <v>2086</v>
      </c>
      <c r="B2088" s="8" t="str">
        <f>"21902020071411232926550"</f>
        <v>21902020071411232926550</v>
      </c>
      <c r="C2088" s="8" t="s">
        <v>17</v>
      </c>
      <c r="D2088" s="8" t="str">
        <f>"李儒生"</f>
        <v>李儒生</v>
      </c>
      <c r="E2088" s="8" t="str">
        <f t="shared" si="178"/>
        <v>男</v>
      </c>
    </row>
    <row r="2089" spans="1:5" s="3" customFormat="1" ht="19.5" customHeight="1">
      <c r="A2089" s="8">
        <v>2087</v>
      </c>
      <c r="B2089" s="8" t="str">
        <f>"21902020071411403926580"</f>
        <v>21902020071411403926580</v>
      </c>
      <c r="C2089" s="8" t="s">
        <v>17</v>
      </c>
      <c r="D2089" s="8" t="str">
        <f>"朱胤荣"</f>
        <v>朱胤荣</v>
      </c>
      <c r="E2089" s="8" t="str">
        <f t="shared" si="178"/>
        <v>男</v>
      </c>
    </row>
    <row r="2090" spans="1:5" s="3" customFormat="1" ht="19.5" customHeight="1">
      <c r="A2090" s="8">
        <v>2088</v>
      </c>
      <c r="B2090" s="8" t="str">
        <f>"21902020071411432526591"</f>
        <v>21902020071411432526591</v>
      </c>
      <c r="C2090" s="8" t="s">
        <v>17</v>
      </c>
      <c r="D2090" s="8" t="str">
        <f>"甘菊莲"</f>
        <v>甘菊莲</v>
      </c>
      <c r="E2090" s="8" t="str">
        <f aca="true" t="shared" si="179" ref="E2090:E2092">"女"</f>
        <v>女</v>
      </c>
    </row>
    <row r="2091" spans="1:5" s="3" customFormat="1" ht="19.5" customHeight="1">
      <c r="A2091" s="8">
        <v>2089</v>
      </c>
      <c r="B2091" s="8" t="str">
        <f>"21902020071411454126600"</f>
        <v>21902020071411454126600</v>
      </c>
      <c r="C2091" s="8" t="s">
        <v>17</v>
      </c>
      <c r="D2091" s="8" t="str">
        <f>"邱凤喜"</f>
        <v>邱凤喜</v>
      </c>
      <c r="E2091" s="8" t="str">
        <f t="shared" si="179"/>
        <v>女</v>
      </c>
    </row>
    <row r="2092" spans="1:5" s="3" customFormat="1" ht="19.5" customHeight="1">
      <c r="A2092" s="8">
        <v>2090</v>
      </c>
      <c r="B2092" s="8" t="str">
        <f>"21902020071411502426609"</f>
        <v>21902020071411502426609</v>
      </c>
      <c r="C2092" s="8" t="s">
        <v>17</v>
      </c>
      <c r="D2092" s="8" t="str">
        <f>"张入籝"</f>
        <v>张入籝</v>
      </c>
      <c r="E2092" s="8" t="str">
        <f t="shared" si="179"/>
        <v>女</v>
      </c>
    </row>
    <row r="2093" spans="1:5" s="3" customFormat="1" ht="19.5" customHeight="1">
      <c r="A2093" s="8">
        <v>2091</v>
      </c>
      <c r="B2093" s="8" t="str">
        <f>"21902020071411511826612"</f>
        <v>21902020071411511826612</v>
      </c>
      <c r="C2093" s="8" t="s">
        <v>17</v>
      </c>
      <c r="D2093" s="8" t="str">
        <f>"吴巨猷"</f>
        <v>吴巨猷</v>
      </c>
      <c r="E2093" s="8" t="str">
        <f aca="true" t="shared" si="180" ref="E2093:E2099">"男"</f>
        <v>男</v>
      </c>
    </row>
    <row r="2094" spans="1:5" s="3" customFormat="1" ht="19.5" customHeight="1">
      <c r="A2094" s="8">
        <v>2092</v>
      </c>
      <c r="B2094" s="8" t="str">
        <f>"21902020071411513026613"</f>
        <v>21902020071411513026613</v>
      </c>
      <c r="C2094" s="8" t="s">
        <v>17</v>
      </c>
      <c r="D2094" s="8" t="str">
        <f>"李志明"</f>
        <v>李志明</v>
      </c>
      <c r="E2094" s="8" t="str">
        <f t="shared" si="180"/>
        <v>男</v>
      </c>
    </row>
    <row r="2095" spans="1:5" s="3" customFormat="1" ht="19.5" customHeight="1">
      <c r="A2095" s="8">
        <v>2093</v>
      </c>
      <c r="B2095" s="8" t="str">
        <f>"21902020071411531226619"</f>
        <v>21902020071411531226619</v>
      </c>
      <c r="C2095" s="8" t="s">
        <v>17</v>
      </c>
      <c r="D2095" s="8" t="str">
        <f>"薛健盛"</f>
        <v>薛健盛</v>
      </c>
      <c r="E2095" s="8" t="str">
        <f t="shared" si="180"/>
        <v>男</v>
      </c>
    </row>
    <row r="2096" spans="1:5" s="3" customFormat="1" ht="19.5" customHeight="1">
      <c r="A2096" s="8">
        <v>2094</v>
      </c>
      <c r="B2096" s="8" t="str">
        <f>"21902020071411562926629"</f>
        <v>21902020071411562926629</v>
      </c>
      <c r="C2096" s="8" t="s">
        <v>17</v>
      </c>
      <c r="D2096" s="8" t="str">
        <f>"王永新"</f>
        <v>王永新</v>
      </c>
      <c r="E2096" s="8" t="str">
        <f t="shared" si="180"/>
        <v>男</v>
      </c>
    </row>
    <row r="2097" spans="1:5" s="3" customFormat="1" ht="19.5" customHeight="1">
      <c r="A2097" s="8">
        <v>2095</v>
      </c>
      <c r="B2097" s="8" t="str">
        <f>"21902020071411591226633"</f>
        <v>21902020071411591226633</v>
      </c>
      <c r="C2097" s="8" t="s">
        <v>17</v>
      </c>
      <c r="D2097" s="8" t="str">
        <f>"吴斌"</f>
        <v>吴斌</v>
      </c>
      <c r="E2097" s="8" t="str">
        <f t="shared" si="180"/>
        <v>男</v>
      </c>
    </row>
    <row r="2098" spans="1:5" s="3" customFormat="1" ht="19.5" customHeight="1">
      <c r="A2098" s="8">
        <v>2096</v>
      </c>
      <c r="B2098" s="8" t="str">
        <f>"21902020071412015426638"</f>
        <v>21902020071412015426638</v>
      </c>
      <c r="C2098" s="8" t="s">
        <v>17</v>
      </c>
      <c r="D2098" s="8" t="str">
        <f>"李照乘"</f>
        <v>李照乘</v>
      </c>
      <c r="E2098" s="8" t="str">
        <f t="shared" si="180"/>
        <v>男</v>
      </c>
    </row>
    <row r="2099" spans="1:5" s="3" customFormat="1" ht="19.5" customHeight="1">
      <c r="A2099" s="8">
        <v>2097</v>
      </c>
      <c r="B2099" s="8" t="str">
        <f>"21902020071412110726653"</f>
        <v>21902020071412110726653</v>
      </c>
      <c r="C2099" s="8" t="s">
        <v>17</v>
      </c>
      <c r="D2099" s="8" t="str">
        <f>"郑玉郡"</f>
        <v>郑玉郡</v>
      </c>
      <c r="E2099" s="8" t="str">
        <f t="shared" si="180"/>
        <v>男</v>
      </c>
    </row>
    <row r="2100" spans="1:5" s="3" customFormat="1" ht="19.5" customHeight="1">
      <c r="A2100" s="8">
        <v>2098</v>
      </c>
      <c r="B2100" s="8" t="str">
        <f>"21902020071412140226654"</f>
        <v>21902020071412140226654</v>
      </c>
      <c r="C2100" s="8" t="s">
        <v>17</v>
      </c>
      <c r="D2100" s="8" t="str">
        <f>"王梅教"</f>
        <v>王梅教</v>
      </c>
      <c r="E2100" s="8" t="str">
        <f>"女"</f>
        <v>女</v>
      </c>
    </row>
    <row r="2101" spans="1:5" s="3" customFormat="1" ht="19.5" customHeight="1">
      <c r="A2101" s="8">
        <v>2099</v>
      </c>
      <c r="B2101" s="8" t="str">
        <f>"21902020071412211126666"</f>
        <v>21902020071412211126666</v>
      </c>
      <c r="C2101" s="8" t="s">
        <v>17</v>
      </c>
      <c r="D2101" s="8" t="str">
        <f>"许昌荣"</f>
        <v>许昌荣</v>
      </c>
      <c r="E2101" s="8" t="str">
        <f aca="true" t="shared" si="181" ref="E2101:E2107">"男"</f>
        <v>男</v>
      </c>
    </row>
    <row r="2102" spans="1:5" s="3" customFormat="1" ht="19.5" customHeight="1">
      <c r="A2102" s="8">
        <v>2100</v>
      </c>
      <c r="B2102" s="8" t="str">
        <f>"21902020071412281926677"</f>
        <v>21902020071412281926677</v>
      </c>
      <c r="C2102" s="8" t="s">
        <v>17</v>
      </c>
      <c r="D2102" s="8" t="str">
        <f>"黄鸿"</f>
        <v>黄鸿</v>
      </c>
      <c r="E2102" s="8" t="str">
        <f t="shared" si="181"/>
        <v>男</v>
      </c>
    </row>
    <row r="2103" spans="1:5" s="3" customFormat="1" ht="19.5" customHeight="1">
      <c r="A2103" s="8">
        <v>2101</v>
      </c>
      <c r="B2103" s="8" t="str">
        <f>"21902020071412285626678"</f>
        <v>21902020071412285626678</v>
      </c>
      <c r="C2103" s="8" t="s">
        <v>17</v>
      </c>
      <c r="D2103" s="8" t="str">
        <f>"孙才万"</f>
        <v>孙才万</v>
      </c>
      <c r="E2103" s="8" t="str">
        <f t="shared" si="181"/>
        <v>男</v>
      </c>
    </row>
    <row r="2104" spans="1:5" s="3" customFormat="1" ht="19.5" customHeight="1">
      <c r="A2104" s="8">
        <v>2102</v>
      </c>
      <c r="B2104" s="8" t="str">
        <f>"21902020071412314026684"</f>
        <v>21902020071412314026684</v>
      </c>
      <c r="C2104" s="8" t="s">
        <v>17</v>
      </c>
      <c r="D2104" s="8" t="str">
        <f>"王绪澄"</f>
        <v>王绪澄</v>
      </c>
      <c r="E2104" s="8" t="str">
        <f t="shared" si="181"/>
        <v>男</v>
      </c>
    </row>
    <row r="2105" spans="1:5" s="3" customFormat="1" ht="19.5" customHeight="1">
      <c r="A2105" s="8">
        <v>2103</v>
      </c>
      <c r="B2105" s="8" t="str">
        <f>"21902020071412402226701"</f>
        <v>21902020071412402226701</v>
      </c>
      <c r="C2105" s="8" t="s">
        <v>17</v>
      </c>
      <c r="D2105" s="8" t="str">
        <f>"黎有信"</f>
        <v>黎有信</v>
      </c>
      <c r="E2105" s="8" t="str">
        <f t="shared" si="181"/>
        <v>男</v>
      </c>
    </row>
    <row r="2106" spans="1:5" s="3" customFormat="1" ht="19.5" customHeight="1">
      <c r="A2106" s="8">
        <v>2104</v>
      </c>
      <c r="B2106" s="8" t="str">
        <f>"21902020071412450826708"</f>
        <v>21902020071412450826708</v>
      </c>
      <c r="C2106" s="8" t="s">
        <v>17</v>
      </c>
      <c r="D2106" s="8" t="str">
        <f>"郑可钦"</f>
        <v>郑可钦</v>
      </c>
      <c r="E2106" s="8" t="str">
        <f t="shared" si="181"/>
        <v>男</v>
      </c>
    </row>
    <row r="2107" spans="1:5" s="3" customFormat="1" ht="19.5" customHeight="1">
      <c r="A2107" s="8">
        <v>2105</v>
      </c>
      <c r="B2107" s="8" t="str">
        <f>"21902020071412475926714"</f>
        <v>21902020071412475926714</v>
      </c>
      <c r="C2107" s="8" t="s">
        <v>17</v>
      </c>
      <c r="D2107" s="8" t="str">
        <f>"万海波"</f>
        <v>万海波</v>
      </c>
      <c r="E2107" s="8" t="str">
        <f t="shared" si="181"/>
        <v>男</v>
      </c>
    </row>
    <row r="2108" spans="1:5" s="3" customFormat="1" ht="19.5" customHeight="1">
      <c r="A2108" s="8">
        <v>2106</v>
      </c>
      <c r="B2108" s="8" t="str">
        <f>"21902020071412510926718"</f>
        <v>21902020071412510926718</v>
      </c>
      <c r="C2108" s="8" t="s">
        <v>17</v>
      </c>
      <c r="D2108" s="8" t="str">
        <f>"林前桂"</f>
        <v>林前桂</v>
      </c>
      <c r="E2108" s="8" t="str">
        <f aca="true" t="shared" si="182" ref="E2108:E2112">"女"</f>
        <v>女</v>
      </c>
    </row>
    <row r="2109" spans="1:5" s="3" customFormat="1" ht="19.5" customHeight="1">
      <c r="A2109" s="8">
        <v>2107</v>
      </c>
      <c r="B2109" s="8" t="str">
        <f>"21902020071412530826722"</f>
        <v>21902020071412530826722</v>
      </c>
      <c r="C2109" s="8" t="s">
        <v>17</v>
      </c>
      <c r="D2109" s="8" t="str">
        <f>"黎世雄"</f>
        <v>黎世雄</v>
      </c>
      <c r="E2109" s="8" t="str">
        <f aca="true" t="shared" si="183" ref="E2109:E2119">"男"</f>
        <v>男</v>
      </c>
    </row>
    <row r="2110" spans="1:5" s="3" customFormat="1" ht="19.5" customHeight="1">
      <c r="A2110" s="8">
        <v>2108</v>
      </c>
      <c r="B2110" s="8" t="str">
        <f>"21902020071412593926733"</f>
        <v>21902020071412593926733</v>
      </c>
      <c r="C2110" s="8" t="s">
        <v>17</v>
      </c>
      <c r="D2110" s="8" t="str">
        <f>"朱静桃"</f>
        <v>朱静桃</v>
      </c>
      <c r="E2110" s="8" t="str">
        <f t="shared" si="182"/>
        <v>女</v>
      </c>
    </row>
    <row r="2111" spans="1:5" s="3" customFormat="1" ht="19.5" customHeight="1">
      <c r="A2111" s="8">
        <v>2109</v>
      </c>
      <c r="B2111" s="8" t="str">
        <f>"21902020071413021726738"</f>
        <v>21902020071413021726738</v>
      </c>
      <c r="C2111" s="8" t="s">
        <v>17</v>
      </c>
      <c r="D2111" s="8" t="str">
        <f>"朱忠信"</f>
        <v>朱忠信</v>
      </c>
      <c r="E2111" s="8" t="str">
        <f t="shared" si="183"/>
        <v>男</v>
      </c>
    </row>
    <row r="2112" spans="1:5" s="3" customFormat="1" ht="19.5" customHeight="1">
      <c r="A2112" s="8">
        <v>2110</v>
      </c>
      <c r="B2112" s="8" t="str">
        <f>"21902020071413074026742"</f>
        <v>21902020071413074026742</v>
      </c>
      <c r="C2112" s="8" t="s">
        <v>17</v>
      </c>
      <c r="D2112" s="8" t="str">
        <f>"王玉珍"</f>
        <v>王玉珍</v>
      </c>
      <c r="E2112" s="8" t="str">
        <f t="shared" si="182"/>
        <v>女</v>
      </c>
    </row>
    <row r="2113" spans="1:5" s="3" customFormat="1" ht="19.5" customHeight="1">
      <c r="A2113" s="8">
        <v>2111</v>
      </c>
      <c r="B2113" s="8" t="str">
        <f>"21902020071413081826744"</f>
        <v>21902020071413081826744</v>
      </c>
      <c r="C2113" s="8" t="s">
        <v>17</v>
      </c>
      <c r="D2113" s="8" t="str">
        <f>"郭春龙"</f>
        <v>郭春龙</v>
      </c>
      <c r="E2113" s="8" t="str">
        <f t="shared" si="183"/>
        <v>男</v>
      </c>
    </row>
    <row r="2114" spans="1:5" s="3" customFormat="1" ht="19.5" customHeight="1">
      <c r="A2114" s="8">
        <v>2112</v>
      </c>
      <c r="B2114" s="8" t="str">
        <f>"21902020071413133226755"</f>
        <v>21902020071413133226755</v>
      </c>
      <c r="C2114" s="8" t="s">
        <v>17</v>
      </c>
      <c r="D2114" s="8" t="str">
        <f>"陈文佳"</f>
        <v>陈文佳</v>
      </c>
      <c r="E2114" s="8" t="str">
        <f t="shared" si="183"/>
        <v>男</v>
      </c>
    </row>
    <row r="2115" spans="1:5" s="3" customFormat="1" ht="19.5" customHeight="1">
      <c r="A2115" s="8">
        <v>2113</v>
      </c>
      <c r="B2115" s="8" t="str">
        <f>"21902020071413234126773"</f>
        <v>21902020071413234126773</v>
      </c>
      <c r="C2115" s="8" t="s">
        <v>17</v>
      </c>
      <c r="D2115" s="8" t="str">
        <f>"何应传"</f>
        <v>何应传</v>
      </c>
      <c r="E2115" s="8" t="str">
        <f t="shared" si="183"/>
        <v>男</v>
      </c>
    </row>
    <row r="2116" spans="1:5" s="3" customFormat="1" ht="19.5" customHeight="1">
      <c r="A2116" s="8">
        <v>2114</v>
      </c>
      <c r="B2116" s="8" t="str">
        <f>"21902020071413295726782"</f>
        <v>21902020071413295726782</v>
      </c>
      <c r="C2116" s="8" t="s">
        <v>17</v>
      </c>
      <c r="D2116" s="8" t="str">
        <f>"羊仕运"</f>
        <v>羊仕运</v>
      </c>
      <c r="E2116" s="8" t="str">
        <f t="shared" si="183"/>
        <v>男</v>
      </c>
    </row>
    <row r="2117" spans="1:5" s="3" customFormat="1" ht="19.5" customHeight="1">
      <c r="A2117" s="8">
        <v>2115</v>
      </c>
      <c r="B2117" s="8" t="str">
        <f>"21902020071413331326786"</f>
        <v>21902020071413331326786</v>
      </c>
      <c r="C2117" s="8" t="s">
        <v>17</v>
      </c>
      <c r="D2117" s="8" t="str">
        <f>"尹宁"</f>
        <v>尹宁</v>
      </c>
      <c r="E2117" s="8" t="str">
        <f t="shared" si="183"/>
        <v>男</v>
      </c>
    </row>
    <row r="2118" spans="1:5" s="3" customFormat="1" ht="19.5" customHeight="1">
      <c r="A2118" s="8">
        <v>2116</v>
      </c>
      <c r="B2118" s="8" t="str">
        <f>"21902020071413341826788"</f>
        <v>21902020071413341826788</v>
      </c>
      <c r="C2118" s="8" t="s">
        <v>17</v>
      </c>
      <c r="D2118" s="8" t="str">
        <f>"符世成"</f>
        <v>符世成</v>
      </c>
      <c r="E2118" s="8" t="str">
        <f t="shared" si="183"/>
        <v>男</v>
      </c>
    </row>
    <row r="2119" spans="1:5" s="3" customFormat="1" ht="19.5" customHeight="1">
      <c r="A2119" s="8">
        <v>2117</v>
      </c>
      <c r="B2119" s="8" t="str">
        <f>"21902020071413392626793"</f>
        <v>21902020071413392626793</v>
      </c>
      <c r="C2119" s="8" t="s">
        <v>17</v>
      </c>
      <c r="D2119" s="8" t="str">
        <f>"吴华亮"</f>
        <v>吴华亮</v>
      </c>
      <c r="E2119" s="8" t="str">
        <f t="shared" si="183"/>
        <v>男</v>
      </c>
    </row>
    <row r="2120" spans="1:5" s="3" customFormat="1" ht="19.5" customHeight="1">
      <c r="A2120" s="8">
        <v>2118</v>
      </c>
      <c r="B2120" s="8" t="str">
        <f>"21902020071413482026803"</f>
        <v>21902020071413482026803</v>
      </c>
      <c r="C2120" s="8" t="s">
        <v>17</v>
      </c>
      <c r="D2120" s="8" t="str">
        <f>"陈淑媛"</f>
        <v>陈淑媛</v>
      </c>
      <c r="E2120" s="8" t="str">
        <f aca="true" t="shared" si="184" ref="E2120:E2123">"女"</f>
        <v>女</v>
      </c>
    </row>
    <row r="2121" spans="1:5" s="3" customFormat="1" ht="19.5" customHeight="1">
      <c r="A2121" s="8">
        <v>2119</v>
      </c>
      <c r="B2121" s="8" t="str">
        <f>"21902020071413581226812"</f>
        <v>21902020071413581226812</v>
      </c>
      <c r="C2121" s="8" t="s">
        <v>17</v>
      </c>
      <c r="D2121" s="8" t="str">
        <f>"张芳芳"</f>
        <v>张芳芳</v>
      </c>
      <c r="E2121" s="8" t="str">
        <f t="shared" si="184"/>
        <v>女</v>
      </c>
    </row>
    <row r="2122" spans="1:5" s="3" customFormat="1" ht="19.5" customHeight="1">
      <c r="A2122" s="8">
        <v>2120</v>
      </c>
      <c r="B2122" s="8" t="str">
        <f>"21902020071414120626827"</f>
        <v>21902020071414120626827</v>
      </c>
      <c r="C2122" s="8" t="s">
        <v>17</v>
      </c>
      <c r="D2122" s="8" t="str">
        <f>"廖丽莎"</f>
        <v>廖丽莎</v>
      </c>
      <c r="E2122" s="8" t="str">
        <f t="shared" si="184"/>
        <v>女</v>
      </c>
    </row>
    <row r="2123" spans="1:5" s="3" customFormat="1" ht="19.5" customHeight="1">
      <c r="A2123" s="8">
        <v>2121</v>
      </c>
      <c r="B2123" s="8" t="str">
        <f>"21902020071414320626857"</f>
        <v>21902020071414320626857</v>
      </c>
      <c r="C2123" s="8" t="s">
        <v>17</v>
      </c>
      <c r="D2123" s="8" t="str">
        <f>"钟帝莉"</f>
        <v>钟帝莉</v>
      </c>
      <c r="E2123" s="8" t="str">
        <f t="shared" si="184"/>
        <v>女</v>
      </c>
    </row>
    <row r="2124" spans="1:5" s="3" customFormat="1" ht="19.5" customHeight="1">
      <c r="A2124" s="8">
        <v>2122</v>
      </c>
      <c r="B2124" s="8" t="str">
        <f>"21902020071414332026860"</f>
        <v>21902020071414332026860</v>
      </c>
      <c r="C2124" s="8" t="s">
        <v>17</v>
      </c>
      <c r="D2124" s="8" t="str">
        <f>"薛二明"</f>
        <v>薛二明</v>
      </c>
      <c r="E2124" s="8" t="str">
        <f aca="true" t="shared" si="185" ref="E2124:E2126">"男"</f>
        <v>男</v>
      </c>
    </row>
    <row r="2125" spans="1:5" s="3" customFormat="1" ht="19.5" customHeight="1">
      <c r="A2125" s="8">
        <v>2123</v>
      </c>
      <c r="B2125" s="8" t="str">
        <f>"21902020071414535326900"</f>
        <v>21902020071414535326900</v>
      </c>
      <c r="C2125" s="8" t="s">
        <v>17</v>
      </c>
      <c r="D2125" s="8" t="str">
        <f>"刘崇基"</f>
        <v>刘崇基</v>
      </c>
      <c r="E2125" s="8" t="str">
        <f t="shared" si="185"/>
        <v>男</v>
      </c>
    </row>
    <row r="2126" spans="1:5" s="3" customFormat="1" ht="19.5" customHeight="1">
      <c r="A2126" s="8">
        <v>2124</v>
      </c>
      <c r="B2126" s="8" t="str">
        <f>"21902020071414562526904"</f>
        <v>21902020071414562526904</v>
      </c>
      <c r="C2126" s="8" t="s">
        <v>17</v>
      </c>
      <c r="D2126" s="8" t="str">
        <f>"高瑜壮"</f>
        <v>高瑜壮</v>
      </c>
      <c r="E2126" s="8" t="str">
        <f t="shared" si="185"/>
        <v>男</v>
      </c>
    </row>
    <row r="2127" spans="1:5" s="3" customFormat="1" ht="19.5" customHeight="1">
      <c r="A2127" s="8">
        <v>2125</v>
      </c>
      <c r="B2127" s="8" t="str">
        <f>"21902020071415003726914"</f>
        <v>21902020071415003726914</v>
      </c>
      <c r="C2127" s="8" t="s">
        <v>17</v>
      </c>
      <c r="D2127" s="8" t="str">
        <f>"李带娥"</f>
        <v>李带娥</v>
      </c>
      <c r="E2127" s="8" t="str">
        <f aca="true" t="shared" si="186" ref="E2127:E2133">"女"</f>
        <v>女</v>
      </c>
    </row>
    <row r="2128" spans="1:5" s="3" customFormat="1" ht="19.5" customHeight="1">
      <c r="A2128" s="8">
        <v>2126</v>
      </c>
      <c r="B2128" s="8" t="str">
        <f>"21902020071415044226921"</f>
        <v>21902020071415044226921</v>
      </c>
      <c r="C2128" s="8" t="s">
        <v>17</v>
      </c>
      <c r="D2128" s="8" t="str">
        <f>"陈尚鸾"</f>
        <v>陈尚鸾</v>
      </c>
      <c r="E2128" s="8" t="str">
        <f t="shared" si="186"/>
        <v>女</v>
      </c>
    </row>
    <row r="2129" spans="1:5" s="3" customFormat="1" ht="19.5" customHeight="1">
      <c r="A2129" s="8">
        <v>2127</v>
      </c>
      <c r="B2129" s="8" t="str">
        <f>"21902020071415122926930"</f>
        <v>21902020071415122926930</v>
      </c>
      <c r="C2129" s="8" t="s">
        <v>17</v>
      </c>
      <c r="D2129" s="8" t="str">
        <f>"王剑堡"</f>
        <v>王剑堡</v>
      </c>
      <c r="E2129" s="8" t="str">
        <f>"男"</f>
        <v>男</v>
      </c>
    </row>
    <row r="2130" spans="1:5" s="3" customFormat="1" ht="19.5" customHeight="1">
      <c r="A2130" s="8">
        <v>2128</v>
      </c>
      <c r="B2130" s="8" t="str">
        <f>"21902020071415223026944"</f>
        <v>21902020071415223026944</v>
      </c>
      <c r="C2130" s="8" t="s">
        <v>17</v>
      </c>
      <c r="D2130" s="8" t="str">
        <f>"李雪儿"</f>
        <v>李雪儿</v>
      </c>
      <c r="E2130" s="8" t="str">
        <f t="shared" si="186"/>
        <v>女</v>
      </c>
    </row>
    <row r="2131" spans="1:5" s="3" customFormat="1" ht="19.5" customHeight="1">
      <c r="A2131" s="8">
        <v>2129</v>
      </c>
      <c r="B2131" s="8" t="str">
        <f>"21902020071415253926951"</f>
        <v>21902020071415253926951</v>
      </c>
      <c r="C2131" s="8" t="s">
        <v>17</v>
      </c>
      <c r="D2131" s="8" t="str">
        <f>"王君子"</f>
        <v>王君子</v>
      </c>
      <c r="E2131" s="8" t="str">
        <f t="shared" si="186"/>
        <v>女</v>
      </c>
    </row>
    <row r="2132" spans="1:5" s="3" customFormat="1" ht="19.5" customHeight="1">
      <c r="A2132" s="8">
        <v>2130</v>
      </c>
      <c r="B2132" s="8" t="str">
        <f>"21902020071415270426953"</f>
        <v>21902020071415270426953</v>
      </c>
      <c r="C2132" s="8" t="s">
        <v>17</v>
      </c>
      <c r="D2132" s="8" t="str">
        <f>"黎土月"</f>
        <v>黎土月</v>
      </c>
      <c r="E2132" s="8" t="str">
        <f t="shared" si="186"/>
        <v>女</v>
      </c>
    </row>
    <row r="2133" spans="1:5" s="3" customFormat="1" ht="19.5" customHeight="1">
      <c r="A2133" s="8">
        <v>2131</v>
      </c>
      <c r="B2133" s="8" t="str">
        <f>"21902020071415274726954"</f>
        <v>21902020071415274726954</v>
      </c>
      <c r="C2133" s="8" t="s">
        <v>17</v>
      </c>
      <c r="D2133" s="8" t="str">
        <f>"林香元"</f>
        <v>林香元</v>
      </c>
      <c r="E2133" s="8" t="str">
        <f t="shared" si="186"/>
        <v>女</v>
      </c>
    </row>
    <row r="2134" spans="1:5" s="3" customFormat="1" ht="19.5" customHeight="1">
      <c r="A2134" s="8">
        <v>2132</v>
      </c>
      <c r="B2134" s="8" t="str">
        <f>"21902020071415292026958"</f>
        <v>21902020071415292026958</v>
      </c>
      <c r="C2134" s="8" t="s">
        <v>17</v>
      </c>
      <c r="D2134" s="8" t="str">
        <f>"羊精业"</f>
        <v>羊精业</v>
      </c>
      <c r="E2134" s="8" t="str">
        <f aca="true" t="shared" si="187" ref="E2134:E2137">"男"</f>
        <v>男</v>
      </c>
    </row>
    <row r="2135" spans="1:5" s="3" customFormat="1" ht="19.5" customHeight="1">
      <c r="A2135" s="8">
        <v>2133</v>
      </c>
      <c r="B2135" s="8" t="str">
        <f>"21902020071415341726966"</f>
        <v>21902020071415341726966</v>
      </c>
      <c r="C2135" s="8" t="s">
        <v>17</v>
      </c>
      <c r="D2135" s="8" t="str">
        <f>"赵贞皇"</f>
        <v>赵贞皇</v>
      </c>
      <c r="E2135" s="8" t="str">
        <f t="shared" si="187"/>
        <v>男</v>
      </c>
    </row>
    <row r="2136" spans="1:5" s="3" customFormat="1" ht="19.5" customHeight="1">
      <c r="A2136" s="8">
        <v>2134</v>
      </c>
      <c r="B2136" s="8" t="str">
        <f>"21902020071415362826969"</f>
        <v>21902020071415362826969</v>
      </c>
      <c r="C2136" s="8" t="s">
        <v>17</v>
      </c>
      <c r="D2136" s="8" t="str">
        <f>"李林森"</f>
        <v>李林森</v>
      </c>
      <c r="E2136" s="8" t="str">
        <f t="shared" si="187"/>
        <v>男</v>
      </c>
    </row>
    <row r="2137" spans="1:5" s="3" customFormat="1" ht="19.5" customHeight="1">
      <c r="A2137" s="8">
        <v>2135</v>
      </c>
      <c r="B2137" s="8" t="str">
        <f>"21902020071415582927002"</f>
        <v>21902020071415582927002</v>
      </c>
      <c r="C2137" s="8" t="s">
        <v>17</v>
      </c>
      <c r="D2137" s="8" t="str">
        <f>"许峰"</f>
        <v>许峰</v>
      </c>
      <c r="E2137" s="8" t="str">
        <f t="shared" si="187"/>
        <v>男</v>
      </c>
    </row>
    <row r="2138" spans="1:5" s="3" customFormat="1" ht="19.5" customHeight="1">
      <c r="A2138" s="8">
        <v>2136</v>
      </c>
      <c r="B2138" s="8" t="str">
        <f>"21902020071415592527008"</f>
        <v>21902020071415592527008</v>
      </c>
      <c r="C2138" s="8" t="s">
        <v>17</v>
      </c>
      <c r="D2138" s="8" t="str">
        <f>"羊玉凤"</f>
        <v>羊玉凤</v>
      </c>
      <c r="E2138" s="8" t="str">
        <f aca="true" t="shared" si="188" ref="E2138:E2141">"女"</f>
        <v>女</v>
      </c>
    </row>
    <row r="2139" spans="1:5" s="3" customFormat="1" ht="19.5" customHeight="1">
      <c r="A2139" s="8">
        <v>2137</v>
      </c>
      <c r="B2139" s="8" t="str">
        <f>"21902020071416002327009"</f>
        <v>21902020071416002327009</v>
      </c>
      <c r="C2139" s="8" t="s">
        <v>17</v>
      </c>
      <c r="D2139" s="8" t="str">
        <f>"黎传泽"</f>
        <v>黎传泽</v>
      </c>
      <c r="E2139" s="8" t="str">
        <f>"男"</f>
        <v>男</v>
      </c>
    </row>
    <row r="2140" spans="1:5" s="3" customFormat="1" ht="19.5" customHeight="1">
      <c r="A2140" s="8">
        <v>2138</v>
      </c>
      <c r="B2140" s="8" t="str">
        <f>"21902020071416004127011"</f>
        <v>21902020071416004127011</v>
      </c>
      <c r="C2140" s="8" t="s">
        <v>17</v>
      </c>
      <c r="D2140" s="8" t="str">
        <f>"符文香"</f>
        <v>符文香</v>
      </c>
      <c r="E2140" s="8" t="str">
        <f t="shared" si="188"/>
        <v>女</v>
      </c>
    </row>
    <row r="2141" spans="1:5" s="3" customFormat="1" ht="19.5" customHeight="1">
      <c r="A2141" s="8">
        <v>2139</v>
      </c>
      <c r="B2141" s="8" t="str">
        <f>"21902020071416014927013"</f>
        <v>21902020071416014927013</v>
      </c>
      <c r="C2141" s="8" t="s">
        <v>17</v>
      </c>
      <c r="D2141" s="8" t="str">
        <f>"李菁"</f>
        <v>李菁</v>
      </c>
      <c r="E2141" s="8" t="str">
        <f t="shared" si="188"/>
        <v>女</v>
      </c>
    </row>
    <row r="2142" spans="1:5" s="3" customFormat="1" ht="19.5" customHeight="1">
      <c r="A2142" s="8">
        <v>2140</v>
      </c>
      <c r="B2142" s="8" t="str">
        <f>"21902020071416043427018"</f>
        <v>21902020071416043427018</v>
      </c>
      <c r="C2142" s="8" t="s">
        <v>17</v>
      </c>
      <c r="D2142" s="8" t="str">
        <f>"羊卓丞"</f>
        <v>羊卓丞</v>
      </c>
      <c r="E2142" s="8" t="str">
        <f>"男"</f>
        <v>男</v>
      </c>
    </row>
    <row r="2143" spans="1:5" s="3" customFormat="1" ht="19.5" customHeight="1">
      <c r="A2143" s="8">
        <v>2141</v>
      </c>
      <c r="B2143" s="8" t="str">
        <f>"21902020071416095827024"</f>
        <v>21902020071416095827024</v>
      </c>
      <c r="C2143" s="8" t="s">
        <v>17</v>
      </c>
      <c r="D2143" s="8" t="str">
        <f>"洪真"</f>
        <v>洪真</v>
      </c>
      <c r="E2143" s="8" t="str">
        <f aca="true" t="shared" si="189" ref="E2143:E2148">"女"</f>
        <v>女</v>
      </c>
    </row>
    <row r="2144" spans="1:5" s="3" customFormat="1" ht="19.5" customHeight="1">
      <c r="A2144" s="8">
        <v>2142</v>
      </c>
      <c r="B2144" s="8" t="str">
        <f>"21902020071416130927028"</f>
        <v>21902020071416130927028</v>
      </c>
      <c r="C2144" s="8" t="s">
        <v>17</v>
      </c>
      <c r="D2144" s="8" t="str">
        <f>"王美基"</f>
        <v>王美基</v>
      </c>
      <c r="E2144" s="8" t="str">
        <f t="shared" si="189"/>
        <v>女</v>
      </c>
    </row>
    <row r="2145" spans="1:5" s="3" customFormat="1" ht="19.5" customHeight="1">
      <c r="A2145" s="8">
        <v>2143</v>
      </c>
      <c r="B2145" s="8" t="str">
        <f>"21902020071416132427029"</f>
        <v>21902020071416132427029</v>
      </c>
      <c r="C2145" s="8" t="s">
        <v>17</v>
      </c>
      <c r="D2145" s="8" t="str">
        <f>"吴其平"</f>
        <v>吴其平</v>
      </c>
      <c r="E2145" s="8" t="str">
        <f aca="true" t="shared" si="190" ref="E2145:E2150">"男"</f>
        <v>男</v>
      </c>
    </row>
    <row r="2146" spans="1:5" s="3" customFormat="1" ht="19.5" customHeight="1">
      <c r="A2146" s="8">
        <v>2144</v>
      </c>
      <c r="B2146" s="8" t="str">
        <f>"21902020071416165727033"</f>
        <v>21902020071416165727033</v>
      </c>
      <c r="C2146" s="8" t="s">
        <v>17</v>
      </c>
      <c r="D2146" s="8" t="str">
        <f>"欧诒翠"</f>
        <v>欧诒翠</v>
      </c>
      <c r="E2146" s="8" t="str">
        <f t="shared" si="189"/>
        <v>女</v>
      </c>
    </row>
    <row r="2147" spans="1:5" s="3" customFormat="1" ht="19.5" customHeight="1">
      <c r="A2147" s="8">
        <v>2145</v>
      </c>
      <c r="B2147" s="8" t="str">
        <f>"21902020071416170227034"</f>
        <v>21902020071416170227034</v>
      </c>
      <c r="C2147" s="8" t="s">
        <v>17</v>
      </c>
      <c r="D2147" s="8" t="str">
        <f>"陈皎妹"</f>
        <v>陈皎妹</v>
      </c>
      <c r="E2147" s="8" t="str">
        <f t="shared" si="189"/>
        <v>女</v>
      </c>
    </row>
    <row r="2148" spans="1:5" s="3" customFormat="1" ht="19.5" customHeight="1">
      <c r="A2148" s="8">
        <v>2146</v>
      </c>
      <c r="B2148" s="8" t="str">
        <f>"21902020071416180527035"</f>
        <v>21902020071416180527035</v>
      </c>
      <c r="C2148" s="8" t="s">
        <v>17</v>
      </c>
      <c r="D2148" s="8" t="str">
        <f>"李秋菊"</f>
        <v>李秋菊</v>
      </c>
      <c r="E2148" s="8" t="str">
        <f t="shared" si="189"/>
        <v>女</v>
      </c>
    </row>
    <row r="2149" spans="1:5" s="3" customFormat="1" ht="19.5" customHeight="1">
      <c r="A2149" s="8">
        <v>2147</v>
      </c>
      <c r="B2149" s="8" t="str">
        <f>"21902020071416230827048"</f>
        <v>21902020071416230827048</v>
      </c>
      <c r="C2149" s="8" t="s">
        <v>17</v>
      </c>
      <c r="D2149" s="8" t="str">
        <f>"许开茂"</f>
        <v>许开茂</v>
      </c>
      <c r="E2149" s="8" t="str">
        <f t="shared" si="190"/>
        <v>男</v>
      </c>
    </row>
    <row r="2150" spans="1:5" s="3" customFormat="1" ht="19.5" customHeight="1">
      <c r="A2150" s="8">
        <v>2148</v>
      </c>
      <c r="B2150" s="8" t="str">
        <f>"21902020071416250227054"</f>
        <v>21902020071416250227054</v>
      </c>
      <c r="C2150" s="8" t="s">
        <v>17</v>
      </c>
      <c r="D2150" s="8" t="str">
        <f>"吴泱周"</f>
        <v>吴泱周</v>
      </c>
      <c r="E2150" s="8" t="str">
        <f t="shared" si="190"/>
        <v>男</v>
      </c>
    </row>
    <row r="2151" spans="1:5" s="3" customFormat="1" ht="19.5" customHeight="1">
      <c r="A2151" s="8">
        <v>2149</v>
      </c>
      <c r="B2151" s="8" t="str">
        <f>"21902020071416314627067"</f>
        <v>21902020071416314627067</v>
      </c>
      <c r="C2151" s="8" t="s">
        <v>17</v>
      </c>
      <c r="D2151" s="8" t="str">
        <f>"吴伯秋"</f>
        <v>吴伯秋</v>
      </c>
      <c r="E2151" s="8" t="str">
        <f>"女"</f>
        <v>女</v>
      </c>
    </row>
    <row r="2152" spans="1:5" s="3" customFormat="1" ht="19.5" customHeight="1">
      <c r="A2152" s="8">
        <v>2150</v>
      </c>
      <c r="B2152" s="8" t="str">
        <f>"21902020071416322827068"</f>
        <v>21902020071416322827068</v>
      </c>
      <c r="C2152" s="8" t="s">
        <v>17</v>
      </c>
      <c r="D2152" s="8" t="str">
        <f>"梁嘉伟"</f>
        <v>梁嘉伟</v>
      </c>
      <c r="E2152" s="8" t="str">
        <f aca="true" t="shared" si="191" ref="E2152:E2156">"男"</f>
        <v>男</v>
      </c>
    </row>
    <row r="2153" spans="1:5" s="3" customFormat="1" ht="19.5" customHeight="1">
      <c r="A2153" s="8">
        <v>2151</v>
      </c>
      <c r="B2153" s="8" t="str">
        <f>"21902020071416372127081"</f>
        <v>21902020071416372127081</v>
      </c>
      <c r="C2153" s="8" t="s">
        <v>17</v>
      </c>
      <c r="D2153" s="8" t="str">
        <f>"李君豪"</f>
        <v>李君豪</v>
      </c>
      <c r="E2153" s="8" t="str">
        <f t="shared" si="191"/>
        <v>男</v>
      </c>
    </row>
    <row r="2154" spans="1:5" s="3" customFormat="1" ht="19.5" customHeight="1">
      <c r="A2154" s="8">
        <v>2152</v>
      </c>
      <c r="B2154" s="8" t="str">
        <f>"21902020071416384927086"</f>
        <v>21902020071416384927086</v>
      </c>
      <c r="C2154" s="8" t="s">
        <v>17</v>
      </c>
      <c r="D2154" s="8" t="str">
        <f>"羊春庆"</f>
        <v>羊春庆</v>
      </c>
      <c r="E2154" s="8" t="str">
        <f aca="true" t="shared" si="192" ref="E2154:E2159">"女"</f>
        <v>女</v>
      </c>
    </row>
    <row r="2155" spans="1:5" s="3" customFormat="1" ht="19.5" customHeight="1">
      <c r="A2155" s="8">
        <v>2153</v>
      </c>
      <c r="B2155" s="8" t="str">
        <f>"21902020071416424127091"</f>
        <v>21902020071416424127091</v>
      </c>
      <c r="C2155" s="8" t="s">
        <v>17</v>
      </c>
      <c r="D2155" s="8" t="str">
        <f>"吴定佳"</f>
        <v>吴定佳</v>
      </c>
      <c r="E2155" s="8" t="str">
        <f t="shared" si="191"/>
        <v>男</v>
      </c>
    </row>
    <row r="2156" spans="1:5" s="3" customFormat="1" ht="19.5" customHeight="1">
      <c r="A2156" s="8">
        <v>2154</v>
      </c>
      <c r="B2156" s="8" t="str">
        <f>"21902020071416431727094"</f>
        <v>21902020071416431727094</v>
      </c>
      <c r="C2156" s="8" t="s">
        <v>17</v>
      </c>
      <c r="D2156" s="8" t="str">
        <f>"华琛"</f>
        <v>华琛</v>
      </c>
      <c r="E2156" s="8" t="str">
        <f t="shared" si="191"/>
        <v>男</v>
      </c>
    </row>
    <row r="2157" spans="1:5" s="3" customFormat="1" ht="19.5" customHeight="1">
      <c r="A2157" s="8">
        <v>2155</v>
      </c>
      <c r="B2157" s="8" t="str">
        <f>"21902020071416460627096"</f>
        <v>21902020071416460627096</v>
      </c>
      <c r="C2157" s="8" t="s">
        <v>17</v>
      </c>
      <c r="D2157" s="8" t="str">
        <f>"许华燕"</f>
        <v>许华燕</v>
      </c>
      <c r="E2157" s="8" t="str">
        <f t="shared" si="192"/>
        <v>女</v>
      </c>
    </row>
    <row r="2158" spans="1:5" s="3" customFormat="1" ht="19.5" customHeight="1">
      <c r="A2158" s="8">
        <v>2156</v>
      </c>
      <c r="B2158" s="8" t="str">
        <f>"21902020071416481827102"</f>
        <v>21902020071416481827102</v>
      </c>
      <c r="C2158" s="8" t="s">
        <v>17</v>
      </c>
      <c r="D2158" s="8" t="str">
        <f>"李妹玲"</f>
        <v>李妹玲</v>
      </c>
      <c r="E2158" s="8" t="str">
        <f t="shared" si="192"/>
        <v>女</v>
      </c>
    </row>
    <row r="2159" spans="1:5" s="3" customFormat="1" ht="19.5" customHeight="1">
      <c r="A2159" s="8">
        <v>2157</v>
      </c>
      <c r="B2159" s="8" t="str">
        <f>"21902020071416493727104"</f>
        <v>21902020071416493727104</v>
      </c>
      <c r="C2159" s="8" t="s">
        <v>17</v>
      </c>
      <c r="D2159" s="8" t="str">
        <f>"朱芷彤"</f>
        <v>朱芷彤</v>
      </c>
      <c r="E2159" s="8" t="str">
        <f t="shared" si="192"/>
        <v>女</v>
      </c>
    </row>
    <row r="2160" spans="1:5" s="3" customFormat="1" ht="19.5" customHeight="1">
      <c r="A2160" s="8">
        <v>2158</v>
      </c>
      <c r="B2160" s="8" t="str">
        <f>"21902020071416521527108"</f>
        <v>21902020071416521527108</v>
      </c>
      <c r="C2160" s="8" t="s">
        <v>17</v>
      </c>
      <c r="D2160" s="8" t="str">
        <f>"曾开斌"</f>
        <v>曾开斌</v>
      </c>
      <c r="E2160" s="8" t="str">
        <f aca="true" t="shared" si="193" ref="E2160:E2163">"男"</f>
        <v>男</v>
      </c>
    </row>
    <row r="2161" spans="1:5" s="3" customFormat="1" ht="19.5" customHeight="1">
      <c r="A2161" s="8">
        <v>2159</v>
      </c>
      <c r="B2161" s="8" t="str">
        <f>"21902020071417043127131"</f>
        <v>21902020071417043127131</v>
      </c>
      <c r="C2161" s="8" t="s">
        <v>17</v>
      </c>
      <c r="D2161" s="8" t="str">
        <f>"赵冬珠"</f>
        <v>赵冬珠</v>
      </c>
      <c r="E2161" s="8" t="str">
        <f aca="true" t="shared" si="194" ref="E2161:E2168">"女"</f>
        <v>女</v>
      </c>
    </row>
    <row r="2162" spans="1:5" s="3" customFormat="1" ht="19.5" customHeight="1">
      <c r="A2162" s="8">
        <v>2160</v>
      </c>
      <c r="B2162" s="8" t="str">
        <f>"21902020071417055627136"</f>
        <v>21902020071417055627136</v>
      </c>
      <c r="C2162" s="8" t="s">
        <v>17</v>
      </c>
      <c r="D2162" s="8" t="str">
        <f>"羊祥华"</f>
        <v>羊祥华</v>
      </c>
      <c r="E2162" s="8" t="str">
        <f t="shared" si="193"/>
        <v>男</v>
      </c>
    </row>
    <row r="2163" spans="1:5" s="3" customFormat="1" ht="19.5" customHeight="1">
      <c r="A2163" s="8">
        <v>2161</v>
      </c>
      <c r="B2163" s="8" t="str">
        <f>"21902020071417081027141"</f>
        <v>21902020071417081027141</v>
      </c>
      <c r="C2163" s="8" t="s">
        <v>17</v>
      </c>
      <c r="D2163" s="8" t="str">
        <f>"何志君"</f>
        <v>何志君</v>
      </c>
      <c r="E2163" s="8" t="str">
        <f t="shared" si="193"/>
        <v>男</v>
      </c>
    </row>
    <row r="2164" spans="1:5" s="3" customFormat="1" ht="19.5" customHeight="1">
      <c r="A2164" s="8">
        <v>2162</v>
      </c>
      <c r="B2164" s="8" t="str">
        <f>"21902020071417182027156"</f>
        <v>21902020071417182027156</v>
      </c>
      <c r="C2164" s="8" t="s">
        <v>17</v>
      </c>
      <c r="D2164" s="8" t="str">
        <f>"李宁秀"</f>
        <v>李宁秀</v>
      </c>
      <c r="E2164" s="8" t="str">
        <f t="shared" si="194"/>
        <v>女</v>
      </c>
    </row>
    <row r="2165" spans="1:5" s="3" customFormat="1" ht="19.5" customHeight="1">
      <c r="A2165" s="8">
        <v>2163</v>
      </c>
      <c r="B2165" s="8" t="str">
        <f>"21902020071417295227173"</f>
        <v>21902020071417295227173</v>
      </c>
      <c r="C2165" s="8" t="s">
        <v>17</v>
      </c>
      <c r="D2165" s="8" t="str">
        <f>"符玉秀"</f>
        <v>符玉秀</v>
      </c>
      <c r="E2165" s="8" t="str">
        <f t="shared" si="194"/>
        <v>女</v>
      </c>
    </row>
    <row r="2166" spans="1:5" s="3" customFormat="1" ht="19.5" customHeight="1">
      <c r="A2166" s="8">
        <v>2164</v>
      </c>
      <c r="B2166" s="8" t="str">
        <f>"21902020071417322427179"</f>
        <v>21902020071417322427179</v>
      </c>
      <c r="C2166" s="8" t="s">
        <v>17</v>
      </c>
      <c r="D2166" s="8" t="str">
        <f>"李成艳"</f>
        <v>李成艳</v>
      </c>
      <c r="E2166" s="8" t="str">
        <f t="shared" si="194"/>
        <v>女</v>
      </c>
    </row>
    <row r="2167" spans="1:5" s="3" customFormat="1" ht="19.5" customHeight="1">
      <c r="A2167" s="8">
        <v>2165</v>
      </c>
      <c r="B2167" s="8" t="str">
        <f>"21902020071417331227180"</f>
        <v>21902020071417331227180</v>
      </c>
      <c r="C2167" s="8" t="s">
        <v>17</v>
      </c>
      <c r="D2167" s="8" t="str">
        <f>"何姑女"</f>
        <v>何姑女</v>
      </c>
      <c r="E2167" s="8" t="str">
        <f t="shared" si="194"/>
        <v>女</v>
      </c>
    </row>
    <row r="2168" spans="1:5" s="3" customFormat="1" ht="19.5" customHeight="1">
      <c r="A2168" s="8">
        <v>2166</v>
      </c>
      <c r="B2168" s="8" t="str">
        <f>"21902020071417372727183"</f>
        <v>21902020071417372727183</v>
      </c>
      <c r="C2168" s="8" t="s">
        <v>17</v>
      </c>
      <c r="D2168" s="8" t="str">
        <f>"李孟花"</f>
        <v>李孟花</v>
      </c>
      <c r="E2168" s="8" t="str">
        <f t="shared" si="194"/>
        <v>女</v>
      </c>
    </row>
    <row r="2169" spans="1:5" s="3" customFormat="1" ht="19.5" customHeight="1">
      <c r="A2169" s="8">
        <v>2167</v>
      </c>
      <c r="B2169" s="8" t="str">
        <f>"21902020071417424927192"</f>
        <v>21902020071417424927192</v>
      </c>
      <c r="C2169" s="8" t="s">
        <v>17</v>
      </c>
      <c r="D2169" s="8" t="str">
        <f>"刘甲纲"</f>
        <v>刘甲纲</v>
      </c>
      <c r="E2169" s="8" t="str">
        <f>"男"</f>
        <v>男</v>
      </c>
    </row>
    <row r="2170" spans="1:5" s="3" customFormat="1" ht="19.5" customHeight="1">
      <c r="A2170" s="8">
        <v>2168</v>
      </c>
      <c r="B2170" s="8" t="str">
        <f>"21902020071417491127202"</f>
        <v>21902020071417491127202</v>
      </c>
      <c r="C2170" s="8" t="s">
        <v>17</v>
      </c>
      <c r="D2170" s="8" t="str">
        <f>"林明种"</f>
        <v>林明种</v>
      </c>
      <c r="E2170" s="8" t="str">
        <f>"男"</f>
        <v>男</v>
      </c>
    </row>
    <row r="2171" spans="1:5" s="3" customFormat="1" ht="19.5" customHeight="1">
      <c r="A2171" s="8">
        <v>2169</v>
      </c>
      <c r="B2171" s="8" t="str">
        <f>"21902020071418025127219"</f>
        <v>21902020071418025127219</v>
      </c>
      <c r="C2171" s="8" t="s">
        <v>17</v>
      </c>
      <c r="D2171" s="8" t="str">
        <f>"冯冬春"</f>
        <v>冯冬春</v>
      </c>
      <c r="E2171" s="8" t="str">
        <f aca="true" t="shared" si="195" ref="E2171:E2174">"女"</f>
        <v>女</v>
      </c>
    </row>
    <row r="2172" spans="1:5" s="3" customFormat="1" ht="19.5" customHeight="1">
      <c r="A2172" s="8">
        <v>2170</v>
      </c>
      <c r="B2172" s="8" t="str">
        <f>"21902020071418055327221"</f>
        <v>21902020071418055327221</v>
      </c>
      <c r="C2172" s="8" t="s">
        <v>17</v>
      </c>
      <c r="D2172" s="8" t="str">
        <f>"陈秀桂"</f>
        <v>陈秀桂</v>
      </c>
      <c r="E2172" s="8" t="str">
        <f t="shared" si="195"/>
        <v>女</v>
      </c>
    </row>
    <row r="2173" spans="1:5" s="3" customFormat="1" ht="19.5" customHeight="1">
      <c r="A2173" s="8">
        <v>2171</v>
      </c>
      <c r="B2173" s="8" t="str">
        <f>"21902020071418113527226"</f>
        <v>21902020071418113527226</v>
      </c>
      <c r="C2173" s="8" t="s">
        <v>17</v>
      </c>
      <c r="D2173" s="8" t="str">
        <f>"林帝颖"</f>
        <v>林帝颖</v>
      </c>
      <c r="E2173" s="8" t="str">
        <f t="shared" si="195"/>
        <v>女</v>
      </c>
    </row>
    <row r="2174" spans="1:5" s="3" customFormat="1" ht="19.5" customHeight="1">
      <c r="A2174" s="8">
        <v>2172</v>
      </c>
      <c r="B2174" s="8" t="str">
        <f>"21902020071418122827232"</f>
        <v>21902020071418122827232</v>
      </c>
      <c r="C2174" s="8" t="s">
        <v>17</v>
      </c>
      <c r="D2174" s="8" t="str">
        <f>"蔡玉玲"</f>
        <v>蔡玉玲</v>
      </c>
      <c r="E2174" s="8" t="str">
        <f t="shared" si="195"/>
        <v>女</v>
      </c>
    </row>
    <row r="2175" spans="1:5" s="3" customFormat="1" ht="19.5" customHeight="1">
      <c r="A2175" s="8">
        <v>2173</v>
      </c>
      <c r="B2175" s="8" t="str">
        <f>"21902020071418155527237"</f>
        <v>21902020071418155527237</v>
      </c>
      <c r="C2175" s="8" t="s">
        <v>17</v>
      </c>
      <c r="D2175" s="8" t="str">
        <f>"李琼亮"</f>
        <v>李琼亮</v>
      </c>
      <c r="E2175" s="8" t="str">
        <f aca="true" t="shared" si="196" ref="E2175:E2181">"男"</f>
        <v>男</v>
      </c>
    </row>
    <row r="2176" spans="1:5" s="3" customFormat="1" ht="19.5" customHeight="1">
      <c r="A2176" s="8">
        <v>2174</v>
      </c>
      <c r="B2176" s="8" t="str">
        <f>"21902020071418183727239"</f>
        <v>21902020071418183727239</v>
      </c>
      <c r="C2176" s="8" t="s">
        <v>17</v>
      </c>
      <c r="D2176" s="8" t="str">
        <f>"陈淑玲"</f>
        <v>陈淑玲</v>
      </c>
      <c r="E2176" s="8" t="str">
        <f>"女"</f>
        <v>女</v>
      </c>
    </row>
    <row r="2177" spans="1:5" s="3" customFormat="1" ht="19.5" customHeight="1">
      <c r="A2177" s="8">
        <v>2175</v>
      </c>
      <c r="B2177" s="8" t="str">
        <f>"21902020071418405527264"</f>
        <v>21902020071418405527264</v>
      </c>
      <c r="C2177" s="8" t="s">
        <v>17</v>
      </c>
      <c r="D2177" s="8" t="str">
        <f>"李筱燕"</f>
        <v>李筱燕</v>
      </c>
      <c r="E2177" s="8" t="str">
        <f>"女"</f>
        <v>女</v>
      </c>
    </row>
    <row r="2178" spans="1:5" s="3" customFormat="1" ht="19.5" customHeight="1">
      <c r="A2178" s="8">
        <v>2176</v>
      </c>
      <c r="B2178" s="8" t="str">
        <f>"21902020071418430127269"</f>
        <v>21902020071418430127269</v>
      </c>
      <c r="C2178" s="8" t="s">
        <v>17</v>
      </c>
      <c r="D2178" s="8" t="str">
        <f>"李永彦"</f>
        <v>李永彦</v>
      </c>
      <c r="E2178" s="8" t="str">
        <f t="shared" si="196"/>
        <v>男</v>
      </c>
    </row>
    <row r="2179" spans="1:5" s="3" customFormat="1" ht="19.5" customHeight="1">
      <c r="A2179" s="8">
        <v>2177</v>
      </c>
      <c r="B2179" s="8" t="str">
        <f>"21902020071418443527274"</f>
        <v>21902020071418443527274</v>
      </c>
      <c r="C2179" s="8" t="s">
        <v>17</v>
      </c>
      <c r="D2179" s="8" t="str">
        <f>"何开雄"</f>
        <v>何开雄</v>
      </c>
      <c r="E2179" s="8" t="str">
        <f t="shared" si="196"/>
        <v>男</v>
      </c>
    </row>
    <row r="2180" spans="1:5" s="3" customFormat="1" ht="19.5" customHeight="1">
      <c r="A2180" s="8">
        <v>2178</v>
      </c>
      <c r="B2180" s="8" t="str">
        <f>"21902020071418595127292"</f>
        <v>21902020071418595127292</v>
      </c>
      <c r="C2180" s="8" t="s">
        <v>17</v>
      </c>
      <c r="D2180" s="8" t="str">
        <f>"何有平"</f>
        <v>何有平</v>
      </c>
      <c r="E2180" s="8" t="str">
        <f t="shared" si="196"/>
        <v>男</v>
      </c>
    </row>
    <row r="2181" spans="1:5" s="3" customFormat="1" ht="19.5" customHeight="1">
      <c r="A2181" s="8">
        <v>2179</v>
      </c>
      <c r="B2181" s="8" t="str">
        <f>"21902020071419034327301"</f>
        <v>21902020071419034327301</v>
      </c>
      <c r="C2181" s="8" t="s">
        <v>17</v>
      </c>
      <c r="D2181" s="8" t="str">
        <f>"陈精敏"</f>
        <v>陈精敏</v>
      </c>
      <c r="E2181" s="8" t="str">
        <f t="shared" si="196"/>
        <v>男</v>
      </c>
    </row>
    <row r="2182" spans="1:5" s="3" customFormat="1" ht="19.5" customHeight="1">
      <c r="A2182" s="8">
        <v>2180</v>
      </c>
      <c r="B2182" s="8" t="str">
        <f>"21902020071419065627307"</f>
        <v>21902020071419065627307</v>
      </c>
      <c r="C2182" s="8" t="s">
        <v>17</v>
      </c>
      <c r="D2182" s="8" t="str">
        <f>"张育嫦"</f>
        <v>张育嫦</v>
      </c>
      <c r="E2182" s="8" t="str">
        <f>"女"</f>
        <v>女</v>
      </c>
    </row>
    <row r="2183" spans="1:5" s="3" customFormat="1" ht="19.5" customHeight="1">
      <c r="A2183" s="8">
        <v>2181</v>
      </c>
      <c r="B2183" s="8" t="str">
        <f>"21902020071419192427327"</f>
        <v>21902020071419192427327</v>
      </c>
      <c r="C2183" s="8" t="s">
        <v>17</v>
      </c>
      <c r="D2183" s="8" t="str">
        <f>"李玉造"</f>
        <v>李玉造</v>
      </c>
      <c r="E2183" s="8" t="str">
        <f aca="true" t="shared" si="197" ref="E2183:E2189">"男"</f>
        <v>男</v>
      </c>
    </row>
    <row r="2184" spans="1:5" s="3" customFormat="1" ht="19.5" customHeight="1">
      <c r="A2184" s="8">
        <v>2182</v>
      </c>
      <c r="B2184" s="8" t="str">
        <f>"21902020071419264227334"</f>
        <v>21902020071419264227334</v>
      </c>
      <c r="C2184" s="8" t="s">
        <v>17</v>
      </c>
      <c r="D2184" s="8" t="str">
        <f>"符月贞"</f>
        <v>符月贞</v>
      </c>
      <c r="E2184" s="8" t="str">
        <f>"女"</f>
        <v>女</v>
      </c>
    </row>
    <row r="2185" spans="1:5" s="3" customFormat="1" ht="19.5" customHeight="1">
      <c r="A2185" s="8">
        <v>2183</v>
      </c>
      <c r="B2185" s="8" t="str">
        <f>"21902020071419364527344"</f>
        <v>21902020071419364527344</v>
      </c>
      <c r="C2185" s="8" t="s">
        <v>17</v>
      </c>
      <c r="D2185" s="8" t="str">
        <f>"李海博"</f>
        <v>李海博</v>
      </c>
      <c r="E2185" s="8" t="str">
        <f t="shared" si="197"/>
        <v>男</v>
      </c>
    </row>
    <row r="2186" spans="1:5" s="3" customFormat="1" ht="19.5" customHeight="1">
      <c r="A2186" s="8">
        <v>2184</v>
      </c>
      <c r="B2186" s="8" t="str">
        <f>"21902020071419395527347"</f>
        <v>21902020071419395527347</v>
      </c>
      <c r="C2186" s="8" t="s">
        <v>17</v>
      </c>
      <c r="D2186" s="8" t="str">
        <f>"薛之腾"</f>
        <v>薛之腾</v>
      </c>
      <c r="E2186" s="8" t="str">
        <f t="shared" si="197"/>
        <v>男</v>
      </c>
    </row>
    <row r="2187" spans="1:5" s="3" customFormat="1" ht="19.5" customHeight="1">
      <c r="A2187" s="8">
        <v>2185</v>
      </c>
      <c r="B2187" s="8" t="str">
        <f>"21902020071419474727354"</f>
        <v>21902020071419474727354</v>
      </c>
      <c r="C2187" s="8" t="s">
        <v>17</v>
      </c>
      <c r="D2187" s="8" t="str">
        <f>"谢锋"</f>
        <v>谢锋</v>
      </c>
      <c r="E2187" s="8" t="str">
        <f t="shared" si="197"/>
        <v>男</v>
      </c>
    </row>
    <row r="2188" spans="1:5" s="3" customFormat="1" ht="19.5" customHeight="1">
      <c r="A2188" s="8">
        <v>2186</v>
      </c>
      <c r="B2188" s="8" t="str">
        <f>"21902020071420103027371"</f>
        <v>21902020071420103027371</v>
      </c>
      <c r="C2188" s="8" t="s">
        <v>17</v>
      </c>
      <c r="D2188" s="8" t="str">
        <f>"吴碧海"</f>
        <v>吴碧海</v>
      </c>
      <c r="E2188" s="8" t="str">
        <f t="shared" si="197"/>
        <v>男</v>
      </c>
    </row>
    <row r="2189" spans="1:5" s="3" customFormat="1" ht="19.5" customHeight="1">
      <c r="A2189" s="8">
        <v>2187</v>
      </c>
      <c r="B2189" s="8" t="str">
        <f>"21902020071420115227375"</f>
        <v>21902020071420115227375</v>
      </c>
      <c r="C2189" s="8" t="s">
        <v>17</v>
      </c>
      <c r="D2189" s="8" t="str">
        <f>"何开德"</f>
        <v>何开德</v>
      </c>
      <c r="E2189" s="8" t="str">
        <f t="shared" si="197"/>
        <v>男</v>
      </c>
    </row>
    <row r="2190" spans="1:5" s="3" customFormat="1" ht="19.5" customHeight="1">
      <c r="A2190" s="8">
        <v>2188</v>
      </c>
      <c r="B2190" s="8" t="str">
        <f>"21902020071420201527385"</f>
        <v>21902020071420201527385</v>
      </c>
      <c r="C2190" s="8" t="s">
        <v>17</v>
      </c>
      <c r="D2190" s="8" t="str">
        <f>"符选凤"</f>
        <v>符选凤</v>
      </c>
      <c r="E2190" s="8" t="str">
        <f aca="true" t="shared" si="198" ref="E2190:E2192">"女"</f>
        <v>女</v>
      </c>
    </row>
    <row r="2191" spans="1:5" s="3" customFormat="1" ht="19.5" customHeight="1">
      <c r="A2191" s="8">
        <v>2189</v>
      </c>
      <c r="B2191" s="8" t="str">
        <f>"21902020071420285527399"</f>
        <v>21902020071420285527399</v>
      </c>
      <c r="C2191" s="8" t="s">
        <v>17</v>
      </c>
      <c r="D2191" s="8" t="str">
        <f>"郭伟兰"</f>
        <v>郭伟兰</v>
      </c>
      <c r="E2191" s="8" t="str">
        <f t="shared" si="198"/>
        <v>女</v>
      </c>
    </row>
    <row r="2192" spans="1:5" s="3" customFormat="1" ht="19.5" customHeight="1">
      <c r="A2192" s="8">
        <v>2190</v>
      </c>
      <c r="B2192" s="8" t="str">
        <f>"21902020071420352427405"</f>
        <v>21902020071420352427405</v>
      </c>
      <c r="C2192" s="8" t="s">
        <v>17</v>
      </c>
      <c r="D2192" s="8" t="str">
        <f>"朱文秀"</f>
        <v>朱文秀</v>
      </c>
      <c r="E2192" s="8" t="str">
        <f t="shared" si="198"/>
        <v>女</v>
      </c>
    </row>
    <row r="2193" spans="1:5" s="3" customFormat="1" ht="19.5" customHeight="1">
      <c r="A2193" s="8">
        <v>2191</v>
      </c>
      <c r="B2193" s="8" t="str">
        <f>"21902020071420422227409"</f>
        <v>21902020071420422227409</v>
      </c>
      <c r="C2193" s="8" t="s">
        <v>17</v>
      </c>
      <c r="D2193" s="8" t="str">
        <f>"李玉华"</f>
        <v>李玉华</v>
      </c>
      <c r="E2193" s="8" t="str">
        <f aca="true" t="shared" si="199" ref="E2193:E2197">"男"</f>
        <v>男</v>
      </c>
    </row>
    <row r="2194" spans="1:5" s="3" customFormat="1" ht="19.5" customHeight="1">
      <c r="A2194" s="8">
        <v>2192</v>
      </c>
      <c r="B2194" s="8" t="str">
        <f>"21902020071420424627410"</f>
        <v>21902020071420424627410</v>
      </c>
      <c r="C2194" s="8" t="s">
        <v>17</v>
      </c>
      <c r="D2194" s="8" t="str">
        <f>"邓贵月"</f>
        <v>邓贵月</v>
      </c>
      <c r="E2194" s="8" t="str">
        <f>"女"</f>
        <v>女</v>
      </c>
    </row>
    <row r="2195" spans="1:5" s="3" customFormat="1" ht="19.5" customHeight="1">
      <c r="A2195" s="8">
        <v>2193</v>
      </c>
      <c r="B2195" s="8" t="str">
        <f>"21902020071420430027411"</f>
        <v>21902020071420430027411</v>
      </c>
      <c r="C2195" s="8" t="s">
        <v>17</v>
      </c>
      <c r="D2195" s="8" t="str">
        <f>"许卓平"</f>
        <v>许卓平</v>
      </c>
      <c r="E2195" s="8" t="str">
        <f t="shared" si="199"/>
        <v>男</v>
      </c>
    </row>
    <row r="2196" spans="1:5" s="3" customFormat="1" ht="19.5" customHeight="1">
      <c r="A2196" s="8">
        <v>2194</v>
      </c>
      <c r="B2196" s="8" t="str">
        <f>"21902020071420454827416"</f>
        <v>21902020071420454827416</v>
      </c>
      <c r="C2196" s="8" t="s">
        <v>17</v>
      </c>
      <c r="D2196" s="8" t="str">
        <f>"陈传鸿"</f>
        <v>陈传鸿</v>
      </c>
      <c r="E2196" s="8" t="str">
        <f t="shared" si="199"/>
        <v>男</v>
      </c>
    </row>
    <row r="2197" spans="1:5" s="3" customFormat="1" ht="19.5" customHeight="1">
      <c r="A2197" s="8">
        <v>2195</v>
      </c>
      <c r="B2197" s="8" t="str">
        <f>"21902020071420523627422"</f>
        <v>21902020071420523627422</v>
      </c>
      <c r="C2197" s="8" t="s">
        <v>17</v>
      </c>
      <c r="D2197" s="8" t="str">
        <f>"胡森"</f>
        <v>胡森</v>
      </c>
      <c r="E2197" s="8" t="str">
        <f t="shared" si="199"/>
        <v>男</v>
      </c>
    </row>
    <row r="2198" spans="1:5" s="3" customFormat="1" ht="19.5" customHeight="1">
      <c r="A2198" s="8">
        <v>2196</v>
      </c>
      <c r="B2198" s="8" t="str">
        <f>"21902020071420551327424"</f>
        <v>21902020071420551327424</v>
      </c>
      <c r="C2198" s="8" t="s">
        <v>17</v>
      </c>
      <c r="D2198" s="8" t="str">
        <f>"许金妹"</f>
        <v>许金妹</v>
      </c>
      <c r="E2198" s="8" t="str">
        <f>"女"</f>
        <v>女</v>
      </c>
    </row>
    <row r="2199" spans="1:5" s="3" customFormat="1" ht="19.5" customHeight="1">
      <c r="A2199" s="8">
        <v>2197</v>
      </c>
      <c r="B2199" s="8" t="str">
        <f>"21902020071421042627442"</f>
        <v>21902020071421042627442</v>
      </c>
      <c r="C2199" s="8" t="s">
        <v>17</v>
      </c>
      <c r="D2199" s="8" t="str">
        <f>"李新有"</f>
        <v>李新有</v>
      </c>
      <c r="E2199" s="8" t="str">
        <f aca="true" t="shared" si="200" ref="E2199:E2205">"男"</f>
        <v>男</v>
      </c>
    </row>
    <row r="2200" spans="1:5" s="3" customFormat="1" ht="19.5" customHeight="1">
      <c r="A2200" s="8">
        <v>2198</v>
      </c>
      <c r="B2200" s="8" t="str">
        <f>"21902020071421103327452"</f>
        <v>21902020071421103327452</v>
      </c>
      <c r="C2200" s="8" t="s">
        <v>17</v>
      </c>
      <c r="D2200" s="8" t="str">
        <f>"周美满"</f>
        <v>周美满</v>
      </c>
      <c r="E2200" s="8" t="str">
        <f>"女"</f>
        <v>女</v>
      </c>
    </row>
    <row r="2201" spans="1:5" s="3" customFormat="1" ht="19.5" customHeight="1">
      <c r="A2201" s="8">
        <v>2199</v>
      </c>
      <c r="B2201" s="8" t="str">
        <f>"21902020071421120427455"</f>
        <v>21902020071421120427455</v>
      </c>
      <c r="C2201" s="8" t="s">
        <v>17</v>
      </c>
      <c r="D2201" s="8" t="str">
        <f>"何长亮"</f>
        <v>何长亮</v>
      </c>
      <c r="E2201" s="8" t="str">
        <f t="shared" si="200"/>
        <v>男</v>
      </c>
    </row>
    <row r="2202" spans="1:5" s="3" customFormat="1" ht="19.5" customHeight="1">
      <c r="A2202" s="8">
        <v>2200</v>
      </c>
      <c r="B2202" s="8" t="str">
        <f>"21902020071421144727457"</f>
        <v>21902020071421144727457</v>
      </c>
      <c r="C2202" s="8" t="s">
        <v>17</v>
      </c>
      <c r="D2202" s="8" t="str">
        <f>"李承寿"</f>
        <v>李承寿</v>
      </c>
      <c r="E2202" s="8" t="str">
        <f t="shared" si="200"/>
        <v>男</v>
      </c>
    </row>
    <row r="2203" spans="1:5" s="3" customFormat="1" ht="19.5" customHeight="1">
      <c r="A2203" s="8">
        <v>2201</v>
      </c>
      <c r="B2203" s="8" t="str">
        <f>"21902020071421185627465"</f>
        <v>21902020071421185627465</v>
      </c>
      <c r="C2203" s="8" t="s">
        <v>17</v>
      </c>
      <c r="D2203" s="8" t="str">
        <f>"郑雄武"</f>
        <v>郑雄武</v>
      </c>
      <c r="E2203" s="8" t="str">
        <f t="shared" si="200"/>
        <v>男</v>
      </c>
    </row>
    <row r="2204" spans="1:5" s="3" customFormat="1" ht="19.5" customHeight="1">
      <c r="A2204" s="8">
        <v>2202</v>
      </c>
      <c r="B2204" s="8" t="str">
        <f>"21902020071421350227474"</f>
        <v>21902020071421350227474</v>
      </c>
      <c r="C2204" s="8" t="s">
        <v>17</v>
      </c>
      <c r="D2204" s="8" t="str">
        <f>"黄方裕"</f>
        <v>黄方裕</v>
      </c>
      <c r="E2204" s="8" t="str">
        <f t="shared" si="200"/>
        <v>男</v>
      </c>
    </row>
    <row r="2205" spans="1:5" s="3" customFormat="1" ht="19.5" customHeight="1">
      <c r="A2205" s="8">
        <v>2203</v>
      </c>
      <c r="B2205" s="8" t="str">
        <f>"21902020071421394827479"</f>
        <v>21902020071421394827479</v>
      </c>
      <c r="C2205" s="8" t="s">
        <v>17</v>
      </c>
      <c r="D2205" s="8" t="str">
        <f>"郑精贤"</f>
        <v>郑精贤</v>
      </c>
      <c r="E2205" s="8" t="str">
        <f t="shared" si="200"/>
        <v>男</v>
      </c>
    </row>
    <row r="2206" spans="1:5" s="3" customFormat="1" ht="19.5" customHeight="1">
      <c r="A2206" s="8">
        <v>2204</v>
      </c>
      <c r="B2206" s="8" t="str">
        <f>"21902020071421475527483"</f>
        <v>21902020071421475527483</v>
      </c>
      <c r="C2206" s="8" t="s">
        <v>17</v>
      </c>
      <c r="D2206" s="8" t="str">
        <f>"李玉玲"</f>
        <v>李玉玲</v>
      </c>
      <c r="E2206" s="8" t="str">
        <f>"女"</f>
        <v>女</v>
      </c>
    </row>
    <row r="2207" spans="1:5" s="3" customFormat="1" ht="19.5" customHeight="1">
      <c r="A2207" s="8">
        <v>2205</v>
      </c>
      <c r="B2207" s="8" t="str">
        <f>"21902020071421481927484"</f>
        <v>21902020071421481927484</v>
      </c>
      <c r="C2207" s="8" t="s">
        <v>17</v>
      </c>
      <c r="D2207" s="8" t="str">
        <f>"李占雄"</f>
        <v>李占雄</v>
      </c>
      <c r="E2207" s="8" t="str">
        <f aca="true" t="shared" si="201" ref="E2207:E2210">"男"</f>
        <v>男</v>
      </c>
    </row>
    <row r="2208" spans="1:5" s="3" customFormat="1" ht="19.5" customHeight="1">
      <c r="A2208" s="8">
        <v>2206</v>
      </c>
      <c r="B2208" s="8" t="str">
        <f>"21902020071421505227486"</f>
        <v>21902020071421505227486</v>
      </c>
      <c r="C2208" s="8" t="s">
        <v>17</v>
      </c>
      <c r="D2208" s="8" t="str">
        <f>"牛海河"</f>
        <v>牛海河</v>
      </c>
      <c r="E2208" s="8" t="str">
        <f t="shared" si="201"/>
        <v>男</v>
      </c>
    </row>
    <row r="2209" spans="1:5" s="3" customFormat="1" ht="19.5" customHeight="1">
      <c r="A2209" s="8">
        <v>2207</v>
      </c>
      <c r="B2209" s="8" t="str">
        <f>"21902020071421511727488"</f>
        <v>21902020071421511727488</v>
      </c>
      <c r="C2209" s="8" t="s">
        <v>17</v>
      </c>
      <c r="D2209" s="8" t="str">
        <f>"许祥"</f>
        <v>许祥</v>
      </c>
      <c r="E2209" s="8" t="str">
        <f t="shared" si="201"/>
        <v>男</v>
      </c>
    </row>
    <row r="2210" spans="1:5" s="3" customFormat="1" ht="19.5" customHeight="1">
      <c r="A2210" s="8">
        <v>2208</v>
      </c>
      <c r="B2210" s="8" t="str">
        <f>"21902020071421522527489"</f>
        <v>21902020071421522527489</v>
      </c>
      <c r="C2210" s="8" t="s">
        <v>17</v>
      </c>
      <c r="D2210" s="8" t="str">
        <f>"李毅清"</f>
        <v>李毅清</v>
      </c>
      <c r="E2210" s="8" t="str">
        <f t="shared" si="201"/>
        <v>男</v>
      </c>
    </row>
    <row r="2211" spans="1:5" s="3" customFormat="1" ht="19.5" customHeight="1">
      <c r="A2211" s="8">
        <v>2209</v>
      </c>
      <c r="B2211" s="8" t="str">
        <f>"21902020071421543227493"</f>
        <v>21902020071421543227493</v>
      </c>
      <c r="C2211" s="8" t="s">
        <v>17</v>
      </c>
      <c r="D2211" s="8" t="str">
        <f>"陈丽"</f>
        <v>陈丽</v>
      </c>
      <c r="E2211" s="8" t="str">
        <f aca="true" t="shared" si="202" ref="E2211:E2215">"女"</f>
        <v>女</v>
      </c>
    </row>
    <row r="2212" spans="1:5" s="3" customFormat="1" ht="19.5" customHeight="1">
      <c r="A2212" s="8">
        <v>2210</v>
      </c>
      <c r="B2212" s="8" t="str">
        <f>"21902020071422051627503"</f>
        <v>21902020071422051627503</v>
      </c>
      <c r="C2212" s="8" t="s">
        <v>17</v>
      </c>
      <c r="D2212" s="8" t="str">
        <f>"黎正锋"</f>
        <v>黎正锋</v>
      </c>
      <c r="E2212" s="8" t="str">
        <f aca="true" t="shared" si="203" ref="E2212:E2217">"男"</f>
        <v>男</v>
      </c>
    </row>
    <row r="2213" spans="1:5" s="3" customFormat="1" ht="19.5" customHeight="1">
      <c r="A2213" s="8">
        <v>2211</v>
      </c>
      <c r="B2213" s="8" t="str">
        <f>"21902020071422081227509"</f>
        <v>21902020071422081227509</v>
      </c>
      <c r="C2213" s="8" t="s">
        <v>17</v>
      </c>
      <c r="D2213" s="8" t="str">
        <f>"符玉联"</f>
        <v>符玉联</v>
      </c>
      <c r="E2213" s="8" t="str">
        <f t="shared" si="202"/>
        <v>女</v>
      </c>
    </row>
    <row r="2214" spans="1:5" s="3" customFormat="1" ht="19.5" customHeight="1">
      <c r="A2214" s="8">
        <v>2212</v>
      </c>
      <c r="B2214" s="8" t="str">
        <f>"21902020071422114927517"</f>
        <v>21902020071422114927517</v>
      </c>
      <c r="C2214" s="8" t="s">
        <v>17</v>
      </c>
      <c r="D2214" s="8" t="str">
        <f>"张琪英"</f>
        <v>张琪英</v>
      </c>
      <c r="E2214" s="8" t="str">
        <f t="shared" si="202"/>
        <v>女</v>
      </c>
    </row>
    <row r="2215" spans="1:5" s="3" customFormat="1" ht="19.5" customHeight="1">
      <c r="A2215" s="8">
        <v>2213</v>
      </c>
      <c r="B2215" s="8" t="str">
        <f>"21902020071422173027524"</f>
        <v>21902020071422173027524</v>
      </c>
      <c r="C2215" s="8" t="s">
        <v>17</v>
      </c>
      <c r="D2215" s="8" t="str">
        <f>"羊精琛"</f>
        <v>羊精琛</v>
      </c>
      <c r="E2215" s="8" t="str">
        <f t="shared" si="202"/>
        <v>女</v>
      </c>
    </row>
    <row r="2216" spans="1:5" s="3" customFormat="1" ht="19.5" customHeight="1">
      <c r="A2216" s="8">
        <v>2214</v>
      </c>
      <c r="B2216" s="8" t="str">
        <f>"21902020071422192527529"</f>
        <v>21902020071422192527529</v>
      </c>
      <c r="C2216" s="8" t="s">
        <v>17</v>
      </c>
      <c r="D2216" s="8" t="str">
        <f>"曾开哲"</f>
        <v>曾开哲</v>
      </c>
      <c r="E2216" s="8" t="str">
        <f t="shared" si="203"/>
        <v>男</v>
      </c>
    </row>
    <row r="2217" spans="1:5" s="3" customFormat="1" ht="19.5" customHeight="1">
      <c r="A2217" s="8">
        <v>2215</v>
      </c>
      <c r="B2217" s="8" t="str">
        <f>"21902020071422255627539"</f>
        <v>21902020071422255627539</v>
      </c>
      <c r="C2217" s="8" t="s">
        <v>17</v>
      </c>
      <c r="D2217" s="8" t="str">
        <f>"谢泓俊"</f>
        <v>谢泓俊</v>
      </c>
      <c r="E2217" s="8" t="str">
        <f t="shared" si="203"/>
        <v>男</v>
      </c>
    </row>
    <row r="2218" spans="1:5" s="3" customFormat="1" ht="19.5" customHeight="1">
      <c r="A2218" s="8">
        <v>2216</v>
      </c>
      <c r="B2218" s="8" t="str">
        <f>"21902020071422365527557"</f>
        <v>21902020071422365527557</v>
      </c>
      <c r="C2218" s="8" t="s">
        <v>17</v>
      </c>
      <c r="D2218" s="8" t="str">
        <f>"曾月香"</f>
        <v>曾月香</v>
      </c>
      <c r="E2218" s="8" t="str">
        <f aca="true" t="shared" si="204" ref="E2218:E2224">"女"</f>
        <v>女</v>
      </c>
    </row>
    <row r="2219" spans="1:5" s="3" customFormat="1" ht="19.5" customHeight="1">
      <c r="A2219" s="8">
        <v>2217</v>
      </c>
      <c r="B2219" s="8" t="str">
        <f>"21902020071422365727558"</f>
        <v>21902020071422365727558</v>
      </c>
      <c r="C2219" s="8" t="s">
        <v>17</v>
      </c>
      <c r="D2219" s="8" t="str">
        <f>"林华妹"</f>
        <v>林华妹</v>
      </c>
      <c r="E2219" s="8" t="str">
        <f t="shared" si="204"/>
        <v>女</v>
      </c>
    </row>
    <row r="2220" spans="1:5" s="3" customFormat="1" ht="19.5" customHeight="1">
      <c r="A2220" s="8">
        <v>2218</v>
      </c>
      <c r="B2220" s="8" t="str">
        <f>"21902020071422474127567"</f>
        <v>21902020071422474127567</v>
      </c>
      <c r="C2220" s="8" t="s">
        <v>17</v>
      </c>
      <c r="D2220" s="8" t="str">
        <f>"吴国文"</f>
        <v>吴国文</v>
      </c>
      <c r="E2220" s="8" t="str">
        <f aca="true" t="shared" si="205" ref="E2220:E2225">"男"</f>
        <v>男</v>
      </c>
    </row>
    <row r="2221" spans="1:5" s="3" customFormat="1" ht="19.5" customHeight="1">
      <c r="A2221" s="8">
        <v>2219</v>
      </c>
      <c r="B2221" s="8" t="str">
        <f>"21902020071422535127576"</f>
        <v>21902020071422535127576</v>
      </c>
      <c r="C2221" s="8" t="s">
        <v>17</v>
      </c>
      <c r="D2221" s="8" t="str">
        <f>"邱广才"</f>
        <v>邱广才</v>
      </c>
      <c r="E2221" s="8" t="str">
        <f t="shared" si="205"/>
        <v>男</v>
      </c>
    </row>
    <row r="2222" spans="1:5" s="3" customFormat="1" ht="19.5" customHeight="1">
      <c r="A2222" s="8">
        <v>2220</v>
      </c>
      <c r="B2222" s="8" t="str">
        <f>"21902020071422592027581"</f>
        <v>21902020071422592027581</v>
      </c>
      <c r="C2222" s="8" t="s">
        <v>17</v>
      </c>
      <c r="D2222" s="8" t="str">
        <f>"王珍"</f>
        <v>王珍</v>
      </c>
      <c r="E2222" s="8" t="str">
        <f t="shared" si="204"/>
        <v>女</v>
      </c>
    </row>
    <row r="2223" spans="1:5" s="3" customFormat="1" ht="19.5" customHeight="1">
      <c r="A2223" s="8">
        <v>2221</v>
      </c>
      <c r="B2223" s="8" t="str">
        <f>"21902020071423030027587"</f>
        <v>21902020071423030027587</v>
      </c>
      <c r="C2223" s="8" t="s">
        <v>17</v>
      </c>
      <c r="D2223" s="8" t="str">
        <f>"洪二妹"</f>
        <v>洪二妹</v>
      </c>
      <c r="E2223" s="8" t="str">
        <f t="shared" si="204"/>
        <v>女</v>
      </c>
    </row>
    <row r="2224" spans="1:5" s="3" customFormat="1" ht="19.5" customHeight="1">
      <c r="A2224" s="8">
        <v>2222</v>
      </c>
      <c r="B2224" s="8" t="str">
        <f>"21902020071423204327607"</f>
        <v>21902020071423204327607</v>
      </c>
      <c r="C2224" s="8" t="s">
        <v>17</v>
      </c>
      <c r="D2224" s="8" t="str">
        <f>"李日美"</f>
        <v>李日美</v>
      </c>
      <c r="E2224" s="8" t="str">
        <f t="shared" si="204"/>
        <v>女</v>
      </c>
    </row>
    <row r="2225" spans="1:5" s="3" customFormat="1" ht="19.5" customHeight="1">
      <c r="A2225" s="8">
        <v>2223</v>
      </c>
      <c r="B2225" s="8" t="str">
        <f>"21902020071423215027608"</f>
        <v>21902020071423215027608</v>
      </c>
      <c r="C2225" s="8" t="s">
        <v>17</v>
      </c>
      <c r="D2225" s="8" t="str">
        <f>"许鹏"</f>
        <v>许鹏</v>
      </c>
      <c r="E2225" s="8" t="str">
        <f t="shared" si="205"/>
        <v>男</v>
      </c>
    </row>
    <row r="2226" spans="1:5" s="3" customFormat="1" ht="19.5" customHeight="1">
      <c r="A2226" s="8">
        <v>2224</v>
      </c>
      <c r="B2226" s="8" t="str">
        <f>"21902020071423481127626"</f>
        <v>21902020071423481127626</v>
      </c>
      <c r="C2226" s="8" t="s">
        <v>17</v>
      </c>
      <c r="D2226" s="8" t="str">
        <f>"杨密"</f>
        <v>杨密</v>
      </c>
      <c r="E2226" s="8" t="str">
        <f aca="true" t="shared" si="206" ref="E2226:E2231">"女"</f>
        <v>女</v>
      </c>
    </row>
    <row r="2227" spans="1:5" s="3" customFormat="1" ht="19.5" customHeight="1">
      <c r="A2227" s="8">
        <v>2225</v>
      </c>
      <c r="B2227" s="8" t="str">
        <f>"21902020071423541427629"</f>
        <v>21902020071423541427629</v>
      </c>
      <c r="C2227" s="8" t="s">
        <v>17</v>
      </c>
      <c r="D2227" s="8" t="str">
        <f>"郑维焕"</f>
        <v>郑维焕</v>
      </c>
      <c r="E2227" s="8" t="str">
        <f t="shared" si="206"/>
        <v>女</v>
      </c>
    </row>
    <row r="2228" spans="1:5" s="3" customFormat="1" ht="19.5" customHeight="1">
      <c r="A2228" s="8">
        <v>2226</v>
      </c>
      <c r="B2228" s="8" t="str">
        <f>"21902020071423570827631"</f>
        <v>21902020071423570827631</v>
      </c>
      <c r="C2228" s="8" t="s">
        <v>17</v>
      </c>
      <c r="D2228" s="8" t="str">
        <f>"李梅青"</f>
        <v>李梅青</v>
      </c>
      <c r="E2228" s="8" t="str">
        <f t="shared" si="206"/>
        <v>女</v>
      </c>
    </row>
    <row r="2229" spans="1:5" s="3" customFormat="1" ht="19.5" customHeight="1">
      <c r="A2229" s="8">
        <v>2227</v>
      </c>
      <c r="B2229" s="8" t="str">
        <f>"21902020071423574827632"</f>
        <v>21902020071423574827632</v>
      </c>
      <c r="C2229" s="8" t="s">
        <v>17</v>
      </c>
      <c r="D2229" s="8" t="str">
        <f>"孝妍"</f>
        <v>孝妍</v>
      </c>
      <c r="E2229" s="8" t="str">
        <f t="shared" si="206"/>
        <v>女</v>
      </c>
    </row>
    <row r="2230" spans="1:5" s="3" customFormat="1" ht="19.5" customHeight="1">
      <c r="A2230" s="8">
        <v>2228</v>
      </c>
      <c r="B2230" s="8" t="str">
        <f>"21902020071500145027640"</f>
        <v>21902020071500145027640</v>
      </c>
      <c r="C2230" s="8" t="s">
        <v>17</v>
      </c>
      <c r="D2230" s="8" t="str">
        <f>"刘桃育"</f>
        <v>刘桃育</v>
      </c>
      <c r="E2230" s="8" t="str">
        <f t="shared" si="206"/>
        <v>女</v>
      </c>
    </row>
    <row r="2231" spans="1:5" s="3" customFormat="1" ht="19.5" customHeight="1">
      <c r="A2231" s="8">
        <v>2229</v>
      </c>
      <c r="B2231" s="8" t="str">
        <f>"21902020071501411327659"</f>
        <v>21902020071501411327659</v>
      </c>
      <c r="C2231" s="8" t="s">
        <v>17</v>
      </c>
      <c r="D2231" s="8" t="str">
        <f>"李方玲"</f>
        <v>李方玲</v>
      </c>
      <c r="E2231" s="8" t="str">
        <f t="shared" si="206"/>
        <v>女</v>
      </c>
    </row>
    <row r="2232" spans="1:5" s="3" customFormat="1" ht="19.5" customHeight="1">
      <c r="A2232" s="8">
        <v>2230</v>
      </c>
      <c r="B2232" s="8" t="str">
        <f>"21902020071504140827665"</f>
        <v>21902020071504140827665</v>
      </c>
      <c r="C2232" s="8" t="s">
        <v>17</v>
      </c>
      <c r="D2232" s="8" t="str">
        <f>"吴文统"</f>
        <v>吴文统</v>
      </c>
      <c r="E2232" s="8" t="str">
        <f aca="true" t="shared" si="207" ref="E2232:E2234">"男"</f>
        <v>男</v>
      </c>
    </row>
    <row r="2233" spans="1:5" s="3" customFormat="1" ht="19.5" customHeight="1">
      <c r="A2233" s="8">
        <v>2231</v>
      </c>
      <c r="B2233" s="8" t="str">
        <f>"21902020071506451427667"</f>
        <v>21902020071506451427667</v>
      </c>
      <c r="C2233" s="8" t="s">
        <v>17</v>
      </c>
      <c r="D2233" s="8" t="str">
        <f>"羊万坚"</f>
        <v>羊万坚</v>
      </c>
      <c r="E2233" s="8" t="str">
        <f t="shared" si="207"/>
        <v>男</v>
      </c>
    </row>
    <row r="2234" spans="1:5" s="3" customFormat="1" ht="19.5" customHeight="1">
      <c r="A2234" s="8">
        <v>2232</v>
      </c>
      <c r="B2234" s="8" t="str">
        <f>"21902020071508173027680"</f>
        <v>21902020071508173027680</v>
      </c>
      <c r="C2234" s="8" t="s">
        <v>17</v>
      </c>
      <c r="D2234" s="8" t="str">
        <f>"陈文博"</f>
        <v>陈文博</v>
      </c>
      <c r="E2234" s="8" t="str">
        <f t="shared" si="207"/>
        <v>男</v>
      </c>
    </row>
    <row r="2235" spans="1:5" s="3" customFormat="1" ht="19.5" customHeight="1">
      <c r="A2235" s="8">
        <v>2233</v>
      </c>
      <c r="B2235" s="8" t="str">
        <f>"21902020071508395127694"</f>
        <v>21902020071508395127694</v>
      </c>
      <c r="C2235" s="8" t="s">
        <v>17</v>
      </c>
      <c r="D2235" s="8" t="str">
        <f>"陈梅兰"</f>
        <v>陈梅兰</v>
      </c>
      <c r="E2235" s="8" t="str">
        <f aca="true" t="shared" si="208" ref="E2235:E2238">"女"</f>
        <v>女</v>
      </c>
    </row>
    <row r="2236" spans="1:5" s="3" customFormat="1" ht="19.5" customHeight="1">
      <c r="A2236" s="8">
        <v>2234</v>
      </c>
      <c r="B2236" s="8" t="str">
        <f>"21902020071508460227700"</f>
        <v>21902020071508460227700</v>
      </c>
      <c r="C2236" s="8" t="s">
        <v>17</v>
      </c>
      <c r="D2236" s="8" t="str">
        <f>"黄海花"</f>
        <v>黄海花</v>
      </c>
      <c r="E2236" s="8" t="str">
        <f t="shared" si="208"/>
        <v>女</v>
      </c>
    </row>
    <row r="2237" spans="1:5" s="3" customFormat="1" ht="19.5" customHeight="1">
      <c r="A2237" s="8">
        <v>2235</v>
      </c>
      <c r="B2237" s="8" t="str">
        <f>"21902020071509070427745"</f>
        <v>21902020071509070427745</v>
      </c>
      <c r="C2237" s="8" t="s">
        <v>17</v>
      </c>
      <c r="D2237" s="8" t="str">
        <f>"王应才"</f>
        <v>王应才</v>
      </c>
      <c r="E2237" s="8" t="str">
        <f>"男"</f>
        <v>男</v>
      </c>
    </row>
    <row r="2238" spans="1:5" s="3" customFormat="1" ht="19.5" customHeight="1">
      <c r="A2238" s="8">
        <v>2236</v>
      </c>
      <c r="B2238" s="8" t="str">
        <f>"21902020071509143927758"</f>
        <v>21902020071509143927758</v>
      </c>
      <c r="C2238" s="8" t="s">
        <v>17</v>
      </c>
      <c r="D2238" s="8" t="str">
        <f>"吴春鸾"</f>
        <v>吴春鸾</v>
      </c>
      <c r="E2238" s="8" t="str">
        <f t="shared" si="208"/>
        <v>女</v>
      </c>
    </row>
    <row r="2239" spans="1:5" s="3" customFormat="1" ht="19.5" customHeight="1">
      <c r="A2239" s="8">
        <v>2237</v>
      </c>
      <c r="B2239" s="8" t="str">
        <f>"21902020071509205427769"</f>
        <v>21902020071509205427769</v>
      </c>
      <c r="C2239" s="8" t="s">
        <v>17</v>
      </c>
      <c r="D2239" s="8" t="str">
        <f>"周礼康"</f>
        <v>周礼康</v>
      </c>
      <c r="E2239" s="8" t="str">
        <f>"男"</f>
        <v>男</v>
      </c>
    </row>
    <row r="2240" spans="1:5" s="3" customFormat="1" ht="19.5" customHeight="1">
      <c r="A2240" s="8">
        <v>2238</v>
      </c>
      <c r="B2240" s="8" t="str">
        <f>"21902020071509403827793"</f>
        <v>21902020071509403827793</v>
      </c>
      <c r="C2240" s="8" t="s">
        <v>17</v>
      </c>
      <c r="D2240" s="8" t="str">
        <f>"麦映霞"</f>
        <v>麦映霞</v>
      </c>
      <c r="E2240" s="8" t="str">
        <f aca="true" t="shared" si="209" ref="E2240:E2244">"女"</f>
        <v>女</v>
      </c>
    </row>
    <row r="2241" spans="1:5" s="3" customFormat="1" ht="19.5" customHeight="1">
      <c r="A2241" s="8">
        <v>2239</v>
      </c>
      <c r="B2241" s="8" t="str">
        <f>"21902020071509421727797"</f>
        <v>21902020071509421727797</v>
      </c>
      <c r="C2241" s="8" t="s">
        <v>17</v>
      </c>
      <c r="D2241" s="8" t="str">
        <f>"刘海珍"</f>
        <v>刘海珍</v>
      </c>
      <c r="E2241" s="8" t="str">
        <f t="shared" si="209"/>
        <v>女</v>
      </c>
    </row>
    <row r="2242" spans="1:5" s="3" customFormat="1" ht="19.5" customHeight="1">
      <c r="A2242" s="8">
        <v>2240</v>
      </c>
      <c r="B2242" s="8" t="str">
        <f>"21902020071509431027800"</f>
        <v>21902020071509431027800</v>
      </c>
      <c r="C2242" s="8" t="s">
        <v>17</v>
      </c>
      <c r="D2242" s="8" t="str">
        <f>"苏高丹"</f>
        <v>苏高丹</v>
      </c>
      <c r="E2242" s="8" t="str">
        <f t="shared" si="209"/>
        <v>女</v>
      </c>
    </row>
    <row r="2243" spans="1:5" s="3" customFormat="1" ht="19.5" customHeight="1">
      <c r="A2243" s="8">
        <v>2241</v>
      </c>
      <c r="B2243" s="8" t="str">
        <f>"21902020071509434027802"</f>
        <v>21902020071509434027802</v>
      </c>
      <c r="C2243" s="8" t="s">
        <v>17</v>
      </c>
      <c r="D2243" s="8" t="str">
        <f>"吴宏丽"</f>
        <v>吴宏丽</v>
      </c>
      <c r="E2243" s="8" t="str">
        <f t="shared" si="209"/>
        <v>女</v>
      </c>
    </row>
    <row r="2244" spans="1:5" s="3" customFormat="1" ht="19.5" customHeight="1">
      <c r="A2244" s="8">
        <v>2242</v>
      </c>
      <c r="B2244" s="8" t="str">
        <f>"21902020071509490827816"</f>
        <v>21902020071509490827816</v>
      </c>
      <c r="C2244" s="8" t="s">
        <v>17</v>
      </c>
      <c r="D2244" s="8" t="str">
        <f>"吴红菊"</f>
        <v>吴红菊</v>
      </c>
      <c r="E2244" s="8" t="str">
        <f t="shared" si="209"/>
        <v>女</v>
      </c>
    </row>
    <row r="2245" spans="1:5" s="3" customFormat="1" ht="19.5" customHeight="1">
      <c r="A2245" s="8">
        <v>2243</v>
      </c>
      <c r="B2245" s="8" t="str">
        <f>"21902020071509542427822"</f>
        <v>21902020071509542427822</v>
      </c>
      <c r="C2245" s="8" t="s">
        <v>17</v>
      </c>
      <c r="D2245" s="8" t="str">
        <f>"曾焕璧"</f>
        <v>曾焕璧</v>
      </c>
      <c r="E2245" s="8" t="str">
        <f aca="true" t="shared" si="210" ref="E2245:E2253">"男"</f>
        <v>男</v>
      </c>
    </row>
    <row r="2246" spans="1:5" s="3" customFormat="1" ht="19.5" customHeight="1">
      <c r="A2246" s="8">
        <v>2244</v>
      </c>
      <c r="B2246" s="8" t="str">
        <f>"21902020071510102527840"</f>
        <v>21902020071510102527840</v>
      </c>
      <c r="C2246" s="8" t="s">
        <v>17</v>
      </c>
      <c r="D2246" s="8" t="str">
        <f>"郑安娜"</f>
        <v>郑安娜</v>
      </c>
      <c r="E2246" s="8" t="str">
        <f>"女"</f>
        <v>女</v>
      </c>
    </row>
    <row r="2247" spans="1:5" s="3" customFormat="1" ht="19.5" customHeight="1">
      <c r="A2247" s="8">
        <v>2245</v>
      </c>
      <c r="B2247" s="8" t="str">
        <f>"21902020071510132427843"</f>
        <v>21902020071510132427843</v>
      </c>
      <c r="C2247" s="8" t="s">
        <v>17</v>
      </c>
      <c r="D2247" s="8" t="str">
        <f>"谢汉高"</f>
        <v>谢汉高</v>
      </c>
      <c r="E2247" s="8" t="str">
        <f t="shared" si="210"/>
        <v>男</v>
      </c>
    </row>
    <row r="2248" spans="1:5" s="3" customFormat="1" ht="19.5" customHeight="1">
      <c r="A2248" s="8">
        <v>2246</v>
      </c>
      <c r="B2248" s="8" t="str">
        <f>"21902020071510294327871"</f>
        <v>21902020071510294327871</v>
      </c>
      <c r="C2248" s="8" t="s">
        <v>17</v>
      </c>
      <c r="D2248" s="8" t="str">
        <f>"陈建鲁"</f>
        <v>陈建鲁</v>
      </c>
      <c r="E2248" s="8" t="str">
        <f t="shared" si="210"/>
        <v>男</v>
      </c>
    </row>
    <row r="2249" spans="1:5" s="3" customFormat="1" ht="19.5" customHeight="1">
      <c r="A2249" s="8">
        <v>2247</v>
      </c>
      <c r="B2249" s="8" t="str">
        <f>"21902020071510345527880"</f>
        <v>21902020071510345527880</v>
      </c>
      <c r="C2249" s="8" t="s">
        <v>17</v>
      </c>
      <c r="D2249" s="8" t="str">
        <f>"林承宝"</f>
        <v>林承宝</v>
      </c>
      <c r="E2249" s="8" t="str">
        <f t="shared" si="210"/>
        <v>男</v>
      </c>
    </row>
    <row r="2250" spans="1:5" s="3" customFormat="1" ht="19.5" customHeight="1">
      <c r="A2250" s="8">
        <v>2248</v>
      </c>
      <c r="B2250" s="8" t="str">
        <f>"21902020071511003327921"</f>
        <v>21902020071511003327921</v>
      </c>
      <c r="C2250" s="8" t="s">
        <v>17</v>
      </c>
      <c r="D2250" s="8" t="str">
        <f>"l刘有壮"</f>
        <v>l刘有壮</v>
      </c>
      <c r="E2250" s="8" t="str">
        <f t="shared" si="210"/>
        <v>男</v>
      </c>
    </row>
    <row r="2251" spans="1:5" s="3" customFormat="1" ht="19.5" customHeight="1">
      <c r="A2251" s="8">
        <v>2249</v>
      </c>
      <c r="B2251" s="8" t="str">
        <f>"21902020071511030327925"</f>
        <v>21902020071511030327925</v>
      </c>
      <c r="C2251" s="8" t="s">
        <v>17</v>
      </c>
      <c r="D2251" s="8" t="str">
        <f>"谢圣达"</f>
        <v>谢圣达</v>
      </c>
      <c r="E2251" s="8" t="str">
        <f t="shared" si="210"/>
        <v>男</v>
      </c>
    </row>
    <row r="2252" spans="1:5" s="3" customFormat="1" ht="19.5" customHeight="1">
      <c r="A2252" s="8">
        <v>2250</v>
      </c>
      <c r="B2252" s="8" t="str">
        <f>"21902020071511060227932"</f>
        <v>21902020071511060227932</v>
      </c>
      <c r="C2252" s="8" t="s">
        <v>17</v>
      </c>
      <c r="D2252" s="8" t="str">
        <f>"许藻茂"</f>
        <v>许藻茂</v>
      </c>
      <c r="E2252" s="8" t="str">
        <f t="shared" si="210"/>
        <v>男</v>
      </c>
    </row>
    <row r="2253" spans="1:5" s="3" customFormat="1" ht="19.5" customHeight="1">
      <c r="A2253" s="8">
        <v>2251</v>
      </c>
      <c r="B2253" s="8" t="str">
        <f>"21902020071511074527934"</f>
        <v>21902020071511074527934</v>
      </c>
      <c r="C2253" s="8" t="s">
        <v>17</v>
      </c>
      <c r="D2253" s="8" t="str">
        <f>"羊积万"</f>
        <v>羊积万</v>
      </c>
      <c r="E2253" s="8" t="str">
        <f t="shared" si="210"/>
        <v>男</v>
      </c>
    </row>
    <row r="2254" spans="1:5" s="3" customFormat="1" ht="19.5" customHeight="1">
      <c r="A2254" s="8">
        <v>2252</v>
      </c>
      <c r="B2254" s="8" t="str">
        <f>"21902020071511182527949"</f>
        <v>21902020071511182527949</v>
      </c>
      <c r="C2254" s="8" t="s">
        <v>17</v>
      </c>
      <c r="D2254" s="8" t="str">
        <f>"林婷"</f>
        <v>林婷</v>
      </c>
      <c r="E2254" s="8" t="str">
        <f aca="true" t="shared" si="211" ref="E2254:E2259">"女"</f>
        <v>女</v>
      </c>
    </row>
    <row r="2255" spans="1:5" s="3" customFormat="1" ht="19.5" customHeight="1">
      <c r="A2255" s="8">
        <v>2253</v>
      </c>
      <c r="B2255" s="8" t="str">
        <f>"21902020071511285327959"</f>
        <v>21902020071511285327959</v>
      </c>
      <c r="C2255" s="8" t="s">
        <v>17</v>
      </c>
      <c r="D2255" s="8" t="str">
        <f>"符日成"</f>
        <v>符日成</v>
      </c>
      <c r="E2255" s="8" t="str">
        <f aca="true" t="shared" si="212" ref="E2255:E2258">"男"</f>
        <v>男</v>
      </c>
    </row>
    <row r="2256" spans="1:5" s="3" customFormat="1" ht="19.5" customHeight="1">
      <c r="A2256" s="8">
        <v>2254</v>
      </c>
      <c r="B2256" s="8" t="str">
        <f>"21902020071511304527961"</f>
        <v>21902020071511304527961</v>
      </c>
      <c r="C2256" s="8" t="s">
        <v>17</v>
      </c>
      <c r="D2256" s="8" t="str">
        <f>"朱春永"</f>
        <v>朱春永</v>
      </c>
      <c r="E2256" s="8" t="str">
        <f t="shared" si="212"/>
        <v>男</v>
      </c>
    </row>
    <row r="2257" spans="1:5" s="3" customFormat="1" ht="19.5" customHeight="1">
      <c r="A2257" s="8">
        <v>2255</v>
      </c>
      <c r="B2257" s="8" t="str">
        <f>"21902020071511431427978"</f>
        <v>21902020071511431427978</v>
      </c>
      <c r="C2257" s="8" t="s">
        <v>17</v>
      </c>
      <c r="D2257" s="8" t="str">
        <f>"曾梦琴"</f>
        <v>曾梦琴</v>
      </c>
      <c r="E2257" s="8" t="str">
        <f t="shared" si="211"/>
        <v>女</v>
      </c>
    </row>
    <row r="2258" spans="1:5" s="3" customFormat="1" ht="19.5" customHeight="1">
      <c r="A2258" s="8">
        <v>2256</v>
      </c>
      <c r="B2258" s="8" t="str">
        <f>"21902020071511450027980"</f>
        <v>21902020071511450027980</v>
      </c>
      <c r="C2258" s="8" t="s">
        <v>17</v>
      </c>
      <c r="D2258" s="8" t="str">
        <f>"魏威宇"</f>
        <v>魏威宇</v>
      </c>
      <c r="E2258" s="8" t="str">
        <f t="shared" si="212"/>
        <v>男</v>
      </c>
    </row>
    <row r="2259" spans="1:5" s="3" customFormat="1" ht="19.5" customHeight="1">
      <c r="A2259" s="8">
        <v>2257</v>
      </c>
      <c r="B2259" s="8" t="str">
        <f>"21902020071511471427987"</f>
        <v>21902020071511471427987</v>
      </c>
      <c r="C2259" s="8" t="s">
        <v>17</v>
      </c>
      <c r="D2259" s="8" t="str">
        <f>"薛二女"</f>
        <v>薛二女</v>
      </c>
      <c r="E2259" s="8" t="str">
        <f t="shared" si="211"/>
        <v>女</v>
      </c>
    </row>
    <row r="2260" spans="1:5" s="3" customFormat="1" ht="19.5" customHeight="1">
      <c r="A2260" s="8">
        <v>2258</v>
      </c>
      <c r="B2260" s="8" t="str">
        <f>"21902020071511585328007"</f>
        <v>21902020071511585328007</v>
      </c>
      <c r="C2260" s="8" t="s">
        <v>17</v>
      </c>
      <c r="D2260" s="8" t="str">
        <f>"梁云峰"</f>
        <v>梁云峰</v>
      </c>
      <c r="E2260" s="8" t="str">
        <f aca="true" t="shared" si="213" ref="E2260:E2263">"男"</f>
        <v>男</v>
      </c>
    </row>
    <row r="2261" spans="1:5" s="3" customFormat="1" ht="19.5" customHeight="1">
      <c r="A2261" s="8">
        <v>2259</v>
      </c>
      <c r="B2261" s="8" t="str">
        <f>"21902020071512030628012"</f>
        <v>21902020071512030628012</v>
      </c>
      <c r="C2261" s="8" t="s">
        <v>17</v>
      </c>
      <c r="D2261" s="8" t="str">
        <f>"符显富"</f>
        <v>符显富</v>
      </c>
      <c r="E2261" s="8" t="str">
        <f t="shared" si="213"/>
        <v>男</v>
      </c>
    </row>
    <row r="2262" spans="1:5" s="3" customFormat="1" ht="19.5" customHeight="1">
      <c r="A2262" s="8">
        <v>2260</v>
      </c>
      <c r="B2262" s="8" t="str">
        <f>"21902020071512053028013"</f>
        <v>21902020071512053028013</v>
      </c>
      <c r="C2262" s="8" t="s">
        <v>17</v>
      </c>
      <c r="D2262" s="8" t="str">
        <f>"李家珍"</f>
        <v>李家珍</v>
      </c>
      <c r="E2262" s="8" t="str">
        <f aca="true" t="shared" si="214" ref="E2262:E2265">"女"</f>
        <v>女</v>
      </c>
    </row>
    <row r="2263" spans="1:5" s="3" customFormat="1" ht="19.5" customHeight="1">
      <c r="A2263" s="8">
        <v>2261</v>
      </c>
      <c r="B2263" s="8" t="str">
        <f>"21902020071512392928041"</f>
        <v>21902020071512392928041</v>
      </c>
      <c r="C2263" s="8" t="s">
        <v>17</v>
      </c>
      <c r="D2263" s="8" t="str">
        <f>"羊学江"</f>
        <v>羊学江</v>
      </c>
      <c r="E2263" s="8" t="str">
        <f t="shared" si="213"/>
        <v>男</v>
      </c>
    </row>
    <row r="2264" spans="1:5" s="3" customFormat="1" ht="19.5" customHeight="1">
      <c r="A2264" s="8">
        <v>2262</v>
      </c>
      <c r="B2264" s="8" t="str">
        <f>"21902020071512471928047"</f>
        <v>21902020071512471928047</v>
      </c>
      <c r="C2264" s="8" t="s">
        <v>17</v>
      </c>
      <c r="D2264" s="8" t="str">
        <f>"张金金"</f>
        <v>张金金</v>
      </c>
      <c r="E2264" s="8" t="str">
        <f t="shared" si="214"/>
        <v>女</v>
      </c>
    </row>
    <row r="2265" spans="1:5" s="3" customFormat="1" ht="19.5" customHeight="1">
      <c r="A2265" s="8">
        <v>2263</v>
      </c>
      <c r="B2265" s="8" t="str">
        <f>"21902020071512511528052"</f>
        <v>21902020071512511528052</v>
      </c>
      <c r="C2265" s="8" t="s">
        <v>17</v>
      </c>
      <c r="D2265" s="8" t="str">
        <f>"许淑女"</f>
        <v>许淑女</v>
      </c>
      <c r="E2265" s="8" t="str">
        <f t="shared" si="214"/>
        <v>女</v>
      </c>
    </row>
    <row r="2266" spans="1:5" s="3" customFormat="1" ht="19.5" customHeight="1">
      <c r="A2266" s="8">
        <v>2264</v>
      </c>
      <c r="B2266" s="8" t="str">
        <f>"21902020071513124428067"</f>
        <v>21902020071513124428067</v>
      </c>
      <c r="C2266" s="8" t="s">
        <v>17</v>
      </c>
      <c r="D2266" s="8" t="str">
        <f>"吴奠武"</f>
        <v>吴奠武</v>
      </c>
      <c r="E2266" s="8" t="str">
        <f aca="true" t="shared" si="215" ref="E2266:E2269">"男"</f>
        <v>男</v>
      </c>
    </row>
    <row r="2267" spans="1:5" s="3" customFormat="1" ht="19.5" customHeight="1">
      <c r="A2267" s="8">
        <v>2265</v>
      </c>
      <c r="B2267" s="8" t="str">
        <f>"21902020071513480228091"</f>
        <v>21902020071513480228091</v>
      </c>
      <c r="C2267" s="8" t="s">
        <v>17</v>
      </c>
      <c r="D2267" s="8" t="str">
        <f>"王所文"</f>
        <v>王所文</v>
      </c>
      <c r="E2267" s="8" t="str">
        <f t="shared" si="215"/>
        <v>男</v>
      </c>
    </row>
    <row r="2268" spans="1:5" s="3" customFormat="1" ht="19.5" customHeight="1">
      <c r="A2268" s="8">
        <v>2266</v>
      </c>
      <c r="B2268" s="8" t="str">
        <f>"21902020071513594028098"</f>
        <v>21902020071513594028098</v>
      </c>
      <c r="C2268" s="8" t="s">
        <v>17</v>
      </c>
      <c r="D2268" s="8" t="str">
        <f>"何晓庆"</f>
        <v>何晓庆</v>
      </c>
      <c r="E2268" s="8" t="str">
        <f t="shared" si="215"/>
        <v>男</v>
      </c>
    </row>
    <row r="2269" spans="1:5" s="3" customFormat="1" ht="19.5" customHeight="1">
      <c r="A2269" s="8">
        <v>2267</v>
      </c>
      <c r="B2269" s="8" t="str">
        <f>"21902020071514081728101"</f>
        <v>21902020071514081728101</v>
      </c>
      <c r="C2269" s="8" t="s">
        <v>17</v>
      </c>
      <c r="D2269" s="8" t="str">
        <f>"许圣君"</f>
        <v>许圣君</v>
      </c>
      <c r="E2269" s="8" t="str">
        <f t="shared" si="215"/>
        <v>男</v>
      </c>
    </row>
    <row r="2270" spans="1:5" s="3" customFormat="1" ht="19.5" customHeight="1">
      <c r="A2270" s="8">
        <v>2268</v>
      </c>
      <c r="B2270" s="8" t="str">
        <f>"21902020071514095428103"</f>
        <v>21902020071514095428103</v>
      </c>
      <c r="C2270" s="8" t="s">
        <v>17</v>
      </c>
      <c r="D2270" s="8" t="str">
        <f>"羊金玲"</f>
        <v>羊金玲</v>
      </c>
      <c r="E2270" s="8" t="str">
        <f aca="true" t="shared" si="216" ref="E2270:E2275">"女"</f>
        <v>女</v>
      </c>
    </row>
    <row r="2271" spans="1:5" s="3" customFormat="1" ht="19.5" customHeight="1">
      <c r="A2271" s="8">
        <v>2269</v>
      </c>
      <c r="B2271" s="8" t="str">
        <f>"21902020071514095528104"</f>
        <v>21902020071514095528104</v>
      </c>
      <c r="C2271" s="8" t="s">
        <v>17</v>
      </c>
      <c r="D2271" s="8" t="str">
        <f>"周善芝"</f>
        <v>周善芝</v>
      </c>
      <c r="E2271" s="8" t="str">
        <f t="shared" si="216"/>
        <v>女</v>
      </c>
    </row>
    <row r="2272" spans="1:5" s="3" customFormat="1" ht="19.5" customHeight="1">
      <c r="A2272" s="8">
        <v>2270</v>
      </c>
      <c r="B2272" s="8" t="str">
        <f>"21902020071514112428106"</f>
        <v>21902020071514112428106</v>
      </c>
      <c r="C2272" s="8" t="s">
        <v>17</v>
      </c>
      <c r="D2272" s="8" t="str">
        <f>"高菊月"</f>
        <v>高菊月</v>
      </c>
      <c r="E2272" s="8" t="str">
        <f t="shared" si="216"/>
        <v>女</v>
      </c>
    </row>
    <row r="2273" spans="1:5" s="3" customFormat="1" ht="19.5" customHeight="1">
      <c r="A2273" s="8">
        <v>2271</v>
      </c>
      <c r="B2273" s="8" t="str">
        <f>"21902020071514191828113"</f>
        <v>21902020071514191828113</v>
      </c>
      <c r="C2273" s="8" t="s">
        <v>17</v>
      </c>
      <c r="D2273" s="8" t="str">
        <f>"何玉花"</f>
        <v>何玉花</v>
      </c>
      <c r="E2273" s="8" t="str">
        <f t="shared" si="216"/>
        <v>女</v>
      </c>
    </row>
    <row r="2274" spans="1:5" s="3" customFormat="1" ht="19.5" customHeight="1">
      <c r="A2274" s="8">
        <v>2272</v>
      </c>
      <c r="B2274" s="8" t="str">
        <f>"21902020071514432328130"</f>
        <v>21902020071514432328130</v>
      </c>
      <c r="C2274" s="8" t="s">
        <v>17</v>
      </c>
      <c r="D2274" s="8" t="str">
        <f>"符初芳"</f>
        <v>符初芳</v>
      </c>
      <c r="E2274" s="8" t="str">
        <f t="shared" si="216"/>
        <v>女</v>
      </c>
    </row>
    <row r="2275" spans="1:5" s="3" customFormat="1" ht="19.5" customHeight="1">
      <c r="A2275" s="8">
        <v>2273</v>
      </c>
      <c r="B2275" s="8" t="str">
        <f>"21902020071514460728134"</f>
        <v>21902020071514460728134</v>
      </c>
      <c r="C2275" s="8" t="s">
        <v>17</v>
      </c>
      <c r="D2275" s="8" t="str">
        <f>"吴林君"</f>
        <v>吴林君</v>
      </c>
      <c r="E2275" s="8" t="str">
        <f t="shared" si="216"/>
        <v>女</v>
      </c>
    </row>
    <row r="2276" spans="1:5" s="3" customFormat="1" ht="19.5" customHeight="1">
      <c r="A2276" s="8">
        <v>2274</v>
      </c>
      <c r="B2276" s="8" t="str">
        <f>"21902020071514582528149"</f>
        <v>21902020071514582528149</v>
      </c>
      <c r="C2276" s="8" t="s">
        <v>17</v>
      </c>
      <c r="D2276" s="8" t="str">
        <f>"陈占盈"</f>
        <v>陈占盈</v>
      </c>
      <c r="E2276" s="8" t="str">
        <f aca="true" t="shared" si="217" ref="E2276:E2282">"男"</f>
        <v>男</v>
      </c>
    </row>
    <row r="2277" spans="1:5" s="3" customFormat="1" ht="19.5" customHeight="1">
      <c r="A2277" s="8">
        <v>2275</v>
      </c>
      <c r="B2277" s="8" t="str">
        <f>"21902020071515125628160"</f>
        <v>21902020071515125628160</v>
      </c>
      <c r="C2277" s="8" t="s">
        <v>17</v>
      </c>
      <c r="D2277" s="8" t="str">
        <f>"李成斌"</f>
        <v>李成斌</v>
      </c>
      <c r="E2277" s="8" t="str">
        <f t="shared" si="217"/>
        <v>男</v>
      </c>
    </row>
    <row r="2278" spans="1:5" s="3" customFormat="1" ht="19.5" customHeight="1">
      <c r="A2278" s="8">
        <v>2276</v>
      </c>
      <c r="B2278" s="8" t="str">
        <f>"21902020071515173328164"</f>
        <v>21902020071515173328164</v>
      </c>
      <c r="C2278" s="8" t="s">
        <v>17</v>
      </c>
      <c r="D2278" s="8" t="str">
        <f>"李小香"</f>
        <v>李小香</v>
      </c>
      <c r="E2278" s="8" t="str">
        <f>"女"</f>
        <v>女</v>
      </c>
    </row>
    <row r="2279" spans="1:5" s="3" customFormat="1" ht="19.5" customHeight="1">
      <c r="A2279" s="8">
        <v>2277</v>
      </c>
      <c r="B2279" s="8" t="str">
        <f>"21902020071515353828187"</f>
        <v>21902020071515353828187</v>
      </c>
      <c r="C2279" s="8" t="s">
        <v>17</v>
      </c>
      <c r="D2279" s="8" t="str">
        <f>"张登广"</f>
        <v>张登广</v>
      </c>
      <c r="E2279" s="8" t="str">
        <f t="shared" si="217"/>
        <v>男</v>
      </c>
    </row>
    <row r="2280" spans="1:5" s="3" customFormat="1" ht="19.5" customHeight="1">
      <c r="A2280" s="8">
        <v>2278</v>
      </c>
      <c r="B2280" s="8" t="str">
        <f>"21902020071515362628188"</f>
        <v>21902020071515362628188</v>
      </c>
      <c r="C2280" s="8" t="s">
        <v>17</v>
      </c>
      <c r="D2280" s="8" t="str">
        <f>"王万佳"</f>
        <v>王万佳</v>
      </c>
      <c r="E2280" s="8" t="str">
        <f t="shared" si="217"/>
        <v>男</v>
      </c>
    </row>
    <row r="2281" spans="1:5" s="3" customFormat="1" ht="19.5" customHeight="1">
      <c r="A2281" s="8">
        <v>2279</v>
      </c>
      <c r="B2281" s="8" t="str">
        <f>"21902020071515481928200"</f>
        <v>21902020071515481928200</v>
      </c>
      <c r="C2281" s="8" t="s">
        <v>17</v>
      </c>
      <c r="D2281" s="8" t="str">
        <f>"符桂开"</f>
        <v>符桂开</v>
      </c>
      <c r="E2281" s="8" t="str">
        <f t="shared" si="217"/>
        <v>男</v>
      </c>
    </row>
    <row r="2282" spans="1:5" s="3" customFormat="1" ht="19.5" customHeight="1">
      <c r="A2282" s="8">
        <v>2280</v>
      </c>
      <c r="B2282" s="8" t="str">
        <f>"21902020071515561828208"</f>
        <v>21902020071515561828208</v>
      </c>
      <c r="C2282" s="8" t="s">
        <v>17</v>
      </c>
      <c r="D2282" s="8" t="str">
        <f>"李衍瑞"</f>
        <v>李衍瑞</v>
      </c>
      <c r="E2282" s="8" t="str">
        <f t="shared" si="217"/>
        <v>男</v>
      </c>
    </row>
    <row r="2283" spans="1:5" s="3" customFormat="1" ht="19.5" customHeight="1">
      <c r="A2283" s="8">
        <v>2281</v>
      </c>
      <c r="B2283" s="8" t="str">
        <f>"21902020071516013428219"</f>
        <v>21902020071516013428219</v>
      </c>
      <c r="C2283" s="8" t="s">
        <v>17</v>
      </c>
      <c r="D2283" s="8" t="str">
        <f>"符鹤玲"</f>
        <v>符鹤玲</v>
      </c>
      <c r="E2283" s="8" t="str">
        <f aca="true" t="shared" si="218" ref="E2283:E2290">"女"</f>
        <v>女</v>
      </c>
    </row>
    <row r="2284" spans="1:5" s="3" customFormat="1" ht="19.5" customHeight="1">
      <c r="A2284" s="8">
        <v>2282</v>
      </c>
      <c r="B2284" s="8" t="str">
        <f>"21902020071516073528227"</f>
        <v>21902020071516073528227</v>
      </c>
      <c r="C2284" s="8" t="s">
        <v>17</v>
      </c>
      <c r="D2284" s="8" t="str">
        <f>"吴金龙"</f>
        <v>吴金龙</v>
      </c>
      <c r="E2284" s="8" t="str">
        <f>"男"</f>
        <v>男</v>
      </c>
    </row>
    <row r="2285" spans="1:5" s="3" customFormat="1" ht="19.5" customHeight="1">
      <c r="A2285" s="8">
        <v>2283</v>
      </c>
      <c r="B2285" s="8" t="str">
        <f>"21902020071516150928239"</f>
        <v>21902020071516150928239</v>
      </c>
      <c r="C2285" s="8" t="s">
        <v>17</v>
      </c>
      <c r="D2285" s="8" t="str">
        <f>"赵杰斌"</f>
        <v>赵杰斌</v>
      </c>
      <c r="E2285" s="8" t="str">
        <f>"男"</f>
        <v>男</v>
      </c>
    </row>
    <row r="2286" spans="1:5" s="3" customFormat="1" ht="19.5" customHeight="1">
      <c r="A2286" s="8">
        <v>2284</v>
      </c>
      <c r="B2286" s="8" t="str">
        <f>"21902020071516381928262"</f>
        <v>21902020071516381928262</v>
      </c>
      <c r="C2286" s="8" t="s">
        <v>17</v>
      </c>
      <c r="D2286" s="8" t="str">
        <f>"曾菊女"</f>
        <v>曾菊女</v>
      </c>
      <c r="E2286" s="8" t="str">
        <f t="shared" si="218"/>
        <v>女</v>
      </c>
    </row>
    <row r="2287" spans="1:5" s="3" customFormat="1" ht="19.5" customHeight="1">
      <c r="A2287" s="8">
        <v>2285</v>
      </c>
      <c r="B2287" s="8" t="str">
        <f>"21902020071516414028269"</f>
        <v>21902020071516414028269</v>
      </c>
      <c r="C2287" s="8" t="s">
        <v>17</v>
      </c>
      <c r="D2287" s="8" t="str">
        <f>"陈俊伊"</f>
        <v>陈俊伊</v>
      </c>
      <c r="E2287" s="8" t="str">
        <f t="shared" si="218"/>
        <v>女</v>
      </c>
    </row>
    <row r="2288" spans="1:5" s="3" customFormat="1" ht="19.5" customHeight="1">
      <c r="A2288" s="8">
        <v>2286</v>
      </c>
      <c r="B2288" s="8" t="str">
        <f>"21902020071516592328292"</f>
        <v>21902020071516592328292</v>
      </c>
      <c r="C2288" s="8" t="s">
        <v>17</v>
      </c>
      <c r="D2288" s="8" t="str">
        <f>"黄春焱"</f>
        <v>黄春焱</v>
      </c>
      <c r="E2288" s="8" t="str">
        <f t="shared" si="218"/>
        <v>女</v>
      </c>
    </row>
    <row r="2289" spans="1:5" s="3" customFormat="1" ht="19.5" customHeight="1">
      <c r="A2289" s="8">
        <v>2287</v>
      </c>
      <c r="B2289" s="8" t="str">
        <f>"21902020071516593928293"</f>
        <v>21902020071516593928293</v>
      </c>
      <c r="C2289" s="8" t="s">
        <v>17</v>
      </c>
      <c r="D2289" s="8" t="str">
        <f>"邓春妍"</f>
        <v>邓春妍</v>
      </c>
      <c r="E2289" s="8" t="str">
        <f t="shared" si="218"/>
        <v>女</v>
      </c>
    </row>
    <row r="2290" spans="1:5" s="3" customFormat="1" ht="19.5" customHeight="1">
      <c r="A2290" s="8">
        <v>2288</v>
      </c>
      <c r="B2290" s="8" t="str">
        <f>"21902020071517002228297"</f>
        <v>21902020071517002228297</v>
      </c>
      <c r="C2290" s="8" t="s">
        <v>17</v>
      </c>
      <c r="D2290" s="8" t="str">
        <f>"羊井桃"</f>
        <v>羊井桃</v>
      </c>
      <c r="E2290" s="8" t="str">
        <f t="shared" si="218"/>
        <v>女</v>
      </c>
    </row>
    <row r="2291" spans="1:5" s="3" customFormat="1" ht="19.5" customHeight="1">
      <c r="A2291" s="8">
        <v>2289</v>
      </c>
      <c r="B2291" s="8" t="str">
        <f>"21902020071517020528298"</f>
        <v>21902020071517020528298</v>
      </c>
      <c r="C2291" s="8" t="s">
        <v>17</v>
      </c>
      <c r="D2291" s="8" t="str">
        <f>"刘甲进"</f>
        <v>刘甲进</v>
      </c>
      <c r="E2291" s="8" t="str">
        <f aca="true" t="shared" si="219" ref="E2291:E2295">"男"</f>
        <v>男</v>
      </c>
    </row>
    <row r="2292" spans="1:5" s="3" customFormat="1" ht="19.5" customHeight="1">
      <c r="A2292" s="8">
        <v>2290</v>
      </c>
      <c r="B2292" s="8" t="str">
        <f>"21902020071517080028304"</f>
        <v>21902020071517080028304</v>
      </c>
      <c r="C2292" s="8" t="s">
        <v>17</v>
      </c>
      <c r="D2292" s="8" t="str">
        <f>"李正娜"</f>
        <v>李正娜</v>
      </c>
      <c r="E2292" s="8" t="str">
        <f aca="true" t="shared" si="220" ref="E2292:E2298">"女"</f>
        <v>女</v>
      </c>
    </row>
    <row r="2293" spans="1:5" s="3" customFormat="1" ht="19.5" customHeight="1">
      <c r="A2293" s="8">
        <v>2291</v>
      </c>
      <c r="B2293" s="8" t="str">
        <f>"21902020071517112928306"</f>
        <v>21902020071517112928306</v>
      </c>
      <c r="C2293" s="8" t="s">
        <v>17</v>
      </c>
      <c r="D2293" s="8" t="str">
        <f>"刘宝文"</f>
        <v>刘宝文</v>
      </c>
      <c r="E2293" s="8" t="str">
        <f t="shared" si="219"/>
        <v>男</v>
      </c>
    </row>
    <row r="2294" spans="1:5" s="3" customFormat="1" ht="19.5" customHeight="1">
      <c r="A2294" s="8">
        <v>2292</v>
      </c>
      <c r="B2294" s="8" t="str">
        <f>"21902020071517130028307"</f>
        <v>21902020071517130028307</v>
      </c>
      <c r="C2294" s="8" t="s">
        <v>17</v>
      </c>
      <c r="D2294" s="8" t="str">
        <f>"赵启远"</f>
        <v>赵启远</v>
      </c>
      <c r="E2294" s="8" t="str">
        <f t="shared" si="219"/>
        <v>男</v>
      </c>
    </row>
    <row r="2295" spans="1:5" s="3" customFormat="1" ht="19.5" customHeight="1">
      <c r="A2295" s="8">
        <v>2293</v>
      </c>
      <c r="B2295" s="8" t="str">
        <f>"21902020071517201528317"</f>
        <v>21902020071517201528317</v>
      </c>
      <c r="C2295" s="8" t="s">
        <v>17</v>
      </c>
      <c r="D2295" s="8" t="str">
        <f>"李新瑶"</f>
        <v>李新瑶</v>
      </c>
      <c r="E2295" s="8" t="str">
        <f t="shared" si="219"/>
        <v>男</v>
      </c>
    </row>
    <row r="2296" spans="1:5" s="3" customFormat="1" ht="19.5" customHeight="1">
      <c r="A2296" s="8">
        <v>2294</v>
      </c>
      <c r="B2296" s="8" t="str">
        <f>"21902020071517270328322"</f>
        <v>21902020071517270328322</v>
      </c>
      <c r="C2296" s="8" t="s">
        <v>17</v>
      </c>
      <c r="D2296" s="8" t="str">
        <f>"王凤莲"</f>
        <v>王凤莲</v>
      </c>
      <c r="E2296" s="8" t="str">
        <f t="shared" si="220"/>
        <v>女</v>
      </c>
    </row>
    <row r="2297" spans="1:5" s="3" customFormat="1" ht="19.5" customHeight="1">
      <c r="A2297" s="8">
        <v>2295</v>
      </c>
      <c r="B2297" s="8" t="str">
        <f>"21902020071517291328324"</f>
        <v>21902020071517291328324</v>
      </c>
      <c r="C2297" s="8" t="s">
        <v>17</v>
      </c>
      <c r="D2297" s="8" t="str">
        <f>"唐小花"</f>
        <v>唐小花</v>
      </c>
      <c r="E2297" s="8" t="str">
        <f t="shared" si="220"/>
        <v>女</v>
      </c>
    </row>
    <row r="2298" spans="1:5" s="3" customFormat="1" ht="19.5" customHeight="1">
      <c r="A2298" s="8">
        <v>2296</v>
      </c>
      <c r="B2298" s="8" t="str">
        <f>"21902020071517395628337"</f>
        <v>21902020071517395628337</v>
      </c>
      <c r="C2298" s="8" t="s">
        <v>17</v>
      </c>
      <c r="D2298" s="8" t="str">
        <f>"高秋英"</f>
        <v>高秋英</v>
      </c>
      <c r="E2298" s="8" t="str">
        <f t="shared" si="220"/>
        <v>女</v>
      </c>
    </row>
    <row r="2299" spans="1:5" s="3" customFormat="1" ht="19.5" customHeight="1">
      <c r="A2299" s="8">
        <v>2297</v>
      </c>
      <c r="B2299" s="8" t="str">
        <f>"21902020071517424728340"</f>
        <v>21902020071517424728340</v>
      </c>
      <c r="C2299" s="8" t="s">
        <v>17</v>
      </c>
      <c r="D2299" s="8" t="str">
        <f>"王嘉折"</f>
        <v>王嘉折</v>
      </c>
      <c r="E2299" s="8" t="str">
        <f aca="true" t="shared" si="221" ref="E2299:E2306">"男"</f>
        <v>男</v>
      </c>
    </row>
    <row r="2300" spans="1:5" s="3" customFormat="1" ht="19.5" customHeight="1">
      <c r="A2300" s="8">
        <v>2298</v>
      </c>
      <c r="B2300" s="8" t="str">
        <f>"21902020071518231028375"</f>
        <v>21902020071518231028375</v>
      </c>
      <c r="C2300" s="8" t="s">
        <v>17</v>
      </c>
      <c r="D2300" s="8" t="str">
        <f>"楼顺英"</f>
        <v>楼顺英</v>
      </c>
      <c r="E2300" s="8" t="str">
        <f>"女"</f>
        <v>女</v>
      </c>
    </row>
    <row r="2301" spans="1:5" s="3" customFormat="1" ht="19.5" customHeight="1">
      <c r="A2301" s="8">
        <v>2299</v>
      </c>
      <c r="B2301" s="8" t="str">
        <f>"21902020071518435128385"</f>
        <v>21902020071518435128385</v>
      </c>
      <c r="C2301" s="8" t="s">
        <v>17</v>
      </c>
      <c r="D2301" s="8" t="str">
        <f>"许哲彬"</f>
        <v>许哲彬</v>
      </c>
      <c r="E2301" s="8" t="str">
        <f t="shared" si="221"/>
        <v>男</v>
      </c>
    </row>
    <row r="2302" spans="1:5" s="3" customFormat="1" ht="19.5" customHeight="1">
      <c r="A2302" s="8">
        <v>2300</v>
      </c>
      <c r="B2302" s="8" t="str">
        <f>"21902020071518442028386"</f>
        <v>21902020071518442028386</v>
      </c>
      <c r="C2302" s="8" t="s">
        <v>17</v>
      </c>
      <c r="D2302" s="8" t="str">
        <f>"吴梅姝"</f>
        <v>吴梅姝</v>
      </c>
      <c r="E2302" s="8" t="str">
        <f>"女"</f>
        <v>女</v>
      </c>
    </row>
    <row r="2303" spans="1:5" s="3" customFormat="1" ht="19.5" customHeight="1">
      <c r="A2303" s="8">
        <v>2301</v>
      </c>
      <c r="B2303" s="8" t="str">
        <f>"21902020071518482328389"</f>
        <v>21902020071518482328389</v>
      </c>
      <c r="C2303" s="8" t="s">
        <v>17</v>
      </c>
      <c r="D2303" s="8" t="str">
        <f>"黄永彬"</f>
        <v>黄永彬</v>
      </c>
      <c r="E2303" s="8" t="str">
        <f t="shared" si="221"/>
        <v>男</v>
      </c>
    </row>
    <row r="2304" spans="1:5" s="3" customFormat="1" ht="19.5" customHeight="1">
      <c r="A2304" s="8">
        <v>2302</v>
      </c>
      <c r="B2304" s="8" t="str">
        <f>"21902020071519045528400"</f>
        <v>21902020071519045528400</v>
      </c>
      <c r="C2304" s="8" t="s">
        <v>17</v>
      </c>
      <c r="D2304" s="8" t="str">
        <f>"刘冠宏"</f>
        <v>刘冠宏</v>
      </c>
      <c r="E2304" s="8" t="str">
        <f t="shared" si="221"/>
        <v>男</v>
      </c>
    </row>
    <row r="2305" spans="1:5" s="3" customFormat="1" ht="19.5" customHeight="1">
      <c r="A2305" s="8">
        <v>2303</v>
      </c>
      <c r="B2305" s="8" t="str">
        <f>"21902020071519120528406"</f>
        <v>21902020071519120528406</v>
      </c>
      <c r="C2305" s="8" t="s">
        <v>17</v>
      </c>
      <c r="D2305" s="8" t="str">
        <f>"周应良"</f>
        <v>周应良</v>
      </c>
      <c r="E2305" s="8" t="str">
        <f t="shared" si="221"/>
        <v>男</v>
      </c>
    </row>
    <row r="2306" spans="1:5" s="3" customFormat="1" ht="19.5" customHeight="1">
      <c r="A2306" s="8">
        <v>2304</v>
      </c>
      <c r="B2306" s="8" t="str">
        <f>"21902020071519161728410"</f>
        <v>21902020071519161728410</v>
      </c>
      <c r="C2306" s="8" t="s">
        <v>17</v>
      </c>
      <c r="D2306" s="8" t="str">
        <f>"吴典融"</f>
        <v>吴典融</v>
      </c>
      <c r="E2306" s="8" t="str">
        <f t="shared" si="221"/>
        <v>男</v>
      </c>
    </row>
    <row r="2307" spans="1:5" s="3" customFormat="1" ht="19.5" customHeight="1">
      <c r="A2307" s="8">
        <v>2305</v>
      </c>
      <c r="B2307" s="8" t="str">
        <f>"21902020071519174528412"</f>
        <v>21902020071519174528412</v>
      </c>
      <c r="C2307" s="8" t="s">
        <v>17</v>
      </c>
      <c r="D2307" s="8" t="str">
        <f>"许华秋"</f>
        <v>许华秋</v>
      </c>
      <c r="E2307" s="8" t="str">
        <f>"女"</f>
        <v>女</v>
      </c>
    </row>
    <row r="2308" spans="1:5" s="3" customFormat="1" ht="19.5" customHeight="1">
      <c r="A2308" s="8">
        <v>2306</v>
      </c>
      <c r="B2308" s="8" t="str">
        <f>"21902020071519344228421"</f>
        <v>21902020071519344228421</v>
      </c>
      <c r="C2308" s="8" t="s">
        <v>17</v>
      </c>
      <c r="D2308" s="8" t="str">
        <f>"黄金成"</f>
        <v>黄金成</v>
      </c>
      <c r="E2308" s="8" t="str">
        <f aca="true" t="shared" si="222" ref="E2308:E2312">"男"</f>
        <v>男</v>
      </c>
    </row>
    <row r="2309" spans="1:5" s="3" customFormat="1" ht="19.5" customHeight="1">
      <c r="A2309" s="8">
        <v>2307</v>
      </c>
      <c r="B2309" s="8" t="str">
        <f>"21902020071519402528428"</f>
        <v>21902020071519402528428</v>
      </c>
      <c r="C2309" s="8" t="s">
        <v>17</v>
      </c>
      <c r="D2309" s="8" t="str">
        <f>"符大树"</f>
        <v>符大树</v>
      </c>
      <c r="E2309" s="8" t="str">
        <f t="shared" si="222"/>
        <v>男</v>
      </c>
    </row>
    <row r="2310" spans="1:5" s="3" customFormat="1" ht="19.5" customHeight="1">
      <c r="A2310" s="8">
        <v>2308</v>
      </c>
      <c r="B2310" s="8" t="str">
        <f>"21902020071519470728432"</f>
        <v>21902020071519470728432</v>
      </c>
      <c r="C2310" s="8" t="s">
        <v>17</v>
      </c>
      <c r="D2310" s="8" t="str">
        <f>"李璐"</f>
        <v>李璐</v>
      </c>
      <c r="E2310" s="8" t="str">
        <f aca="true" t="shared" si="223" ref="E2310:E2314">"女"</f>
        <v>女</v>
      </c>
    </row>
    <row r="2311" spans="1:5" s="3" customFormat="1" ht="19.5" customHeight="1">
      <c r="A2311" s="8">
        <v>2309</v>
      </c>
      <c r="B2311" s="8" t="str">
        <f>"21902020071519490328433"</f>
        <v>21902020071519490328433</v>
      </c>
      <c r="C2311" s="8" t="s">
        <v>17</v>
      </c>
      <c r="D2311" s="8" t="str">
        <f>"李德裘"</f>
        <v>李德裘</v>
      </c>
      <c r="E2311" s="8" t="str">
        <f t="shared" si="222"/>
        <v>男</v>
      </c>
    </row>
    <row r="2312" spans="1:5" s="3" customFormat="1" ht="19.5" customHeight="1">
      <c r="A2312" s="8">
        <v>2310</v>
      </c>
      <c r="B2312" s="8" t="str">
        <f>"21902020071519511028436"</f>
        <v>21902020071519511028436</v>
      </c>
      <c r="C2312" s="8" t="s">
        <v>17</v>
      </c>
      <c r="D2312" s="8" t="str">
        <f>"罗魁元"</f>
        <v>罗魁元</v>
      </c>
      <c r="E2312" s="8" t="str">
        <f t="shared" si="222"/>
        <v>男</v>
      </c>
    </row>
    <row r="2313" spans="1:5" s="3" customFormat="1" ht="19.5" customHeight="1">
      <c r="A2313" s="8">
        <v>2311</v>
      </c>
      <c r="B2313" s="8" t="str">
        <f>"21902020071519542328438"</f>
        <v>21902020071519542328438</v>
      </c>
      <c r="C2313" s="8" t="s">
        <v>17</v>
      </c>
      <c r="D2313" s="8" t="str">
        <f>"郑彩仙"</f>
        <v>郑彩仙</v>
      </c>
      <c r="E2313" s="8" t="str">
        <f t="shared" si="223"/>
        <v>女</v>
      </c>
    </row>
    <row r="2314" spans="1:5" s="3" customFormat="1" ht="19.5" customHeight="1">
      <c r="A2314" s="8">
        <v>2312</v>
      </c>
      <c r="B2314" s="8" t="str">
        <f>"21902020071519585028442"</f>
        <v>21902020071519585028442</v>
      </c>
      <c r="C2314" s="8" t="s">
        <v>17</v>
      </c>
      <c r="D2314" s="8" t="str">
        <f>"郑晓霞"</f>
        <v>郑晓霞</v>
      </c>
      <c r="E2314" s="8" t="str">
        <f t="shared" si="223"/>
        <v>女</v>
      </c>
    </row>
    <row r="2315" spans="1:5" s="3" customFormat="1" ht="19.5" customHeight="1">
      <c r="A2315" s="8">
        <v>2313</v>
      </c>
      <c r="B2315" s="8" t="str">
        <f>"21902020071519593328443"</f>
        <v>21902020071519593328443</v>
      </c>
      <c r="C2315" s="8" t="s">
        <v>17</v>
      </c>
      <c r="D2315" s="8" t="str">
        <f>"何长多"</f>
        <v>何长多</v>
      </c>
      <c r="E2315" s="8" t="str">
        <f aca="true" t="shared" si="224" ref="E2315:E2317">"男"</f>
        <v>男</v>
      </c>
    </row>
    <row r="2316" spans="1:5" s="3" customFormat="1" ht="19.5" customHeight="1">
      <c r="A2316" s="8">
        <v>2314</v>
      </c>
      <c r="B2316" s="8" t="str">
        <f>"21902020071520031128448"</f>
        <v>21902020071520031128448</v>
      </c>
      <c r="C2316" s="8" t="s">
        <v>17</v>
      </c>
      <c r="D2316" s="8" t="str">
        <f>"曾小东"</f>
        <v>曾小东</v>
      </c>
      <c r="E2316" s="8" t="str">
        <f t="shared" si="224"/>
        <v>男</v>
      </c>
    </row>
    <row r="2317" spans="1:5" s="3" customFormat="1" ht="19.5" customHeight="1">
      <c r="A2317" s="8">
        <v>2315</v>
      </c>
      <c r="B2317" s="8" t="str">
        <f>"21902020071520115628454"</f>
        <v>21902020071520115628454</v>
      </c>
      <c r="C2317" s="8" t="s">
        <v>17</v>
      </c>
      <c r="D2317" s="8" t="str">
        <f>"李加进"</f>
        <v>李加进</v>
      </c>
      <c r="E2317" s="8" t="str">
        <f t="shared" si="224"/>
        <v>男</v>
      </c>
    </row>
    <row r="2318" spans="1:5" s="3" customFormat="1" ht="19.5" customHeight="1">
      <c r="A2318" s="8">
        <v>2316</v>
      </c>
      <c r="B2318" s="8" t="str">
        <f>"21902020071520190628459"</f>
        <v>21902020071520190628459</v>
      </c>
      <c r="C2318" s="8" t="s">
        <v>17</v>
      </c>
      <c r="D2318" s="8" t="str">
        <f>"符有教"</f>
        <v>符有教</v>
      </c>
      <c r="E2318" s="8" t="str">
        <f aca="true" t="shared" si="225" ref="E2318:E2321">"女"</f>
        <v>女</v>
      </c>
    </row>
    <row r="2319" spans="1:5" s="3" customFormat="1" ht="19.5" customHeight="1">
      <c r="A2319" s="8">
        <v>2317</v>
      </c>
      <c r="B2319" s="8" t="str">
        <f>"21902020071520212628460"</f>
        <v>21902020071520212628460</v>
      </c>
      <c r="C2319" s="8" t="s">
        <v>17</v>
      </c>
      <c r="D2319" s="8" t="str">
        <f>"羊选红"</f>
        <v>羊选红</v>
      </c>
      <c r="E2319" s="8" t="str">
        <f t="shared" si="225"/>
        <v>女</v>
      </c>
    </row>
    <row r="2320" spans="1:5" s="3" customFormat="1" ht="19.5" customHeight="1">
      <c r="A2320" s="8">
        <v>2318</v>
      </c>
      <c r="B2320" s="8" t="str">
        <f>"21902020071520213128461"</f>
        <v>21902020071520213128461</v>
      </c>
      <c r="C2320" s="8" t="s">
        <v>17</v>
      </c>
      <c r="D2320" s="8" t="str">
        <f>"符海妹"</f>
        <v>符海妹</v>
      </c>
      <c r="E2320" s="8" t="str">
        <f t="shared" si="225"/>
        <v>女</v>
      </c>
    </row>
    <row r="2321" spans="1:5" s="3" customFormat="1" ht="19.5" customHeight="1">
      <c r="A2321" s="8">
        <v>2319</v>
      </c>
      <c r="B2321" s="8" t="str">
        <f>"21902020071520223928462"</f>
        <v>21902020071520223928462</v>
      </c>
      <c r="C2321" s="8" t="s">
        <v>17</v>
      </c>
      <c r="D2321" s="8" t="str">
        <f>"李菊香"</f>
        <v>李菊香</v>
      </c>
      <c r="E2321" s="8" t="str">
        <f t="shared" si="225"/>
        <v>女</v>
      </c>
    </row>
    <row r="2322" spans="1:5" s="3" customFormat="1" ht="19.5" customHeight="1">
      <c r="A2322" s="8">
        <v>2320</v>
      </c>
      <c r="B2322" s="8" t="str">
        <f>"21902020071520354328475"</f>
        <v>21902020071520354328475</v>
      </c>
      <c r="C2322" s="8" t="s">
        <v>17</v>
      </c>
      <c r="D2322" s="8" t="str">
        <f>"严安"</f>
        <v>严安</v>
      </c>
      <c r="E2322" s="8" t="str">
        <f aca="true" t="shared" si="226" ref="E2322:E2324">"男"</f>
        <v>男</v>
      </c>
    </row>
    <row r="2323" spans="1:5" s="3" customFormat="1" ht="19.5" customHeight="1">
      <c r="A2323" s="8">
        <v>2321</v>
      </c>
      <c r="B2323" s="8" t="str">
        <f>"21902020071521053528499"</f>
        <v>21902020071521053528499</v>
      </c>
      <c r="C2323" s="8" t="s">
        <v>17</v>
      </c>
      <c r="D2323" s="8" t="str">
        <f>"符雄昭"</f>
        <v>符雄昭</v>
      </c>
      <c r="E2323" s="8" t="str">
        <f t="shared" si="226"/>
        <v>男</v>
      </c>
    </row>
    <row r="2324" spans="1:5" s="3" customFormat="1" ht="19.5" customHeight="1">
      <c r="A2324" s="8">
        <v>2322</v>
      </c>
      <c r="B2324" s="8" t="str">
        <f>"21902020071521060828500"</f>
        <v>21902020071521060828500</v>
      </c>
      <c r="C2324" s="8" t="s">
        <v>17</v>
      </c>
      <c r="D2324" s="8" t="str">
        <f>"吴开绩"</f>
        <v>吴开绩</v>
      </c>
      <c r="E2324" s="8" t="str">
        <f t="shared" si="226"/>
        <v>男</v>
      </c>
    </row>
    <row r="2325" spans="1:5" s="3" customFormat="1" ht="19.5" customHeight="1">
      <c r="A2325" s="8">
        <v>2323</v>
      </c>
      <c r="B2325" s="8" t="str">
        <f>"21902020071521232828514"</f>
        <v>21902020071521232828514</v>
      </c>
      <c r="C2325" s="8" t="s">
        <v>17</v>
      </c>
      <c r="D2325" s="8" t="str">
        <f>"王宇诗"</f>
        <v>王宇诗</v>
      </c>
      <c r="E2325" s="8" t="str">
        <f aca="true" t="shared" si="227" ref="E2325:E2330">"女"</f>
        <v>女</v>
      </c>
    </row>
    <row r="2326" spans="1:5" s="3" customFormat="1" ht="19.5" customHeight="1">
      <c r="A2326" s="8">
        <v>2324</v>
      </c>
      <c r="B2326" s="8" t="str">
        <f>"21902020071521233328515"</f>
        <v>21902020071521233328515</v>
      </c>
      <c r="C2326" s="8" t="s">
        <v>17</v>
      </c>
      <c r="D2326" s="8" t="str">
        <f>"张耀"</f>
        <v>张耀</v>
      </c>
      <c r="E2326" s="8" t="str">
        <f aca="true" t="shared" si="228" ref="E2326:E2331">"男"</f>
        <v>男</v>
      </c>
    </row>
    <row r="2327" spans="1:5" s="3" customFormat="1" ht="19.5" customHeight="1">
      <c r="A2327" s="8">
        <v>2325</v>
      </c>
      <c r="B2327" s="8" t="str">
        <f>"21902020071521305728524"</f>
        <v>21902020071521305728524</v>
      </c>
      <c r="C2327" s="8" t="s">
        <v>17</v>
      </c>
      <c r="D2327" s="8" t="str">
        <f>"洪月娇"</f>
        <v>洪月娇</v>
      </c>
      <c r="E2327" s="8" t="str">
        <f t="shared" si="227"/>
        <v>女</v>
      </c>
    </row>
    <row r="2328" spans="1:5" s="3" customFormat="1" ht="19.5" customHeight="1">
      <c r="A2328" s="8">
        <v>2326</v>
      </c>
      <c r="B2328" s="8" t="str">
        <f>"21902020071521402128526"</f>
        <v>21902020071521402128526</v>
      </c>
      <c r="C2328" s="8" t="s">
        <v>17</v>
      </c>
      <c r="D2328" s="8" t="str">
        <f>"陈克爵"</f>
        <v>陈克爵</v>
      </c>
      <c r="E2328" s="8" t="str">
        <f t="shared" si="228"/>
        <v>男</v>
      </c>
    </row>
    <row r="2329" spans="1:5" s="3" customFormat="1" ht="19.5" customHeight="1">
      <c r="A2329" s="8">
        <v>2327</v>
      </c>
      <c r="B2329" s="8" t="str">
        <f>"21902020071522081528553"</f>
        <v>21902020071522081528553</v>
      </c>
      <c r="C2329" s="8" t="s">
        <v>17</v>
      </c>
      <c r="D2329" s="8" t="str">
        <f>"刘造琼"</f>
        <v>刘造琼</v>
      </c>
      <c r="E2329" s="8" t="str">
        <f t="shared" si="227"/>
        <v>女</v>
      </c>
    </row>
    <row r="2330" spans="1:5" s="3" customFormat="1" ht="19.5" customHeight="1">
      <c r="A2330" s="8">
        <v>2328</v>
      </c>
      <c r="B2330" s="8" t="str">
        <f>"21902020071522095228555"</f>
        <v>21902020071522095228555</v>
      </c>
      <c r="C2330" s="8" t="s">
        <v>17</v>
      </c>
      <c r="D2330" s="8" t="str">
        <f>"潘福女"</f>
        <v>潘福女</v>
      </c>
      <c r="E2330" s="8" t="str">
        <f t="shared" si="227"/>
        <v>女</v>
      </c>
    </row>
    <row r="2331" spans="1:5" s="3" customFormat="1" ht="19.5" customHeight="1">
      <c r="A2331" s="8">
        <v>2329</v>
      </c>
      <c r="B2331" s="8" t="str">
        <f>"21902020071522105028556"</f>
        <v>21902020071522105028556</v>
      </c>
      <c r="C2331" s="8" t="s">
        <v>17</v>
      </c>
      <c r="D2331" s="8" t="str">
        <f>"李万勋"</f>
        <v>李万勋</v>
      </c>
      <c r="E2331" s="8" t="str">
        <f t="shared" si="228"/>
        <v>男</v>
      </c>
    </row>
    <row r="2332" spans="1:5" s="3" customFormat="1" ht="19.5" customHeight="1">
      <c r="A2332" s="8">
        <v>2330</v>
      </c>
      <c r="B2332" s="8" t="str">
        <f>"21902020071522164128564"</f>
        <v>21902020071522164128564</v>
      </c>
      <c r="C2332" s="8" t="s">
        <v>17</v>
      </c>
      <c r="D2332" s="8" t="str">
        <f>"薛秋梅"</f>
        <v>薛秋梅</v>
      </c>
      <c r="E2332" s="8" t="str">
        <f aca="true" t="shared" si="229" ref="E2332:E2335">"女"</f>
        <v>女</v>
      </c>
    </row>
    <row r="2333" spans="1:5" s="3" customFormat="1" ht="19.5" customHeight="1">
      <c r="A2333" s="8">
        <v>2331</v>
      </c>
      <c r="B2333" s="8" t="str">
        <f>"21902020071522164828565"</f>
        <v>21902020071522164828565</v>
      </c>
      <c r="C2333" s="8" t="s">
        <v>17</v>
      </c>
      <c r="D2333" s="8" t="str">
        <f>"黎桃梅"</f>
        <v>黎桃梅</v>
      </c>
      <c r="E2333" s="8" t="str">
        <f t="shared" si="229"/>
        <v>女</v>
      </c>
    </row>
    <row r="2334" spans="1:5" s="3" customFormat="1" ht="19.5" customHeight="1">
      <c r="A2334" s="8">
        <v>2332</v>
      </c>
      <c r="B2334" s="8" t="str">
        <f>"21902020071522312528581"</f>
        <v>21902020071522312528581</v>
      </c>
      <c r="C2334" s="8" t="s">
        <v>17</v>
      </c>
      <c r="D2334" s="8" t="str">
        <f>"黎焕堂"</f>
        <v>黎焕堂</v>
      </c>
      <c r="E2334" s="8" t="str">
        <f aca="true" t="shared" si="230" ref="E2334:E2338">"男"</f>
        <v>男</v>
      </c>
    </row>
    <row r="2335" spans="1:5" s="3" customFormat="1" ht="19.5" customHeight="1">
      <c r="A2335" s="8">
        <v>2333</v>
      </c>
      <c r="B2335" s="8" t="str">
        <f>"21902020071522315128582"</f>
        <v>21902020071522315128582</v>
      </c>
      <c r="C2335" s="8" t="s">
        <v>17</v>
      </c>
      <c r="D2335" s="8" t="str">
        <f>"胡庆川"</f>
        <v>胡庆川</v>
      </c>
      <c r="E2335" s="8" t="str">
        <f t="shared" si="229"/>
        <v>女</v>
      </c>
    </row>
    <row r="2336" spans="1:5" s="3" customFormat="1" ht="19.5" customHeight="1">
      <c r="A2336" s="8">
        <v>2334</v>
      </c>
      <c r="B2336" s="8" t="str">
        <f>"21902020071522315628583"</f>
        <v>21902020071522315628583</v>
      </c>
      <c r="C2336" s="8" t="s">
        <v>17</v>
      </c>
      <c r="D2336" s="8" t="str">
        <f>"李俊杰"</f>
        <v>李俊杰</v>
      </c>
      <c r="E2336" s="8" t="str">
        <f t="shared" si="230"/>
        <v>男</v>
      </c>
    </row>
    <row r="2337" spans="1:5" s="3" customFormat="1" ht="19.5" customHeight="1">
      <c r="A2337" s="8">
        <v>2335</v>
      </c>
      <c r="B2337" s="8" t="str">
        <f>"21902020071522553328597"</f>
        <v>21902020071522553328597</v>
      </c>
      <c r="C2337" s="8" t="s">
        <v>17</v>
      </c>
      <c r="D2337" s="8" t="str">
        <f>"麦海江"</f>
        <v>麦海江</v>
      </c>
      <c r="E2337" s="8" t="str">
        <f t="shared" si="230"/>
        <v>男</v>
      </c>
    </row>
    <row r="2338" spans="1:5" s="3" customFormat="1" ht="19.5" customHeight="1">
      <c r="A2338" s="8">
        <v>2336</v>
      </c>
      <c r="B2338" s="8" t="str">
        <f>"21902020071523020828602"</f>
        <v>21902020071523020828602</v>
      </c>
      <c r="C2338" s="8" t="s">
        <v>17</v>
      </c>
      <c r="D2338" s="8" t="str">
        <f>"何应德"</f>
        <v>何应德</v>
      </c>
      <c r="E2338" s="8" t="str">
        <f t="shared" si="230"/>
        <v>男</v>
      </c>
    </row>
    <row r="2339" spans="1:5" s="3" customFormat="1" ht="19.5" customHeight="1">
      <c r="A2339" s="8">
        <v>2337</v>
      </c>
      <c r="B2339" s="8" t="str">
        <f>"21902020071523141528608"</f>
        <v>21902020071523141528608</v>
      </c>
      <c r="C2339" s="8" t="s">
        <v>17</v>
      </c>
      <c r="D2339" s="8" t="str">
        <f>"李美娥"</f>
        <v>李美娥</v>
      </c>
      <c r="E2339" s="8" t="str">
        <f aca="true" t="shared" si="231" ref="E2339:E2342">"女"</f>
        <v>女</v>
      </c>
    </row>
    <row r="2340" spans="1:5" s="3" customFormat="1" ht="19.5" customHeight="1">
      <c r="A2340" s="8">
        <v>2338</v>
      </c>
      <c r="B2340" s="8" t="str">
        <f>"21902020071523260428619"</f>
        <v>21902020071523260428619</v>
      </c>
      <c r="C2340" s="8" t="s">
        <v>17</v>
      </c>
      <c r="D2340" s="8" t="str">
        <f>"黎景芳"</f>
        <v>黎景芳</v>
      </c>
      <c r="E2340" s="8" t="str">
        <f t="shared" si="231"/>
        <v>女</v>
      </c>
    </row>
    <row r="2341" spans="1:5" s="3" customFormat="1" ht="19.5" customHeight="1">
      <c r="A2341" s="8">
        <v>2339</v>
      </c>
      <c r="B2341" s="8" t="str">
        <f>"21902020071523400228625"</f>
        <v>21902020071523400228625</v>
      </c>
      <c r="C2341" s="8" t="s">
        <v>17</v>
      </c>
      <c r="D2341" s="8" t="str">
        <f>"彭春美"</f>
        <v>彭春美</v>
      </c>
      <c r="E2341" s="8" t="str">
        <f t="shared" si="231"/>
        <v>女</v>
      </c>
    </row>
    <row r="2342" spans="1:5" s="3" customFormat="1" ht="19.5" customHeight="1">
      <c r="A2342" s="8">
        <v>2340</v>
      </c>
      <c r="B2342" s="8" t="str">
        <f>"21902020071600464728652"</f>
        <v>21902020071600464728652</v>
      </c>
      <c r="C2342" s="8" t="s">
        <v>17</v>
      </c>
      <c r="D2342" s="8" t="str">
        <f>"羊小灵"</f>
        <v>羊小灵</v>
      </c>
      <c r="E2342" s="8" t="str">
        <f t="shared" si="231"/>
        <v>女</v>
      </c>
    </row>
    <row r="2343" spans="1:5" s="3" customFormat="1" ht="19.5" customHeight="1">
      <c r="A2343" s="8">
        <v>2341</v>
      </c>
      <c r="B2343" s="8" t="str">
        <f>"21902020071607212228666"</f>
        <v>21902020071607212228666</v>
      </c>
      <c r="C2343" s="8" t="s">
        <v>17</v>
      </c>
      <c r="D2343" s="8" t="str">
        <f>"郑永光"</f>
        <v>郑永光</v>
      </c>
      <c r="E2343" s="8" t="str">
        <f aca="true" t="shared" si="232" ref="E2343:E2345">"男"</f>
        <v>男</v>
      </c>
    </row>
    <row r="2344" spans="1:5" s="3" customFormat="1" ht="19.5" customHeight="1">
      <c r="A2344" s="8">
        <v>2342</v>
      </c>
      <c r="B2344" s="8" t="str">
        <f>"21902020071607592828671"</f>
        <v>21902020071607592828671</v>
      </c>
      <c r="C2344" s="8" t="s">
        <v>17</v>
      </c>
      <c r="D2344" s="8" t="str">
        <f>"王卓润"</f>
        <v>王卓润</v>
      </c>
      <c r="E2344" s="8" t="str">
        <f t="shared" si="232"/>
        <v>男</v>
      </c>
    </row>
    <row r="2345" spans="1:5" s="3" customFormat="1" ht="19.5" customHeight="1">
      <c r="A2345" s="8">
        <v>2343</v>
      </c>
      <c r="B2345" s="8" t="str">
        <f>"21902020071609082128706"</f>
        <v>21902020071609082128706</v>
      </c>
      <c r="C2345" s="8" t="s">
        <v>17</v>
      </c>
      <c r="D2345" s="8" t="str">
        <f>"何文堂"</f>
        <v>何文堂</v>
      </c>
      <c r="E2345" s="8" t="str">
        <f t="shared" si="232"/>
        <v>男</v>
      </c>
    </row>
    <row r="2346" spans="1:5" s="3" customFormat="1" ht="19.5" customHeight="1">
      <c r="A2346" s="8">
        <v>2344</v>
      </c>
      <c r="B2346" s="8" t="str">
        <f>"21902020071609354128735"</f>
        <v>21902020071609354128735</v>
      </c>
      <c r="C2346" s="8" t="s">
        <v>17</v>
      </c>
      <c r="D2346" s="8" t="str">
        <f>"何鸾美"</f>
        <v>何鸾美</v>
      </c>
      <c r="E2346" s="8" t="str">
        <f aca="true" t="shared" si="233" ref="E2346:E2349">"女"</f>
        <v>女</v>
      </c>
    </row>
    <row r="2347" spans="1:5" s="3" customFormat="1" ht="19.5" customHeight="1">
      <c r="A2347" s="8">
        <v>2345</v>
      </c>
      <c r="B2347" s="8" t="str">
        <f>"21902020071609354228736"</f>
        <v>21902020071609354228736</v>
      </c>
      <c r="C2347" s="8" t="s">
        <v>17</v>
      </c>
      <c r="D2347" s="8" t="str">
        <f>"王恩源"</f>
        <v>王恩源</v>
      </c>
      <c r="E2347" s="8" t="str">
        <f aca="true" t="shared" si="234" ref="E2347:E2352">"男"</f>
        <v>男</v>
      </c>
    </row>
    <row r="2348" spans="1:5" s="3" customFormat="1" ht="19.5" customHeight="1">
      <c r="A2348" s="8">
        <v>2346</v>
      </c>
      <c r="B2348" s="8" t="str">
        <f>"21902020071609365528737"</f>
        <v>21902020071609365528737</v>
      </c>
      <c r="C2348" s="8" t="s">
        <v>17</v>
      </c>
      <c r="D2348" s="8" t="str">
        <f>"古雅馨"</f>
        <v>古雅馨</v>
      </c>
      <c r="E2348" s="8" t="str">
        <f t="shared" si="233"/>
        <v>女</v>
      </c>
    </row>
    <row r="2349" spans="1:5" s="3" customFormat="1" ht="19.5" customHeight="1">
      <c r="A2349" s="8">
        <v>2347</v>
      </c>
      <c r="B2349" s="8" t="str">
        <f>"21902020071610002328748"</f>
        <v>21902020071610002328748</v>
      </c>
      <c r="C2349" s="8" t="s">
        <v>17</v>
      </c>
      <c r="D2349" s="8" t="str">
        <f>"吴姑小"</f>
        <v>吴姑小</v>
      </c>
      <c r="E2349" s="8" t="str">
        <f t="shared" si="233"/>
        <v>女</v>
      </c>
    </row>
    <row r="2350" spans="1:5" s="3" customFormat="1" ht="19.5" customHeight="1">
      <c r="A2350" s="8">
        <v>2348</v>
      </c>
      <c r="B2350" s="8" t="str">
        <f>"21902020071610013328751"</f>
        <v>21902020071610013328751</v>
      </c>
      <c r="C2350" s="8" t="s">
        <v>17</v>
      </c>
      <c r="D2350" s="8" t="str">
        <f>"李德龙"</f>
        <v>李德龙</v>
      </c>
      <c r="E2350" s="8" t="str">
        <f t="shared" si="234"/>
        <v>男</v>
      </c>
    </row>
    <row r="2351" spans="1:5" s="3" customFormat="1" ht="19.5" customHeight="1">
      <c r="A2351" s="8">
        <v>2349</v>
      </c>
      <c r="B2351" s="8" t="str">
        <f>"21902020071610085828757"</f>
        <v>21902020071610085828757</v>
      </c>
      <c r="C2351" s="8" t="s">
        <v>17</v>
      </c>
      <c r="D2351" s="8" t="str">
        <f>"羊应坤"</f>
        <v>羊应坤</v>
      </c>
      <c r="E2351" s="8" t="str">
        <f aca="true" t="shared" si="235" ref="E2351:E2354">"女"</f>
        <v>女</v>
      </c>
    </row>
    <row r="2352" spans="1:5" s="3" customFormat="1" ht="19.5" customHeight="1">
      <c r="A2352" s="8">
        <v>2350</v>
      </c>
      <c r="B2352" s="8" t="str">
        <f>"21902020071610090828758"</f>
        <v>21902020071610090828758</v>
      </c>
      <c r="C2352" s="8" t="s">
        <v>17</v>
      </c>
      <c r="D2352" s="8" t="str">
        <f>"吴可杰"</f>
        <v>吴可杰</v>
      </c>
      <c r="E2352" s="8" t="str">
        <f t="shared" si="234"/>
        <v>男</v>
      </c>
    </row>
    <row r="2353" spans="1:5" s="3" customFormat="1" ht="19.5" customHeight="1">
      <c r="A2353" s="8">
        <v>2351</v>
      </c>
      <c r="B2353" s="8" t="str">
        <f>"21902020071610251228767"</f>
        <v>21902020071610251228767</v>
      </c>
      <c r="C2353" s="8" t="s">
        <v>17</v>
      </c>
      <c r="D2353" s="8" t="str">
        <f>"黄世莲"</f>
        <v>黄世莲</v>
      </c>
      <c r="E2353" s="8" t="str">
        <f t="shared" si="235"/>
        <v>女</v>
      </c>
    </row>
    <row r="2354" spans="1:5" s="3" customFormat="1" ht="19.5" customHeight="1">
      <c r="A2354" s="8">
        <v>2352</v>
      </c>
      <c r="B2354" s="8" t="str">
        <f>"21902020071610350728777"</f>
        <v>21902020071610350728777</v>
      </c>
      <c r="C2354" s="8" t="s">
        <v>17</v>
      </c>
      <c r="D2354" s="8" t="str">
        <f>"何金菊"</f>
        <v>何金菊</v>
      </c>
      <c r="E2354" s="8" t="str">
        <f t="shared" si="235"/>
        <v>女</v>
      </c>
    </row>
    <row r="2355" spans="1:5" s="3" customFormat="1" ht="19.5" customHeight="1">
      <c r="A2355" s="8">
        <v>2353</v>
      </c>
      <c r="B2355" s="8" t="str">
        <f>"21902020071610382528781"</f>
        <v>21902020071610382528781</v>
      </c>
      <c r="C2355" s="8" t="s">
        <v>17</v>
      </c>
      <c r="D2355" s="8" t="str">
        <f>"吴盛世"</f>
        <v>吴盛世</v>
      </c>
      <c r="E2355" s="8" t="str">
        <f>"男"</f>
        <v>男</v>
      </c>
    </row>
    <row r="2356" spans="1:5" s="3" customFormat="1" ht="19.5" customHeight="1">
      <c r="A2356" s="8">
        <v>2354</v>
      </c>
      <c r="B2356" s="8" t="str">
        <f>"21902020071610514228795"</f>
        <v>21902020071610514228795</v>
      </c>
      <c r="C2356" s="8" t="s">
        <v>17</v>
      </c>
      <c r="D2356" s="8" t="str">
        <f>"苏蕾"</f>
        <v>苏蕾</v>
      </c>
      <c r="E2356" s="8" t="str">
        <f aca="true" t="shared" si="236" ref="E2356:E2360">"女"</f>
        <v>女</v>
      </c>
    </row>
    <row r="2357" spans="1:5" s="3" customFormat="1" ht="19.5" customHeight="1">
      <c r="A2357" s="8">
        <v>2355</v>
      </c>
      <c r="B2357" s="8" t="str">
        <f>"21902020071611010328805"</f>
        <v>21902020071611010328805</v>
      </c>
      <c r="C2357" s="8" t="s">
        <v>17</v>
      </c>
      <c r="D2357" s="8" t="str">
        <f>"甘燕"</f>
        <v>甘燕</v>
      </c>
      <c r="E2357" s="8" t="str">
        <f t="shared" si="236"/>
        <v>女</v>
      </c>
    </row>
    <row r="2358" spans="1:5" s="3" customFormat="1" ht="19.5" customHeight="1">
      <c r="A2358" s="8">
        <v>2356</v>
      </c>
      <c r="B2358" s="8" t="str">
        <f>"21902020071611063528812"</f>
        <v>21902020071611063528812</v>
      </c>
      <c r="C2358" s="8" t="s">
        <v>17</v>
      </c>
      <c r="D2358" s="8" t="str">
        <f>"邱慧慧"</f>
        <v>邱慧慧</v>
      </c>
      <c r="E2358" s="8" t="str">
        <f t="shared" si="236"/>
        <v>女</v>
      </c>
    </row>
    <row r="2359" spans="1:5" s="3" customFormat="1" ht="19.5" customHeight="1">
      <c r="A2359" s="8">
        <v>2357</v>
      </c>
      <c r="B2359" s="8" t="str">
        <f>"21902020071611064628814"</f>
        <v>21902020071611064628814</v>
      </c>
      <c r="C2359" s="8" t="s">
        <v>17</v>
      </c>
      <c r="D2359" s="8" t="str">
        <f>"羊玉美"</f>
        <v>羊玉美</v>
      </c>
      <c r="E2359" s="8" t="str">
        <f t="shared" si="236"/>
        <v>女</v>
      </c>
    </row>
    <row r="2360" spans="1:5" s="3" customFormat="1" ht="19.5" customHeight="1">
      <c r="A2360" s="8">
        <v>2358</v>
      </c>
      <c r="B2360" s="8" t="str">
        <f>"21902020071611163528826"</f>
        <v>21902020071611163528826</v>
      </c>
      <c r="C2360" s="8" t="s">
        <v>17</v>
      </c>
      <c r="D2360" s="8" t="str">
        <f>"莫春梅"</f>
        <v>莫春梅</v>
      </c>
      <c r="E2360" s="8" t="str">
        <f t="shared" si="236"/>
        <v>女</v>
      </c>
    </row>
    <row r="2361" spans="1:5" s="3" customFormat="1" ht="19.5" customHeight="1">
      <c r="A2361" s="8">
        <v>2359</v>
      </c>
      <c r="B2361" s="8" t="str">
        <f>"21902020071611202028830"</f>
        <v>21902020071611202028830</v>
      </c>
      <c r="C2361" s="8" t="s">
        <v>17</v>
      </c>
      <c r="D2361" s="8" t="str">
        <f>"李锦帝"</f>
        <v>李锦帝</v>
      </c>
      <c r="E2361" s="8" t="str">
        <f>"男"</f>
        <v>男</v>
      </c>
    </row>
    <row r="2362" spans="1:5" s="3" customFormat="1" ht="19.5" customHeight="1">
      <c r="A2362" s="8">
        <v>2360</v>
      </c>
      <c r="B2362" s="8" t="str">
        <f>"21902020071611300028841"</f>
        <v>21902020071611300028841</v>
      </c>
      <c r="C2362" s="8" t="s">
        <v>17</v>
      </c>
      <c r="D2362" s="8" t="str">
        <f>"吴嘉燐"</f>
        <v>吴嘉燐</v>
      </c>
      <c r="E2362" s="8" t="str">
        <f aca="true" t="shared" si="237" ref="E2362:E2365">"女"</f>
        <v>女</v>
      </c>
    </row>
    <row r="2363" spans="1:5" s="3" customFormat="1" ht="19.5" customHeight="1">
      <c r="A2363" s="8">
        <v>2361</v>
      </c>
      <c r="B2363" s="8" t="str">
        <f>"21902020071611432928850"</f>
        <v>21902020071611432928850</v>
      </c>
      <c r="C2363" s="8" t="s">
        <v>17</v>
      </c>
      <c r="D2363" s="8" t="str">
        <f>"丁悦玲"</f>
        <v>丁悦玲</v>
      </c>
      <c r="E2363" s="8" t="str">
        <f t="shared" si="237"/>
        <v>女</v>
      </c>
    </row>
    <row r="2364" spans="1:5" s="3" customFormat="1" ht="19.5" customHeight="1">
      <c r="A2364" s="8">
        <v>2362</v>
      </c>
      <c r="B2364" s="8" t="str">
        <f>"21902020071611523528858"</f>
        <v>21902020071611523528858</v>
      </c>
      <c r="C2364" s="8" t="s">
        <v>17</v>
      </c>
      <c r="D2364" s="8" t="str">
        <f>"何贤榴"</f>
        <v>何贤榴</v>
      </c>
      <c r="E2364" s="8" t="str">
        <f t="shared" si="237"/>
        <v>女</v>
      </c>
    </row>
    <row r="2365" spans="1:5" s="3" customFormat="1" ht="19.5" customHeight="1">
      <c r="A2365" s="8">
        <v>2363</v>
      </c>
      <c r="B2365" s="8" t="str">
        <f>"21902020071612042428870"</f>
        <v>21902020071612042428870</v>
      </c>
      <c r="C2365" s="8" t="s">
        <v>17</v>
      </c>
      <c r="D2365" s="8" t="str">
        <f>"吴万桃"</f>
        <v>吴万桃</v>
      </c>
      <c r="E2365" s="8" t="str">
        <f t="shared" si="237"/>
        <v>女</v>
      </c>
    </row>
    <row r="2366" spans="1:5" s="3" customFormat="1" ht="19.5" customHeight="1">
      <c r="A2366" s="8">
        <v>2364</v>
      </c>
      <c r="B2366" s="8" t="str">
        <f>"21902020071612374228890"</f>
        <v>21902020071612374228890</v>
      </c>
      <c r="C2366" s="8" t="s">
        <v>17</v>
      </c>
      <c r="D2366" s="8" t="str">
        <f>"何晶宝"</f>
        <v>何晶宝</v>
      </c>
      <c r="E2366" s="8" t="str">
        <f aca="true" t="shared" si="238" ref="E2366:E2370">"男"</f>
        <v>男</v>
      </c>
    </row>
    <row r="2367" spans="1:5" s="3" customFormat="1" ht="19.5" customHeight="1">
      <c r="A2367" s="8">
        <v>2365</v>
      </c>
      <c r="B2367" s="8" t="str">
        <f>"21902020071612571128902"</f>
        <v>21902020071612571128902</v>
      </c>
      <c r="C2367" s="8" t="s">
        <v>17</v>
      </c>
      <c r="D2367" s="8" t="str">
        <f>"韦武丰"</f>
        <v>韦武丰</v>
      </c>
      <c r="E2367" s="8" t="str">
        <f t="shared" si="238"/>
        <v>男</v>
      </c>
    </row>
    <row r="2368" spans="1:5" s="3" customFormat="1" ht="19.5" customHeight="1">
      <c r="A2368" s="8">
        <v>2366</v>
      </c>
      <c r="B2368" s="8" t="str">
        <f>"21902020071613094828911"</f>
        <v>21902020071613094828911</v>
      </c>
      <c r="C2368" s="8" t="s">
        <v>17</v>
      </c>
      <c r="D2368" s="8" t="str">
        <f>"吴君凌"</f>
        <v>吴君凌</v>
      </c>
      <c r="E2368" s="8" t="str">
        <f aca="true" t="shared" si="239" ref="E2368:E2371">"女"</f>
        <v>女</v>
      </c>
    </row>
    <row r="2369" spans="1:5" s="3" customFormat="1" ht="19.5" customHeight="1">
      <c r="A2369" s="8">
        <v>2367</v>
      </c>
      <c r="B2369" s="8" t="str">
        <f>"21902020071613111628912"</f>
        <v>21902020071613111628912</v>
      </c>
      <c r="C2369" s="8" t="s">
        <v>17</v>
      </c>
      <c r="D2369" s="8" t="str">
        <f>"吴江莹"</f>
        <v>吴江莹</v>
      </c>
      <c r="E2369" s="8" t="str">
        <f t="shared" si="239"/>
        <v>女</v>
      </c>
    </row>
    <row r="2370" spans="1:5" s="3" customFormat="1" ht="19.5" customHeight="1">
      <c r="A2370" s="8">
        <v>2368</v>
      </c>
      <c r="B2370" s="8" t="str">
        <f>"21902020071613222328918"</f>
        <v>21902020071613222328918</v>
      </c>
      <c r="C2370" s="8" t="s">
        <v>17</v>
      </c>
      <c r="D2370" s="8" t="str">
        <f>"羊兴国"</f>
        <v>羊兴国</v>
      </c>
      <c r="E2370" s="8" t="str">
        <f t="shared" si="238"/>
        <v>男</v>
      </c>
    </row>
    <row r="2371" spans="1:5" s="3" customFormat="1" ht="19.5" customHeight="1">
      <c r="A2371" s="8">
        <v>2369</v>
      </c>
      <c r="B2371" s="8" t="str">
        <f>"21902020071613251428921"</f>
        <v>21902020071613251428921</v>
      </c>
      <c r="C2371" s="8" t="s">
        <v>17</v>
      </c>
      <c r="D2371" s="8" t="str">
        <f>"周秀静"</f>
        <v>周秀静</v>
      </c>
      <c r="E2371" s="8" t="str">
        <f t="shared" si="239"/>
        <v>女</v>
      </c>
    </row>
    <row r="2372" spans="1:5" s="3" customFormat="1" ht="19.5" customHeight="1">
      <c r="A2372" s="8">
        <v>2370</v>
      </c>
      <c r="B2372" s="8" t="str">
        <f>"21902020071613392728923"</f>
        <v>21902020071613392728923</v>
      </c>
      <c r="C2372" s="8" t="s">
        <v>17</v>
      </c>
      <c r="D2372" s="8" t="str">
        <f>"刘长青"</f>
        <v>刘长青</v>
      </c>
      <c r="E2372" s="8" t="str">
        <f aca="true" t="shared" si="240" ref="E2372:E2377">"男"</f>
        <v>男</v>
      </c>
    </row>
    <row r="2373" spans="1:5" s="3" customFormat="1" ht="19.5" customHeight="1">
      <c r="A2373" s="8">
        <v>2371</v>
      </c>
      <c r="B2373" s="8" t="str">
        <f>"21902020071614080328932"</f>
        <v>21902020071614080328932</v>
      </c>
      <c r="C2373" s="8" t="s">
        <v>17</v>
      </c>
      <c r="D2373" s="8" t="str">
        <f>"陈井妹"</f>
        <v>陈井妹</v>
      </c>
      <c r="E2373" s="8" t="str">
        <f aca="true" t="shared" si="241" ref="E2373:E2376">"女"</f>
        <v>女</v>
      </c>
    </row>
    <row r="2374" spans="1:5" s="3" customFormat="1" ht="19.5" customHeight="1">
      <c r="A2374" s="8">
        <v>2372</v>
      </c>
      <c r="B2374" s="8" t="str">
        <f>"21902020071614145328936"</f>
        <v>21902020071614145328936</v>
      </c>
      <c r="C2374" s="8" t="s">
        <v>17</v>
      </c>
      <c r="D2374" s="8" t="str">
        <f>"郭金仁"</f>
        <v>郭金仁</v>
      </c>
      <c r="E2374" s="8" t="str">
        <f t="shared" si="240"/>
        <v>男</v>
      </c>
    </row>
    <row r="2375" spans="1:5" s="3" customFormat="1" ht="19.5" customHeight="1">
      <c r="A2375" s="8">
        <v>2373</v>
      </c>
      <c r="B2375" s="8" t="str">
        <f>"21902020071614192928938"</f>
        <v>21902020071614192928938</v>
      </c>
      <c r="C2375" s="8" t="s">
        <v>17</v>
      </c>
      <c r="D2375" s="8" t="str">
        <f>"王玉婷"</f>
        <v>王玉婷</v>
      </c>
      <c r="E2375" s="8" t="str">
        <f t="shared" si="241"/>
        <v>女</v>
      </c>
    </row>
    <row r="2376" spans="1:5" s="3" customFormat="1" ht="19.5" customHeight="1">
      <c r="A2376" s="8">
        <v>2374</v>
      </c>
      <c r="B2376" s="8" t="str">
        <f>"21902020071614370128949"</f>
        <v>21902020071614370128949</v>
      </c>
      <c r="C2376" s="8" t="s">
        <v>17</v>
      </c>
      <c r="D2376" s="8" t="str">
        <f>"郑五英"</f>
        <v>郑五英</v>
      </c>
      <c r="E2376" s="8" t="str">
        <f t="shared" si="241"/>
        <v>女</v>
      </c>
    </row>
    <row r="2377" spans="1:5" s="3" customFormat="1" ht="19.5" customHeight="1">
      <c r="A2377" s="8">
        <v>2375</v>
      </c>
      <c r="B2377" s="8" t="str">
        <f>"21902020071614423628954"</f>
        <v>21902020071614423628954</v>
      </c>
      <c r="C2377" s="8" t="s">
        <v>17</v>
      </c>
      <c r="D2377" s="8" t="str">
        <f>"何冠元"</f>
        <v>何冠元</v>
      </c>
      <c r="E2377" s="8" t="str">
        <f t="shared" si="240"/>
        <v>男</v>
      </c>
    </row>
    <row r="2378" spans="1:5" s="3" customFormat="1" ht="19.5" customHeight="1">
      <c r="A2378" s="8">
        <v>2376</v>
      </c>
      <c r="B2378" s="8" t="str">
        <f>"21902020071614424428956"</f>
        <v>21902020071614424428956</v>
      </c>
      <c r="C2378" s="8" t="s">
        <v>17</v>
      </c>
      <c r="D2378" s="8" t="str">
        <f>"李业玲"</f>
        <v>李业玲</v>
      </c>
      <c r="E2378" s="8" t="str">
        <f aca="true" t="shared" si="242" ref="E2378:E2380">"女"</f>
        <v>女</v>
      </c>
    </row>
    <row r="2379" spans="1:5" s="3" customFormat="1" ht="19.5" customHeight="1">
      <c r="A2379" s="8">
        <v>2377</v>
      </c>
      <c r="B2379" s="8" t="str">
        <f>"21902020071614570228962"</f>
        <v>21902020071614570228962</v>
      </c>
      <c r="C2379" s="8" t="s">
        <v>17</v>
      </c>
      <c r="D2379" s="8" t="str">
        <f>"陈锦玲"</f>
        <v>陈锦玲</v>
      </c>
      <c r="E2379" s="8" t="str">
        <f t="shared" si="242"/>
        <v>女</v>
      </c>
    </row>
    <row r="2380" spans="1:5" s="3" customFormat="1" ht="19.5" customHeight="1">
      <c r="A2380" s="8">
        <v>2378</v>
      </c>
      <c r="B2380" s="8" t="str">
        <f>"21902020071615012228966"</f>
        <v>21902020071615012228966</v>
      </c>
      <c r="C2380" s="8" t="s">
        <v>17</v>
      </c>
      <c r="D2380" s="8" t="str">
        <f>"李霞"</f>
        <v>李霞</v>
      </c>
      <c r="E2380" s="8" t="str">
        <f t="shared" si="242"/>
        <v>女</v>
      </c>
    </row>
    <row r="2381" spans="1:5" s="3" customFormat="1" ht="19.5" customHeight="1">
      <c r="A2381" s="8">
        <v>2379</v>
      </c>
      <c r="B2381" s="8" t="str">
        <f>"21902020071615031928968"</f>
        <v>21902020071615031928968</v>
      </c>
      <c r="C2381" s="8" t="s">
        <v>17</v>
      </c>
      <c r="D2381" s="8" t="str">
        <f>"吴卓文"</f>
        <v>吴卓文</v>
      </c>
      <c r="E2381" s="8" t="str">
        <f aca="true" t="shared" si="243" ref="E2381:E2385">"男"</f>
        <v>男</v>
      </c>
    </row>
    <row r="2382" spans="1:5" s="3" customFormat="1" ht="19.5" customHeight="1">
      <c r="A2382" s="8">
        <v>2380</v>
      </c>
      <c r="B2382" s="8" t="str">
        <f>"21902020071615090228976"</f>
        <v>21902020071615090228976</v>
      </c>
      <c r="C2382" s="8" t="s">
        <v>17</v>
      </c>
      <c r="D2382" s="8" t="str">
        <f>"李学超"</f>
        <v>李学超</v>
      </c>
      <c r="E2382" s="8" t="str">
        <f t="shared" si="243"/>
        <v>男</v>
      </c>
    </row>
    <row r="2383" spans="1:5" s="3" customFormat="1" ht="19.5" customHeight="1">
      <c r="A2383" s="8">
        <v>2381</v>
      </c>
      <c r="B2383" s="8" t="str">
        <f>"21902020071615175028986"</f>
        <v>21902020071615175028986</v>
      </c>
      <c r="C2383" s="8" t="s">
        <v>17</v>
      </c>
      <c r="D2383" s="8" t="str">
        <f>"何慧怡"</f>
        <v>何慧怡</v>
      </c>
      <c r="E2383" s="8" t="str">
        <f aca="true" t="shared" si="244" ref="E2383:E2386">"女"</f>
        <v>女</v>
      </c>
    </row>
    <row r="2384" spans="1:5" s="3" customFormat="1" ht="19.5" customHeight="1">
      <c r="A2384" s="8">
        <v>2382</v>
      </c>
      <c r="B2384" s="8" t="str">
        <f>"21902020071615180928988"</f>
        <v>21902020071615180928988</v>
      </c>
      <c r="C2384" s="8" t="s">
        <v>17</v>
      </c>
      <c r="D2384" s="8" t="str">
        <f>"黎健妃"</f>
        <v>黎健妃</v>
      </c>
      <c r="E2384" s="8" t="str">
        <f t="shared" si="244"/>
        <v>女</v>
      </c>
    </row>
    <row r="2385" spans="1:5" s="3" customFormat="1" ht="19.5" customHeight="1">
      <c r="A2385" s="8">
        <v>2383</v>
      </c>
      <c r="B2385" s="8" t="str">
        <f>"21902020071615380529007"</f>
        <v>21902020071615380529007</v>
      </c>
      <c r="C2385" s="8" t="s">
        <v>17</v>
      </c>
      <c r="D2385" s="8" t="str">
        <f>"许祖春"</f>
        <v>许祖春</v>
      </c>
      <c r="E2385" s="8" t="str">
        <f t="shared" si="243"/>
        <v>男</v>
      </c>
    </row>
    <row r="2386" spans="1:5" s="3" customFormat="1" ht="19.5" customHeight="1">
      <c r="A2386" s="8">
        <v>2384</v>
      </c>
      <c r="B2386" s="8" t="str">
        <f>"21902020071615471729017"</f>
        <v>21902020071615471729017</v>
      </c>
      <c r="C2386" s="8" t="s">
        <v>17</v>
      </c>
      <c r="D2386" s="8" t="str">
        <f>"王小婷"</f>
        <v>王小婷</v>
      </c>
      <c r="E2386" s="8" t="str">
        <f t="shared" si="244"/>
        <v>女</v>
      </c>
    </row>
    <row r="2387" spans="1:5" s="3" customFormat="1" ht="19.5" customHeight="1">
      <c r="A2387" s="8">
        <v>2385</v>
      </c>
      <c r="B2387" s="8" t="str">
        <f>"21902020071616474129072"</f>
        <v>21902020071616474129072</v>
      </c>
      <c r="C2387" s="8" t="s">
        <v>17</v>
      </c>
      <c r="D2387" s="8" t="str">
        <f>"符宁邦"</f>
        <v>符宁邦</v>
      </c>
      <c r="E2387" s="8" t="str">
        <f aca="true" t="shared" si="245" ref="E2387:E2392">"男"</f>
        <v>男</v>
      </c>
    </row>
    <row r="2388" spans="1:5" s="3" customFormat="1" ht="19.5" customHeight="1">
      <c r="A2388" s="8">
        <v>2386</v>
      </c>
      <c r="B2388" s="8" t="str">
        <f>"21902020071616492529073"</f>
        <v>21902020071616492529073</v>
      </c>
      <c r="C2388" s="8" t="s">
        <v>17</v>
      </c>
      <c r="D2388" s="8" t="str">
        <f>"韦雪梅"</f>
        <v>韦雪梅</v>
      </c>
      <c r="E2388" s="8" t="str">
        <f aca="true" t="shared" si="246" ref="E2388:E2391">"女"</f>
        <v>女</v>
      </c>
    </row>
    <row r="2389" spans="1:5" s="3" customFormat="1" ht="19.5" customHeight="1">
      <c r="A2389" s="8">
        <v>2387</v>
      </c>
      <c r="B2389" s="8" t="str">
        <f>"21902020071617151929097"</f>
        <v>21902020071617151929097</v>
      </c>
      <c r="C2389" s="8" t="s">
        <v>17</v>
      </c>
      <c r="D2389" s="8" t="str">
        <f>"李易龙"</f>
        <v>李易龙</v>
      </c>
      <c r="E2389" s="8" t="str">
        <f t="shared" si="245"/>
        <v>男</v>
      </c>
    </row>
    <row r="2390" spans="1:5" s="3" customFormat="1" ht="19.5" customHeight="1">
      <c r="A2390" s="8">
        <v>2388</v>
      </c>
      <c r="B2390" s="8" t="str">
        <f>"21902020071617285229106"</f>
        <v>21902020071617285229106</v>
      </c>
      <c r="C2390" s="8" t="s">
        <v>17</v>
      </c>
      <c r="D2390" s="8" t="str">
        <f>"黎美花"</f>
        <v>黎美花</v>
      </c>
      <c r="E2390" s="8" t="str">
        <f t="shared" si="246"/>
        <v>女</v>
      </c>
    </row>
    <row r="2391" spans="1:5" s="3" customFormat="1" ht="19.5" customHeight="1">
      <c r="A2391" s="8">
        <v>2389</v>
      </c>
      <c r="B2391" s="8" t="str">
        <f>"21902020071617570029128"</f>
        <v>21902020071617570029128</v>
      </c>
      <c r="C2391" s="8" t="s">
        <v>17</v>
      </c>
      <c r="D2391" s="8" t="str">
        <f>"黎丽丹"</f>
        <v>黎丽丹</v>
      </c>
      <c r="E2391" s="8" t="str">
        <f t="shared" si="246"/>
        <v>女</v>
      </c>
    </row>
    <row r="2392" spans="1:5" s="3" customFormat="1" ht="19.5" customHeight="1">
      <c r="A2392" s="8">
        <v>2390</v>
      </c>
      <c r="B2392" s="8" t="str">
        <f>"21902020071618171129139"</f>
        <v>21902020071618171129139</v>
      </c>
      <c r="C2392" s="8" t="s">
        <v>17</v>
      </c>
      <c r="D2392" s="8" t="str">
        <f>"郑临阳"</f>
        <v>郑临阳</v>
      </c>
      <c r="E2392" s="8" t="str">
        <f t="shared" si="245"/>
        <v>男</v>
      </c>
    </row>
    <row r="2393" spans="1:5" s="3" customFormat="1" ht="19.5" customHeight="1">
      <c r="A2393" s="8">
        <v>2391</v>
      </c>
      <c r="B2393" s="8" t="str">
        <f>"21902020071618462029150"</f>
        <v>21902020071618462029150</v>
      </c>
      <c r="C2393" s="8" t="s">
        <v>17</v>
      </c>
      <c r="D2393" s="8" t="str">
        <f>"邓春花"</f>
        <v>邓春花</v>
      </c>
      <c r="E2393" s="8" t="str">
        <f>"女"</f>
        <v>女</v>
      </c>
    </row>
    <row r="2394" spans="1:5" s="3" customFormat="1" ht="19.5" customHeight="1">
      <c r="A2394" s="8">
        <v>2392</v>
      </c>
      <c r="B2394" s="8" t="str">
        <f>"21902020071618535229152"</f>
        <v>21902020071618535229152</v>
      </c>
      <c r="C2394" s="8" t="s">
        <v>17</v>
      </c>
      <c r="D2394" s="8" t="str">
        <f>"吴智灵"</f>
        <v>吴智灵</v>
      </c>
      <c r="E2394" s="8" t="str">
        <f aca="true" t="shared" si="247" ref="E2394:E2397">"男"</f>
        <v>男</v>
      </c>
    </row>
    <row r="2395" spans="1:5" s="3" customFormat="1" ht="19.5" customHeight="1">
      <c r="A2395" s="8">
        <v>2393</v>
      </c>
      <c r="B2395" s="8" t="str">
        <f>"21902020071619315229170"</f>
        <v>21902020071619315229170</v>
      </c>
      <c r="C2395" s="8" t="s">
        <v>17</v>
      </c>
      <c r="D2395" s="8" t="str">
        <f>"许子濡"</f>
        <v>许子濡</v>
      </c>
      <c r="E2395" s="8" t="str">
        <f t="shared" si="247"/>
        <v>男</v>
      </c>
    </row>
    <row r="2396" spans="1:5" s="3" customFormat="1" ht="19.5" customHeight="1">
      <c r="A2396" s="8">
        <v>2394</v>
      </c>
      <c r="B2396" s="8" t="str">
        <f>"21902020071620020129184"</f>
        <v>21902020071620020129184</v>
      </c>
      <c r="C2396" s="8" t="s">
        <v>17</v>
      </c>
      <c r="D2396" s="8" t="str">
        <f>"黄振楠"</f>
        <v>黄振楠</v>
      </c>
      <c r="E2396" s="8" t="str">
        <f t="shared" si="247"/>
        <v>男</v>
      </c>
    </row>
    <row r="2397" spans="1:5" s="3" customFormat="1" ht="19.5" customHeight="1">
      <c r="A2397" s="8">
        <v>2395</v>
      </c>
      <c r="B2397" s="8" t="str">
        <f>"21902020071620121329192"</f>
        <v>21902020071620121329192</v>
      </c>
      <c r="C2397" s="8" t="s">
        <v>17</v>
      </c>
      <c r="D2397" s="8" t="str">
        <f>"吴定宗"</f>
        <v>吴定宗</v>
      </c>
      <c r="E2397" s="8" t="str">
        <f t="shared" si="247"/>
        <v>男</v>
      </c>
    </row>
    <row r="2398" spans="1:5" s="3" customFormat="1" ht="19.5" customHeight="1">
      <c r="A2398" s="8">
        <v>2396</v>
      </c>
      <c r="B2398" s="8" t="str">
        <f>"21902020071620343729203"</f>
        <v>21902020071620343729203</v>
      </c>
      <c r="C2398" s="8" t="s">
        <v>17</v>
      </c>
      <c r="D2398" s="8" t="str">
        <f>"刘引雄"</f>
        <v>刘引雄</v>
      </c>
      <c r="E2398" s="8" t="str">
        <f aca="true" t="shared" si="248" ref="E2398:E2406">"女"</f>
        <v>女</v>
      </c>
    </row>
    <row r="2399" spans="1:5" s="3" customFormat="1" ht="19.5" customHeight="1">
      <c r="A2399" s="8">
        <v>2397</v>
      </c>
      <c r="B2399" s="8" t="str">
        <f>"21902020071620482229210"</f>
        <v>21902020071620482229210</v>
      </c>
      <c r="C2399" s="8" t="s">
        <v>17</v>
      </c>
      <c r="D2399" s="8" t="str">
        <f>"王启威"</f>
        <v>王启威</v>
      </c>
      <c r="E2399" s="8" t="str">
        <f aca="true" t="shared" si="249" ref="E2399:E2402">"男"</f>
        <v>男</v>
      </c>
    </row>
    <row r="2400" spans="1:5" s="3" customFormat="1" ht="19.5" customHeight="1">
      <c r="A2400" s="8">
        <v>2398</v>
      </c>
      <c r="B2400" s="8" t="str">
        <f>"21902020071621015729215"</f>
        <v>21902020071621015729215</v>
      </c>
      <c r="C2400" s="8" t="s">
        <v>17</v>
      </c>
      <c r="D2400" s="8" t="str">
        <f>"朱茂林"</f>
        <v>朱茂林</v>
      </c>
      <c r="E2400" s="8" t="str">
        <f t="shared" si="249"/>
        <v>男</v>
      </c>
    </row>
    <row r="2401" spans="1:5" s="3" customFormat="1" ht="19.5" customHeight="1">
      <c r="A2401" s="8">
        <v>2399</v>
      </c>
      <c r="B2401" s="8" t="str">
        <f>"21902020071621485429239"</f>
        <v>21902020071621485429239</v>
      </c>
      <c r="C2401" s="8" t="s">
        <v>17</v>
      </c>
      <c r="D2401" s="8" t="str">
        <f>"刘艳桃"</f>
        <v>刘艳桃</v>
      </c>
      <c r="E2401" s="8" t="str">
        <f t="shared" si="248"/>
        <v>女</v>
      </c>
    </row>
    <row r="2402" spans="1:5" s="3" customFormat="1" ht="19.5" customHeight="1">
      <c r="A2402" s="8">
        <v>2400</v>
      </c>
      <c r="B2402" s="8" t="str">
        <f>"21902020071621514229242"</f>
        <v>21902020071621514229242</v>
      </c>
      <c r="C2402" s="8" t="s">
        <v>17</v>
      </c>
      <c r="D2402" s="8" t="str">
        <f>"唐侯障"</f>
        <v>唐侯障</v>
      </c>
      <c r="E2402" s="8" t="str">
        <f t="shared" si="249"/>
        <v>男</v>
      </c>
    </row>
    <row r="2403" spans="1:5" s="3" customFormat="1" ht="19.5" customHeight="1">
      <c r="A2403" s="8">
        <v>2401</v>
      </c>
      <c r="B2403" s="8" t="str">
        <f>"21902020071622142429253"</f>
        <v>21902020071622142429253</v>
      </c>
      <c r="C2403" s="8" t="s">
        <v>17</v>
      </c>
      <c r="D2403" s="8" t="str">
        <f>"陈有善"</f>
        <v>陈有善</v>
      </c>
      <c r="E2403" s="8" t="str">
        <f t="shared" si="248"/>
        <v>女</v>
      </c>
    </row>
    <row r="2404" spans="1:5" s="3" customFormat="1" ht="19.5" customHeight="1">
      <c r="A2404" s="8">
        <v>2402</v>
      </c>
      <c r="B2404" s="8" t="str">
        <f>"21902020071623011529280"</f>
        <v>21902020071623011529280</v>
      </c>
      <c r="C2404" s="8" t="s">
        <v>17</v>
      </c>
      <c r="D2404" s="8" t="str">
        <f>"高秀皇"</f>
        <v>高秀皇</v>
      </c>
      <c r="E2404" s="8" t="str">
        <f t="shared" si="248"/>
        <v>女</v>
      </c>
    </row>
    <row r="2405" spans="1:5" s="3" customFormat="1" ht="19.5" customHeight="1">
      <c r="A2405" s="8">
        <v>2403</v>
      </c>
      <c r="B2405" s="8" t="str">
        <f>"21902020071623133029291"</f>
        <v>21902020071623133029291</v>
      </c>
      <c r="C2405" s="8" t="s">
        <v>17</v>
      </c>
      <c r="D2405" s="8" t="str">
        <f>"李元花"</f>
        <v>李元花</v>
      </c>
      <c r="E2405" s="8" t="str">
        <f t="shared" si="248"/>
        <v>女</v>
      </c>
    </row>
    <row r="2406" spans="1:5" s="3" customFormat="1" ht="19.5" customHeight="1">
      <c r="A2406" s="8">
        <v>2404</v>
      </c>
      <c r="B2406" s="8" t="str">
        <f>"21902020071623310229295"</f>
        <v>21902020071623310229295</v>
      </c>
      <c r="C2406" s="8" t="s">
        <v>17</v>
      </c>
      <c r="D2406" s="8" t="str">
        <f>"符玉婷"</f>
        <v>符玉婷</v>
      </c>
      <c r="E2406" s="8" t="str">
        <f t="shared" si="248"/>
        <v>女</v>
      </c>
    </row>
    <row r="2407" spans="1:5" s="3" customFormat="1" ht="19.5" customHeight="1">
      <c r="A2407" s="8">
        <v>2405</v>
      </c>
      <c r="B2407" s="8" t="str">
        <f>"21902020071700081129304"</f>
        <v>21902020071700081129304</v>
      </c>
      <c r="C2407" s="8" t="s">
        <v>17</v>
      </c>
      <c r="D2407" s="8" t="str">
        <f>"李定河"</f>
        <v>李定河</v>
      </c>
      <c r="E2407" s="8" t="str">
        <f aca="true" t="shared" si="250" ref="E2407:E2410">"男"</f>
        <v>男</v>
      </c>
    </row>
    <row r="2408" spans="1:5" s="3" customFormat="1" ht="19.5" customHeight="1">
      <c r="A2408" s="8">
        <v>2406</v>
      </c>
      <c r="B2408" s="8" t="str">
        <f>"21902020071700565629307"</f>
        <v>21902020071700565629307</v>
      </c>
      <c r="C2408" s="8" t="s">
        <v>17</v>
      </c>
      <c r="D2408" s="8" t="str">
        <f>"羊绍登"</f>
        <v>羊绍登</v>
      </c>
      <c r="E2408" s="8" t="str">
        <f t="shared" si="250"/>
        <v>男</v>
      </c>
    </row>
    <row r="2409" spans="1:5" s="3" customFormat="1" ht="19.5" customHeight="1">
      <c r="A2409" s="8">
        <v>2407</v>
      </c>
      <c r="B2409" s="8" t="str">
        <f>"21902020071708033629323"</f>
        <v>21902020071708033629323</v>
      </c>
      <c r="C2409" s="8" t="s">
        <v>17</v>
      </c>
      <c r="D2409" s="8" t="str">
        <f>"张荣清"</f>
        <v>张荣清</v>
      </c>
      <c r="E2409" s="8" t="str">
        <f t="shared" si="250"/>
        <v>男</v>
      </c>
    </row>
    <row r="2410" spans="1:5" s="3" customFormat="1" ht="19.5" customHeight="1">
      <c r="A2410" s="8">
        <v>2408</v>
      </c>
      <c r="B2410" s="8" t="str">
        <f>"21902020071708054629325"</f>
        <v>21902020071708054629325</v>
      </c>
      <c r="C2410" s="8" t="s">
        <v>17</v>
      </c>
      <c r="D2410" s="8" t="str">
        <f>"高泽民"</f>
        <v>高泽民</v>
      </c>
      <c r="E2410" s="8" t="str">
        <f t="shared" si="250"/>
        <v>男</v>
      </c>
    </row>
    <row r="2411" spans="1:5" s="3" customFormat="1" ht="19.5" customHeight="1">
      <c r="A2411" s="8">
        <v>2409</v>
      </c>
      <c r="B2411" s="8" t="str">
        <f>"21902020071708502229340"</f>
        <v>21902020071708502229340</v>
      </c>
      <c r="C2411" s="8" t="s">
        <v>17</v>
      </c>
      <c r="D2411" s="8" t="str">
        <f>"黎土榕"</f>
        <v>黎土榕</v>
      </c>
      <c r="E2411" s="8" t="str">
        <f>"女"</f>
        <v>女</v>
      </c>
    </row>
    <row r="2412" spans="1:5" s="3" customFormat="1" ht="19.5" customHeight="1">
      <c r="A2412" s="8">
        <v>2410</v>
      </c>
      <c r="B2412" s="8" t="str">
        <f>"21902020071708530929342"</f>
        <v>21902020071708530929342</v>
      </c>
      <c r="C2412" s="8" t="s">
        <v>17</v>
      </c>
      <c r="D2412" s="8" t="str">
        <f>"符壮君"</f>
        <v>符壮君</v>
      </c>
      <c r="E2412" s="8" t="str">
        <f aca="true" t="shared" si="251" ref="E2412:E2417">"男"</f>
        <v>男</v>
      </c>
    </row>
    <row r="2413" spans="1:5" s="3" customFormat="1" ht="19.5" customHeight="1">
      <c r="A2413" s="8">
        <v>2411</v>
      </c>
      <c r="B2413" s="8" t="str">
        <f>"21902020071708534929343"</f>
        <v>21902020071708534929343</v>
      </c>
      <c r="C2413" s="8" t="s">
        <v>17</v>
      </c>
      <c r="D2413" s="8" t="str">
        <f>"邝小鹏"</f>
        <v>邝小鹏</v>
      </c>
      <c r="E2413" s="8" t="str">
        <f t="shared" si="251"/>
        <v>男</v>
      </c>
    </row>
    <row r="2414" spans="1:5" s="3" customFormat="1" ht="19.5" customHeight="1">
      <c r="A2414" s="8">
        <v>2412</v>
      </c>
      <c r="B2414" s="8" t="str">
        <f>"21902020071709061229349"</f>
        <v>21902020071709061229349</v>
      </c>
      <c r="C2414" s="8" t="s">
        <v>17</v>
      </c>
      <c r="D2414" s="8" t="str">
        <f>"黄斯琪"</f>
        <v>黄斯琪</v>
      </c>
      <c r="E2414" s="8" t="str">
        <f>"女"</f>
        <v>女</v>
      </c>
    </row>
    <row r="2415" spans="1:5" s="3" customFormat="1" ht="19.5" customHeight="1">
      <c r="A2415" s="8">
        <v>2413</v>
      </c>
      <c r="B2415" s="8" t="str">
        <f>"21902020071709090029354"</f>
        <v>21902020071709090029354</v>
      </c>
      <c r="C2415" s="8" t="s">
        <v>17</v>
      </c>
      <c r="D2415" s="8" t="str">
        <f>"符璐璐"</f>
        <v>符璐璐</v>
      </c>
      <c r="E2415" s="8" t="str">
        <f t="shared" si="251"/>
        <v>男</v>
      </c>
    </row>
    <row r="2416" spans="1:5" s="3" customFormat="1" ht="19.5" customHeight="1">
      <c r="A2416" s="8">
        <v>2414</v>
      </c>
      <c r="B2416" s="8" t="str">
        <f>"21902020071709255929368"</f>
        <v>21902020071709255929368</v>
      </c>
      <c r="C2416" s="8" t="s">
        <v>17</v>
      </c>
      <c r="D2416" s="8" t="str">
        <f>"谢广志"</f>
        <v>谢广志</v>
      </c>
      <c r="E2416" s="8" t="str">
        <f t="shared" si="251"/>
        <v>男</v>
      </c>
    </row>
    <row r="2417" spans="1:5" s="3" customFormat="1" ht="19.5" customHeight="1">
      <c r="A2417" s="8">
        <v>2415</v>
      </c>
      <c r="B2417" s="8" t="str">
        <f>"21902020071709294629369"</f>
        <v>21902020071709294629369</v>
      </c>
      <c r="C2417" s="8" t="s">
        <v>17</v>
      </c>
      <c r="D2417" s="8" t="str">
        <f>"陈恒旺"</f>
        <v>陈恒旺</v>
      </c>
      <c r="E2417" s="8" t="str">
        <f t="shared" si="251"/>
        <v>男</v>
      </c>
    </row>
    <row r="2418" spans="1:5" s="3" customFormat="1" ht="19.5" customHeight="1">
      <c r="A2418" s="8">
        <v>2416</v>
      </c>
      <c r="B2418" s="8" t="str">
        <f>"21902020071709331529370"</f>
        <v>21902020071709331529370</v>
      </c>
      <c r="C2418" s="8" t="s">
        <v>17</v>
      </c>
      <c r="D2418" s="8" t="str">
        <f>"陈彩凤"</f>
        <v>陈彩凤</v>
      </c>
      <c r="E2418" s="8" t="str">
        <f aca="true" t="shared" si="252" ref="E2418:E2421">"女"</f>
        <v>女</v>
      </c>
    </row>
    <row r="2419" spans="1:5" s="3" customFormat="1" ht="19.5" customHeight="1">
      <c r="A2419" s="8">
        <v>2417</v>
      </c>
      <c r="B2419" s="8" t="str">
        <f>"21902020071709414929375"</f>
        <v>21902020071709414929375</v>
      </c>
      <c r="C2419" s="8" t="s">
        <v>17</v>
      </c>
      <c r="D2419" s="8" t="str">
        <f>"王垂增"</f>
        <v>王垂增</v>
      </c>
      <c r="E2419" s="8" t="str">
        <f aca="true" t="shared" si="253" ref="E2419:E2425">"男"</f>
        <v>男</v>
      </c>
    </row>
    <row r="2420" spans="1:5" s="3" customFormat="1" ht="19.5" customHeight="1">
      <c r="A2420" s="8">
        <v>2418</v>
      </c>
      <c r="B2420" s="8" t="str">
        <f>"21902020071710183529404"</f>
        <v>21902020071710183529404</v>
      </c>
      <c r="C2420" s="8" t="s">
        <v>17</v>
      </c>
      <c r="D2420" s="8" t="str">
        <f>"陈善梅"</f>
        <v>陈善梅</v>
      </c>
      <c r="E2420" s="8" t="str">
        <f t="shared" si="252"/>
        <v>女</v>
      </c>
    </row>
    <row r="2421" spans="1:5" s="3" customFormat="1" ht="19.5" customHeight="1">
      <c r="A2421" s="8">
        <v>2419</v>
      </c>
      <c r="B2421" s="8" t="str">
        <f>"21902020071710441729418"</f>
        <v>21902020071710441729418</v>
      </c>
      <c r="C2421" s="8" t="s">
        <v>17</v>
      </c>
      <c r="D2421" s="8" t="str">
        <f>"宋虹瑶"</f>
        <v>宋虹瑶</v>
      </c>
      <c r="E2421" s="8" t="str">
        <f t="shared" si="252"/>
        <v>女</v>
      </c>
    </row>
    <row r="2422" spans="1:5" s="3" customFormat="1" ht="19.5" customHeight="1">
      <c r="A2422" s="8">
        <v>2420</v>
      </c>
      <c r="B2422" s="8" t="str">
        <f>"21902020071710465629420"</f>
        <v>21902020071710465629420</v>
      </c>
      <c r="C2422" s="8" t="s">
        <v>17</v>
      </c>
      <c r="D2422" s="8" t="str">
        <f>"陈盛祥"</f>
        <v>陈盛祥</v>
      </c>
      <c r="E2422" s="8" t="str">
        <f t="shared" si="253"/>
        <v>男</v>
      </c>
    </row>
    <row r="2423" spans="1:5" s="3" customFormat="1" ht="19.5" customHeight="1">
      <c r="A2423" s="8">
        <v>2421</v>
      </c>
      <c r="B2423" s="8" t="str">
        <f>"21902020071711052329437"</f>
        <v>21902020071711052329437</v>
      </c>
      <c r="C2423" s="8" t="s">
        <v>17</v>
      </c>
      <c r="D2423" s="8" t="str">
        <f>"薛万王"</f>
        <v>薛万王</v>
      </c>
      <c r="E2423" s="8" t="str">
        <f t="shared" si="253"/>
        <v>男</v>
      </c>
    </row>
    <row r="2424" spans="1:5" s="3" customFormat="1" ht="19.5" customHeight="1">
      <c r="A2424" s="8">
        <v>2422</v>
      </c>
      <c r="B2424" s="8" t="str">
        <f>"21902020071711312129458"</f>
        <v>21902020071711312129458</v>
      </c>
      <c r="C2424" s="8" t="s">
        <v>17</v>
      </c>
      <c r="D2424" s="8" t="str">
        <f>"杨煌"</f>
        <v>杨煌</v>
      </c>
      <c r="E2424" s="8" t="str">
        <f t="shared" si="253"/>
        <v>男</v>
      </c>
    </row>
    <row r="2425" spans="1:5" s="3" customFormat="1" ht="19.5" customHeight="1">
      <c r="A2425" s="8">
        <v>2423</v>
      </c>
      <c r="B2425" s="8" t="str">
        <f>"21902020071711414329464"</f>
        <v>21902020071711414329464</v>
      </c>
      <c r="C2425" s="8" t="s">
        <v>17</v>
      </c>
      <c r="D2425" s="8" t="str">
        <f>"刘文华"</f>
        <v>刘文华</v>
      </c>
      <c r="E2425" s="8" t="str">
        <f t="shared" si="253"/>
        <v>男</v>
      </c>
    </row>
    <row r="2426" spans="1:5" s="3" customFormat="1" ht="19.5" customHeight="1">
      <c r="A2426" s="8">
        <v>2424</v>
      </c>
      <c r="B2426" s="8" t="str">
        <f>"21902020071711465529469"</f>
        <v>21902020071711465529469</v>
      </c>
      <c r="C2426" s="8" t="s">
        <v>17</v>
      </c>
      <c r="D2426" s="8" t="str">
        <f>"李莹"</f>
        <v>李莹</v>
      </c>
      <c r="E2426" s="8" t="str">
        <f aca="true" t="shared" si="254" ref="E2426:E2430">"女"</f>
        <v>女</v>
      </c>
    </row>
    <row r="2427" spans="1:5" s="3" customFormat="1" ht="19.5" customHeight="1">
      <c r="A2427" s="8">
        <v>2425</v>
      </c>
      <c r="B2427" s="8" t="str">
        <f>"21902020071711492229472"</f>
        <v>21902020071711492229472</v>
      </c>
      <c r="C2427" s="8" t="s">
        <v>17</v>
      </c>
      <c r="D2427" s="8" t="str">
        <f>"黄传泷"</f>
        <v>黄传泷</v>
      </c>
      <c r="E2427" s="8" t="str">
        <f>"男"</f>
        <v>男</v>
      </c>
    </row>
    <row r="2428" spans="1:5" s="3" customFormat="1" ht="19.5" customHeight="1">
      <c r="A2428" s="8">
        <v>2426</v>
      </c>
      <c r="B2428" s="8" t="str">
        <f>"21902020071712101429489"</f>
        <v>21902020071712101429489</v>
      </c>
      <c r="C2428" s="8" t="s">
        <v>17</v>
      </c>
      <c r="D2428" s="8" t="str">
        <f>"黄琼川"</f>
        <v>黄琼川</v>
      </c>
      <c r="E2428" s="8" t="str">
        <f t="shared" si="254"/>
        <v>女</v>
      </c>
    </row>
    <row r="2429" spans="1:5" s="3" customFormat="1" ht="19.5" customHeight="1">
      <c r="A2429" s="8">
        <v>2427</v>
      </c>
      <c r="B2429" s="8" t="str">
        <f>"21902020071712455729504"</f>
        <v>21902020071712455729504</v>
      </c>
      <c r="C2429" s="8" t="s">
        <v>17</v>
      </c>
      <c r="D2429" s="8" t="str">
        <f>"羊钰"</f>
        <v>羊钰</v>
      </c>
      <c r="E2429" s="8" t="str">
        <f t="shared" si="254"/>
        <v>女</v>
      </c>
    </row>
    <row r="2430" spans="1:5" s="3" customFormat="1" ht="19.5" customHeight="1">
      <c r="A2430" s="8">
        <v>2428</v>
      </c>
      <c r="B2430" s="8" t="str">
        <f>"21902020071713143429519"</f>
        <v>21902020071713143429519</v>
      </c>
      <c r="C2430" s="8" t="s">
        <v>17</v>
      </c>
      <c r="D2430" s="8" t="str">
        <f>"张丽丽"</f>
        <v>张丽丽</v>
      </c>
      <c r="E2430" s="8" t="str">
        <f t="shared" si="254"/>
        <v>女</v>
      </c>
    </row>
    <row r="2431" spans="1:5" s="3" customFormat="1" ht="19.5" customHeight="1">
      <c r="A2431" s="8">
        <v>2429</v>
      </c>
      <c r="B2431" s="8" t="str">
        <f>"21902020071713272929524"</f>
        <v>21902020071713272929524</v>
      </c>
      <c r="C2431" s="8" t="s">
        <v>17</v>
      </c>
      <c r="D2431" s="8" t="str">
        <f>"刘宇恒"</f>
        <v>刘宇恒</v>
      </c>
      <c r="E2431" s="8" t="str">
        <f>"男"</f>
        <v>男</v>
      </c>
    </row>
    <row r="2432" spans="1:5" s="3" customFormat="1" ht="19.5" customHeight="1">
      <c r="A2432" s="8">
        <v>2430</v>
      </c>
      <c r="B2432" s="8" t="str">
        <f>"21902020071713415429530"</f>
        <v>21902020071713415429530</v>
      </c>
      <c r="C2432" s="8" t="s">
        <v>17</v>
      </c>
      <c r="D2432" s="8" t="str">
        <f>"高秀霞"</f>
        <v>高秀霞</v>
      </c>
      <c r="E2432" s="8" t="str">
        <f aca="true" t="shared" si="255" ref="E2432:E2436">"女"</f>
        <v>女</v>
      </c>
    </row>
    <row r="2433" spans="1:5" s="3" customFormat="1" ht="19.5" customHeight="1">
      <c r="A2433" s="8">
        <v>2431</v>
      </c>
      <c r="B2433" s="8" t="str">
        <f>"21902020071713424229532"</f>
        <v>21902020071713424229532</v>
      </c>
      <c r="C2433" s="8" t="s">
        <v>17</v>
      </c>
      <c r="D2433" s="8" t="str">
        <f>"李道年"</f>
        <v>李道年</v>
      </c>
      <c r="E2433" s="8" t="str">
        <f aca="true" t="shared" si="256" ref="E2433:E2439">"男"</f>
        <v>男</v>
      </c>
    </row>
    <row r="2434" spans="1:5" s="3" customFormat="1" ht="19.5" customHeight="1">
      <c r="A2434" s="8">
        <v>2432</v>
      </c>
      <c r="B2434" s="8" t="str">
        <f>"21902020071714410429559"</f>
        <v>21902020071714410429559</v>
      </c>
      <c r="C2434" s="8" t="s">
        <v>17</v>
      </c>
      <c r="D2434" s="8" t="str">
        <f>"李俊"</f>
        <v>李俊</v>
      </c>
      <c r="E2434" s="8" t="str">
        <f t="shared" si="255"/>
        <v>女</v>
      </c>
    </row>
    <row r="2435" spans="1:5" s="3" customFormat="1" ht="19.5" customHeight="1">
      <c r="A2435" s="8">
        <v>2433</v>
      </c>
      <c r="B2435" s="8" t="str">
        <f>"21902020071715004429571"</f>
        <v>21902020071715004429571</v>
      </c>
      <c r="C2435" s="8" t="s">
        <v>17</v>
      </c>
      <c r="D2435" s="8" t="str">
        <f>"朱艺莹"</f>
        <v>朱艺莹</v>
      </c>
      <c r="E2435" s="8" t="str">
        <f t="shared" si="255"/>
        <v>女</v>
      </c>
    </row>
    <row r="2436" spans="1:5" s="3" customFormat="1" ht="19.5" customHeight="1">
      <c r="A2436" s="8">
        <v>2434</v>
      </c>
      <c r="B2436" s="8" t="str">
        <f>"21902020071715123329581"</f>
        <v>21902020071715123329581</v>
      </c>
      <c r="C2436" s="8" t="s">
        <v>17</v>
      </c>
      <c r="D2436" s="8" t="str">
        <f>"吴惠妃"</f>
        <v>吴惠妃</v>
      </c>
      <c r="E2436" s="8" t="str">
        <f t="shared" si="255"/>
        <v>女</v>
      </c>
    </row>
    <row r="2437" spans="1:5" s="3" customFormat="1" ht="19.5" customHeight="1">
      <c r="A2437" s="8">
        <v>2435</v>
      </c>
      <c r="B2437" s="8" t="str">
        <f>"21902020071715185629584"</f>
        <v>21902020071715185629584</v>
      </c>
      <c r="C2437" s="8" t="s">
        <v>17</v>
      </c>
      <c r="D2437" s="8" t="str">
        <f>"曾琼杰"</f>
        <v>曾琼杰</v>
      </c>
      <c r="E2437" s="8" t="str">
        <f t="shared" si="256"/>
        <v>男</v>
      </c>
    </row>
    <row r="2438" spans="1:5" s="3" customFormat="1" ht="19.5" customHeight="1">
      <c r="A2438" s="8">
        <v>2436</v>
      </c>
      <c r="B2438" s="8" t="str">
        <f>"21902020071715302629595"</f>
        <v>21902020071715302629595</v>
      </c>
      <c r="C2438" s="8" t="s">
        <v>17</v>
      </c>
      <c r="D2438" s="8" t="str">
        <f>"刘书亮"</f>
        <v>刘书亮</v>
      </c>
      <c r="E2438" s="8" t="str">
        <f t="shared" si="256"/>
        <v>男</v>
      </c>
    </row>
    <row r="2439" spans="1:5" s="3" customFormat="1" ht="19.5" customHeight="1">
      <c r="A2439" s="8">
        <v>2437</v>
      </c>
      <c r="B2439" s="8" t="str">
        <f>"21902020071715312529596"</f>
        <v>21902020071715312529596</v>
      </c>
      <c r="C2439" s="8" t="s">
        <v>17</v>
      </c>
      <c r="D2439" s="8" t="str">
        <f>"简明普"</f>
        <v>简明普</v>
      </c>
      <c r="E2439" s="8" t="str">
        <f t="shared" si="256"/>
        <v>男</v>
      </c>
    </row>
    <row r="2440" spans="1:5" s="3" customFormat="1" ht="19.5" customHeight="1">
      <c r="A2440" s="8">
        <v>2438</v>
      </c>
      <c r="B2440" s="8" t="str">
        <f>"21902020071715335129598"</f>
        <v>21902020071715335129598</v>
      </c>
      <c r="C2440" s="8" t="s">
        <v>17</v>
      </c>
      <c r="D2440" s="8" t="str">
        <f>"符庆珠"</f>
        <v>符庆珠</v>
      </c>
      <c r="E2440" s="8" t="str">
        <f aca="true" t="shared" si="257" ref="E2440:E2442">"女"</f>
        <v>女</v>
      </c>
    </row>
    <row r="2441" spans="1:5" s="3" customFormat="1" ht="19.5" customHeight="1">
      <c r="A2441" s="8">
        <v>2439</v>
      </c>
      <c r="B2441" s="8" t="str">
        <f>"21902020071715575529616"</f>
        <v>21902020071715575529616</v>
      </c>
      <c r="C2441" s="8" t="s">
        <v>17</v>
      </c>
      <c r="D2441" s="8" t="str">
        <f>"梁对子"</f>
        <v>梁对子</v>
      </c>
      <c r="E2441" s="8" t="str">
        <f t="shared" si="257"/>
        <v>女</v>
      </c>
    </row>
    <row r="2442" spans="1:5" s="3" customFormat="1" ht="19.5" customHeight="1">
      <c r="A2442" s="8">
        <v>2440</v>
      </c>
      <c r="B2442" s="8" t="str">
        <f>"21902020071716132129626"</f>
        <v>21902020071716132129626</v>
      </c>
      <c r="C2442" s="8" t="s">
        <v>17</v>
      </c>
      <c r="D2442" s="8" t="str">
        <f>"张彩丹"</f>
        <v>张彩丹</v>
      </c>
      <c r="E2442" s="8" t="str">
        <f t="shared" si="257"/>
        <v>女</v>
      </c>
    </row>
    <row r="2443" spans="1:5" s="3" customFormat="1" ht="19.5" customHeight="1">
      <c r="A2443" s="8">
        <v>2441</v>
      </c>
      <c r="B2443" s="8" t="str">
        <f>"21902020071716145729629"</f>
        <v>21902020071716145729629</v>
      </c>
      <c r="C2443" s="8" t="s">
        <v>17</v>
      </c>
      <c r="D2443" s="8" t="str">
        <f>"吴加榜"</f>
        <v>吴加榜</v>
      </c>
      <c r="E2443" s="8" t="str">
        <f aca="true" t="shared" si="258" ref="E2443:E2446">"男"</f>
        <v>男</v>
      </c>
    </row>
    <row r="2444" spans="1:5" s="3" customFormat="1" ht="19.5" customHeight="1">
      <c r="A2444" s="8">
        <v>2442</v>
      </c>
      <c r="B2444" s="8" t="str">
        <f>"21902020071716275829644"</f>
        <v>21902020071716275829644</v>
      </c>
      <c r="C2444" s="8" t="s">
        <v>17</v>
      </c>
      <c r="D2444" s="8" t="str">
        <f>"唐必文"</f>
        <v>唐必文</v>
      </c>
      <c r="E2444" s="8" t="str">
        <f t="shared" si="258"/>
        <v>男</v>
      </c>
    </row>
    <row r="2445" spans="1:5" s="3" customFormat="1" ht="19.5" customHeight="1">
      <c r="A2445" s="8">
        <v>2443</v>
      </c>
      <c r="B2445" s="8" t="str">
        <f>"21902020071716321729646"</f>
        <v>21902020071716321729646</v>
      </c>
      <c r="C2445" s="8" t="s">
        <v>17</v>
      </c>
      <c r="D2445" s="8" t="str">
        <f>"羊淑联"</f>
        <v>羊淑联</v>
      </c>
      <c r="E2445" s="8" t="str">
        <f aca="true" t="shared" si="259" ref="E2445:E2448">"女"</f>
        <v>女</v>
      </c>
    </row>
    <row r="2446" spans="1:5" s="3" customFormat="1" ht="19.5" customHeight="1">
      <c r="A2446" s="8">
        <v>2444</v>
      </c>
      <c r="B2446" s="8" t="str">
        <f>"21902020071716553129658"</f>
        <v>21902020071716553129658</v>
      </c>
      <c r="C2446" s="8" t="s">
        <v>17</v>
      </c>
      <c r="D2446" s="8" t="str">
        <f>"李畅卿"</f>
        <v>李畅卿</v>
      </c>
      <c r="E2446" s="8" t="str">
        <f t="shared" si="258"/>
        <v>男</v>
      </c>
    </row>
    <row r="2447" spans="1:5" s="3" customFormat="1" ht="19.5" customHeight="1">
      <c r="A2447" s="8">
        <v>2445</v>
      </c>
      <c r="B2447" s="8" t="str">
        <f>"21902020071717025629664"</f>
        <v>21902020071717025629664</v>
      </c>
      <c r="C2447" s="8" t="s">
        <v>17</v>
      </c>
      <c r="D2447" s="8" t="str">
        <f>"吴克娥"</f>
        <v>吴克娥</v>
      </c>
      <c r="E2447" s="8" t="str">
        <f t="shared" si="259"/>
        <v>女</v>
      </c>
    </row>
    <row r="2448" spans="1:5" s="3" customFormat="1" ht="19.5" customHeight="1">
      <c r="A2448" s="8">
        <v>2446</v>
      </c>
      <c r="B2448" s="8" t="str">
        <f>"21902020071717073129667"</f>
        <v>21902020071717073129667</v>
      </c>
      <c r="C2448" s="8" t="s">
        <v>17</v>
      </c>
      <c r="D2448" s="8" t="str">
        <f>"吴江霞"</f>
        <v>吴江霞</v>
      </c>
      <c r="E2448" s="8" t="str">
        <f t="shared" si="259"/>
        <v>女</v>
      </c>
    </row>
    <row r="2449" spans="1:5" s="3" customFormat="1" ht="19.5" customHeight="1">
      <c r="A2449" s="8">
        <v>2447</v>
      </c>
      <c r="B2449" s="8" t="str">
        <f>"21902020071718200629701"</f>
        <v>21902020071718200629701</v>
      </c>
      <c r="C2449" s="8" t="s">
        <v>17</v>
      </c>
      <c r="D2449" s="8" t="str">
        <f>"黄景文"</f>
        <v>黄景文</v>
      </c>
      <c r="E2449" s="8" t="str">
        <f aca="true" t="shared" si="260" ref="E2449:E2455">"男"</f>
        <v>男</v>
      </c>
    </row>
    <row r="2450" spans="1:5" s="3" customFormat="1" ht="19.5" customHeight="1">
      <c r="A2450" s="8">
        <v>2448</v>
      </c>
      <c r="B2450" s="8" t="str">
        <f>"21902020071718423629710"</f>
        <v>21902020071718423629710</v>
      </c>
      <c r="C2450" s="8" t="s">
        <v>17</v>
      </c>
      <c r="D2450" s="8" t="str">
        <f>"符金妹"</f>
        <v>符金妹</v>
      </c>
      <c r="E2450" s="8" t="str">
        <f aca="true" t="shared" si="261" ref="E2450:E2453">"女"</f>
        <v>女</v>
      </c>
    </row>
    <row r="2451" spans="1:5" s="3" customFormat="1" ht="19.5" customHeight="1">
      <c r="A2451" s="8">
        <v>2449</v>
      </c>
      <c r="B2451" s="8" t="str">
        <f>"21902020071718424329711"</f>
        <v>21902020071718424329711</v>
      </c>
      <c r="C2451" s="8" t="s">
        <v>17</v>
      </c>
      <c r="D2451" s="8" t="str">
        <f>"许勋"</f>
        <v>许勋</v>
      </c>
      <c r="E2451" s="8" t="str">
        <f t="shared" si="260"/>
        <v>男</v>
      </c>
    </row>
    <row r="2452" spans="1:5" s="3" customFormat="1" ht="19.5" customHeight="1">
      <c r="A2452" s="8">
        <v>2450</v>
      </c>
      <c r="B2452" s="8" t="str">
        <f>"21902020071718474529713"</f>
        <v>21902020071718474529713</v>
      </c>
      <c r="C2452" s="8" t="s">
        <v>17</v>
      </c>
      <c r="D2452" s="8" t="str">
        <f>"符诗颖"</f>
        <v>符诗颖</v>
      </c>
      <c r="E2452" s="8" t="str">
        <f t="shared" si="261"/>
        <v>女</v>
      </c>
    </row>
    <row r="2453" spans="1:5" s="3" customFormat="1" ht="19.5" customHeight="1">
      <c r="A2453" s="8">
        <v>2451</v>
      </c>
      <c r="B2453" s="8" t="str">
        <f>"21902020071720401529737"</f>
        <v>21902020071720401529737</v>
      </c>
      <c r="C2453" s="8" t="s">
        <v>17</v>
      </c>
      <c r="D2453" s="8" t="str">
        <f>"唐健丽"</f>
        <v>唐健丽</v>
      </c>
      <c r="E2453" s="8" t="str">
        <f t="shared" si="261"/>
        <v>女</v>
      </c>
    </row>
    <row r="2454" spans="1:5" s="3" customFormat="1" ht="19.5" customHeight="1">
      <c r="A2454" s="8">
        <v>2452</v>
      </c>
      <c r="B2454" s="8" t="str">
        <f>"21902020071720445329740"</f>
        <v>21902020071720445329740</v>
      </c>
      <c r="C2454" s="8" t="s">
        <v>17</v>
      </c>
      <c r="D2454" s="8" t="str">
        <f>"谢宝家"</f>
        <v>谢宝家</v>
      </c>
      <c r="E2454" s="8" t="str">
        <f t="shared" si="260"/>
        <v>男</v>
      </c>
    </row>
    <row r="2455" spans="1:5" s="3" customFormat="1" ht="19.5" customHeight="1">
      <c r="A2455" s="8">
        <v>2453</v>
      </c>
      <c r="B2455" s="8" t="str">
        <f>"21902020071721081329748"</f>
        <v>21902020071721081329748</v>
      </c>
      <c r="C2455" s="8" t="s">
        <v>17</v>
      </c>
      <c r="D2455" s="8" t="str">
        <f>"唐殿邦"</f>
        <v>唐殿邦</v>
      </c>
      <c r="E2455" s="8" t="str">
        <f t="shared" si="260"/>
        <v>男</v>
      </c>
    </row>
    <row r="2456" spans="1:5" s="3" customFormat="1" ht="19.5" customHeight="1">
      <c r="A2456" s="8">
        <v>2454</v>
      </c>
      <c r="B2456" s="8" t="str">
        <f>"21902020071723220329793"</f>
        <v>21902020071723220329793</v>
      </c>
      <c r="C2456" s="8" t="s">
        <v>17</v>
      </c>
      <c r="D2456" s="8" t="str">
        <f>"杨鸿毓"</f>
        <v>杨鸿毓</v>
      </c>
      <c r="E2456" s="8" t="str">
        <f aca="true" t="shared" si="262" ref="E2456:E2462">"女"</f>
        <v>女</v>
      </c>
    </row>
    <row r="2457" spans="1:5" s="3" customFormat="1" ht="19.5" customHeight="1">
      <c r="A2457" s="8">
        <v>2455</v>
      </c>
      <c r="B2457" s="8" t="str">
        <f>"21902020071800220129801"</f>
        <v>21902020071800220129801</v>
      </c>
      <c r="C2457" s="8" t="s">
        <v>17</v>
      </c>
      <c r="D2457" s="8" t="str">
        <f>"邢贻清"</f>
        <v>邢贻清</v>
      </c>
      <c r="E2457" s="8" t="str">
        <f>"男"</f>
        <v>男</v>
      </c>
    </row>
    <row r="2458" spans="1:5" s="3" customFormat="1" ht="19.5" customHeight="1">
      <c r="A2458" s="8">
        <v>2456</v>
      </c>
      <c r="B2458" s="8" t="str">
        <f>"21902020071807525029808"</f>
        <v>21902020071807525029808</v>
      </c>
      <c r="C2458" s="8" t="s">
        <v>17</v>
      </c>
      <c r="D2458" s="8" t="str">
        <f>"郑雪彪"</f>
        <v>郑雪彪</v>
      </c>
      <c r="E2458" s="8" t="str">
        <f>"男"</f>
        <v>男</v>
      </c>
    </row>
    <row r="2459" spans="1:5" s="3" customFormat="1" ht="19.5" customHeight="1">
      <c r="A2459" s="8">
        <v>2457</v>
      </c>
      <c r="B2459" s="8" t="str">
        <f>"21902020071808283129812"</f>
        <v>21902020071808283129812</v>
      </c>
      <c r="C2459" s="8" t="s">
        <v>17</v>
      </c>
      <c r="D2459" s="8" t="str">
        <f>"杨舒花"</f>
        <v>杨舒花</v>
      </c>
      <c r="E2459" s="8" t="str">
        <f t="shared" si="262"/>
        <v>女</v>
      </c>
    </row>
    <row r="2460" spans="1:5" s="3" customFormat="1" ht="19.5" customHeight="1">
      <c r="A2460" s="8">
        <v>2458</v>
      </c>
      <c r="B2460" s="8" t="str">
        <f>"21902020071808442929814"</f>
        <v>21902020071808442929814</v>
      </c>
      <c r="C2460" s="8" t="s">
        <v>17</v>
      </c>
      <c r="D2460" s="8" t="str">
        <f>"高芳兰"</f>
        <v>高芳兰</v>
      </c>
      <c r="E2460" s="8" t="str">
        <f t="shared" si="262"/>
        <v>女</v>
      </c>
    </row>
    <row r="2461" spans="1:5" s="3" customFormat="1" ht="19.5" customHeight="1">
      <c r="A2461" s="8">
        <v>2459</v>
      </c>
      <c r="B2461" s="8" t="str">
        <f>"21902020071808573929816"</f>
        <v>21902020071808573929816</v>
      </c>
      <c r="C2461" s="8" t="s">
        <v>17</v>
      </c>
      <c r="D2461" s="8" t="str">
        <f>"曾光妍"</f>
        <v>曾光妍</v>
      </c>
      <c r="E2461" s="8" t="str">
        <f t="shared" si="262"/>
        <v>女</v>
      </c>
    </row>
    <row r="2462" spans="1:5" s="3" customFormat="1" ht="19.5" customHeight="1">
      <c r="A2462" s="8">
        <v>2460</v>
      </c>
      <c r="B2462" s="8" t="str">
        <f>"21902020071809364629826"</f>
        <v>21902020071809364629826</v>
      </c>
      <c r="C2462" s="8" t="s">
        <v>17</v>
      </c>
      <c r="D2462" s="8" t="str">
        <f>"刘延丹"</f>
        <v>刘延丹</v>
      </c>
      <c r="E2462" s="8" t="str">
        <f t="shared" si="262"/>
        <v>女</v>
      </c>
    </row>
    <row r="2463" spans="1:5" s="3" customFormat="1" ht="19.5" customHeight="1">
      <c r="A2463" s="8">
        <v>2461</v>
      </c>
      <c r="B2463" s="8" t="str">
        <f>"21902020071810071729831"</f>
        <v>21902020071810071729831</v>
      </c>
      <c r="C2463" s="8" t="s">
        <v>17</v>
      </c>
      <c r="D2463" s="8" t="str">
        <f>"易德"</f>
        <v>易德</v>
      </c>
      <c r="E2463" s="8" t="str">
        <f aca="true" t="shared" si="263" ref="E2463:E2469">"男"</f>
        <v>男</v>
      </c>
    </row>
    <row r="2464" spans="1:5" s="3" customFormat="1" ht="19.5" customHeight="1">
      <c r="A2464" s="8">
        <v>2462</v>
      </c>
      <c r="B2464" s="8" t="str">
        <f>"21902020071810293729845"</f>
        <v>21902020071810293729845</v>
      </c>
      <c r="C2464" s="8" t="s">
        <v>17</v>
      </c>
      <c r="D2464" s="8" t="str">
        <f>"郑凤爱"</f>
        <v>郑凤爱</v>
      </c>
      <c r="E2464" s="8" t="str">
        <f aca="true" t="shared" si="264" ref="E2464:E2466">"女"</f>
        <v>女</v>
      </c>
    </row>
    <row r="2465" spans="1:5" s="3" customFormat="1" ht="19.5" customHeight="1">
      <c r="A2465" s="8">
        <v>2463</v>
      </c>
      <c r="B2465" s="8" t="str">
        <f>"21902020071810545129859"</f>
        <v>21902020071810545129859</v>
      </c>
      <c r="C2465" s="8" t="s">
        <v>17</v>
      </c>
      <c r="D2465" s="8" t="str">
        <f>"谢美月"</f>
        <v>谢美月</v>
      </c>
      <c r="E2465" s="8" t="str">
        <f t="shared" si="264"/>
        <v>女</v>
      </c>
    </row>
    <row r="2466" spans="1:5" s="3" customFormat="1" ht="19.5" customHeight="1">
      <c r="A2466" s="8">
        <v>2464</v>
      </c>
      <c r="B2466" s="8" t="str">
        <f>"21902020071811055029866"</f>
        <v>21902020071811055029866</v>
      </c>
      <c r="C2466" s="8" t="s">
        <v>17</v>
      </c>
      <c r="D2466" s="8" t="str">
        <f>"陈慧滢"</f>
        <v>陈慧滢</v>
      </c>
      <c r="E2466" s="8" t="str">
        <f t="shared" si="264"/>
        <v>女</v>
      </c>
    </row>
    <row r="2467" spans="1:5" s="3" customFormat="1" ht="19.5" customHeight="1">
      <c r="A2467" s="8">
        <v>2465</v>
      </c>
      <c r="B2467" s="8" t="str">
        <f>"21902020071811435929878"</f>
        <v>21902020071811435929878</v>
      </c>
      <c r="C2467" s="8" t="s">
        <v>17</v>
      </c>
      <c r="D2467" s="8" t="str">
        <f>"谢琼智"</f>
        <v>谢琼智</v>
      </c>
      <c r="E2467" s="8" t="str">
        <f t="shared" si="263"/>
        <v>男</v>
      </c>
    </row>
    <row r="2468" spans="1:5" s="3" customFormat="1" ht="19.5" customHeight="1">
      <c r="A2468" s="8">
        <v>2466</v>
      </c>
      <c r="B2468" s="8" t="str">
        <f>"21902020071814025229921"</f>
        <v>21902020071814025229921</v>
      </c>
      <c r="C2468" s="8" t="s">
        <v>17</v>
      </c>
      <c r="D2468" s="8" t="str">
        <f>"郑进柏"</f>
        <v>郑进柏</v>
      </c>
      <c r="E2468" s="8" t="str">
        <f t="shared" si="263"/>
        <v>男</v>
      </c>
    </row>
    <row r="2469" spans="1:5" s="3" customFormat="1" ht="19.5" customHeight="1">
      <c r="A2469" s="8">
        <v>2467</v>
      </c>
      <c r="B2469" s="8" t="str">
        <f>"21902020071814191529928"</f>
        <v>21902020071814191529928</v>
      </c>
      <c r="C2469" s="8" t="s">
        <v>17</v>
      </c>
      <c r="D2469" s="8" t="str">
        <f>"符海杰"</f>
        <v>符海杰</v>
      </c>
      <c r="E2469" s="8" t="str">
        <f t="shared" si="263"/>
        <v>男</v>
      </c>
    </row>
    <row r="2470" spans="1:5" s="3" customFormat="1" ht="19.5" customHeight="1">
      <c r="A2470" s="8">
        <v>2468</v>
      </c>
      <c r="B2470" s="8" t="str">
        <f>"21902020071814262929932"</f>
        <v>21902020071814262929932</v>
      </c>
      <c r="C2470" s="8" t="s">
        <v>17</v>
      </c>
      <c r="D2470" s="8" t="str">
        <f>"符为春"</f>
        <v>符为春</v>
      </c>
      <c r="E2470" s="8" t="str">
        <f aca="true" t="shared" si="265" ref="E2470:E2474">"女"</f>
        <v>女</v>
      </c>
    </row>
    <row r="2471" spans="1:5" s="3" customFormat="1" ht="19.5" customHeight="1">
      <c r="A2471" s="8">
        <v>2469</v>
      </c>
      <c r="B2471" s="8" t="str">
        <f>"21902020071815345629951"</f>
        <v>21902020071815345629951</v>
      </c>
      <c r="C2471" s="8" t="s">
        <v>17</v>
      </c>
      <c r="D2471" s="8" t="str">
        <f>"黄钊权"</f>
        <v>黄钊权</v>
      </c>
      <c r="E2471" s="8" t="str">
        <f>"男"</f>
        <v>男</v>
      </c>
    </row>
    <row r="2472" spans="1:5" s="3" customFormat="1" ht="19.5" customHeight="1">
      <c r="A2472" s="8">
        <v>2470</v>
      </c>
      <c r="B2472" s="8" t="str">
        <f>"21902020071815463929959"</f>
        <v>21902020071815463929959</v>
      </c>
      <c r="C2472" s="8" t="s">
        <v>17</v>
      </c>
      <c r="D2472" s="8" t="str">
        <f>"邓昭君"</f>
        <v>邓昭君</v>
      </c>
      <c r="E2472" s="8" t="str">
        <f t="shared" si="265"/>
        <v>女</v>
      </c>
    </row>
    <row r="2473" spans="1:5" s="3" customFormat="1" ht="19.5" customHeight="1">
      <c r="A2473" s="8">
        <v>2471</v>
      </c>
      <c r="B2473" s="8" t="str">
        <f>"21902020071816110429968"</f>
        <v>21902020071816110429968</v>
      </c>
      <c r="C2473" s="8" t="s">
        <v>17</v>
      </c>
      <c r="D2473" s="8" t="str">
        <f>"符丽婷"</f>
        <v>符丽婷</v>
      </c>
      <c r="E2473" s="8" t="str">
        <f t="shared" si="265"/>
        <v>女</v>
      </c>
    </row>
    <row r="2474" spans="1:5" s="3" customFormat="1" ht="19.5" customHeight="1">
      <c r="A2474" s="8">
        <v>2472</v>
      </c>
      <c r="B2474" s="8" t="str">
        <f>"21902020071816383629972"</f>
        <v>21902020071816383629972</v>
      </c>
      <c r="C2474" s="8" t="s">
        <v>17</v>
      </c>
      <c r="D2474" s="8" t="str">
        <f>"朱梅静"</f>
        <v>朱梅静</v>
      </c>
      <c r="E2474" s="8" t="str">
        <f t="shared" si="265"/>
        <v>女</v>
      </c>
    </row>
    <row r="2475" spans="1:5" s="3" customFormat="1" ht="19.5" customHeight="1">
      <c r="A2475" s="8">
        <v>2473</v>
      </c>
      <c r="B2475" s="8" t="str">
        <f>"21902020071816573129976"</f>
        <v>21902020071816573129976</v>
      </c>
      <c r="C2475" s="8" t="s">
        <v>17</v>
      </c>
      <c r="D2475" s="8" t="str">
        <f>"钟杰道"</f>
        <v>钟杰道</v>
      </c>
      <c r="E2475" s="8" t="str">
        <f aca="true" t="shared" si="266" ref="E2475:E2478">"男"</f>
        <v>男</v>
      </c>
    </row>
    <row r="2476" spans="1:5" s="3" customFormat="1" ht="19.5" customHeight="1">
      <c r="A2476" s="8">
        <v>2474</v>
      </c>
      <c r="B2476" s="8" t="str">
        <f>"21902020071817144229983"</f>
        <v>21902020071817144229983</v>
      </c>
      <c r="C2476" s="8" t="s">
        <v>17</v>
      </c>
      <c r="D2476" s="8" t="str">
        <f>"陈秀妹"</f>
        <v>陈秀妹</v>
      </c>
      <c r="E2476" s="8" t="str">
        <f aca="true" t="shared" si="267" ref="E2476:E2480">"女"</f>
        <v>女</v>
      </c>
    </row>
    <row r="2477" spans="1:5" s="3" customFormat="1" ht="19.5" customHeight="1">
      <c r="A2477" s="8">
        <v>2475</v>
      </c>
      <c r="B2477" s="8" t="str">
        <f>"21902020071818403230003"</f>
        <v>21902020071818403230003</v>
      </c>
      <c r="C2477" s="8" t="s">
        <v>17</v>
      </c>
      <c r="D2477" s="8" t="str">
        <f>"陈伯献"</f>
        <v>陈伯献</v>
      </c>
      <c r="E2477" s="8" t="str">
        <f t="shared" si="266"/>
        <v>男</v>
      </c>
    </row>
    <row r="2478" spans="1:5" s="3" customFormat="1" ht="19.5" customHeight="1">
      <c r="A2478" s="8">
        <v>2476</v>
      </c>
      <c r="B2478" s="8" t="str">
        <f>"21902020071818442330004"</f>
        <v>21902020071818442330004</v>
      </c>
      <c r="C2478" s="8" t="s">
        <v>17</v>
      </c>
      <c r="D2478" s="8" t="str">
        <f>"李运仁"</f>
        <v>李运仁</v>
      </c>
      <c r="E2478" s="8" t="str">
        <f t="shared" si="266"/>
        <v>男</v>
      </c>
    </row>
    <row r="2479" spans="1:5" s="3" customFormat="1" ht="19.5" customHeight="1">
      <c r="A2479" s="8">
        <v>2477</v>
      </c>
      <c r="B2479" s="8" t="str">
        <f>"21902020071818524030008"</f>
        <v>21902020071818524030008</v>
      </c>
      <c r="C2479" s="8" t="s">
        <v>17</v>
      </c>
      <c r="D2479" s="8" t="str">
        <f>"陈喜丽"</f>
        <v>陈喜丽</v>
      </c>
      <c r="E2479" s="8" t="str">
        <f t="shared" si="267"/>
        <v>女</v>
      </c>
    </row>
    <row r="2480" spans="1:5" s="3" customFormat="1" ht="19.5" customHeight="1">
      <c r="A2480" s="8">
        <v>2478</v>
      </c>
      <c r="B2480" s="8" t="str">
        <f>"21902020071820094730028"</f>
        <v>21902020071820094730028</v>
      </c>
      <c r="C2480" s="8" t="s">
        <v>17</v>
      </c>
      <c r="D2480" s="8" t="str">
        <f>"陈水妹"</f>
        <v>陈水妹</v>
      </c>
      <c r="E2480" s="8" t="str">
        <f t="shared" si="267"/>
        <v>女</v>
      </c>
    </row>
    <row r="2481" spans="1:5" s="3" customFormat="1" ht="19.5" customHeight="1">
      <c r="A2481" s="8">
        <v>2479</v>
      </c>
      <c r="B2481" s="8" t="str">
        <f>"21902020071820431530035"</f>
        <v>21902020071820431530035</v>
      </c>
      <c r="C2481" s="8" t="s">
        <v>17</v>
      </c>
      <c r="D2481" s="8" t="str">
        <f>"苏天龙"</f>
        <v>苏天龙</v>
      </c>
      <c r="E2481" s="8" t="str">
        <f>"男"</f>
        <v>男</v>
      </c>
    </row>
    <row r="2482" spans="1:5" s="3" customFormat="1" ht="19.5" customHeight="1">
      <c r="A2482" s="8">
        <v>2480</v>
      </c>
      <c r="B2482" s="8" t="str">
        <f>"21902020071820551130038"</f>
        <v>21902020071820551130038</v>
      </c>
      <c r="C2482" s="8" t="s">
        <v>17</v>
      </c>
      <c r="D2482" s="8" t="str">
        <f>"郑秋婷"</f>
        <v>郑秋婷</v>
      </c>
      <c r="E2482" s="8" t="str">
        <f aca="true" t="shared" si="268" ref="E2482:E2484">"女"</f>
        <v>女</v>
      </c>
    </row>
    <row r="2483" spans="1:5" s="3" customFormat="1" ht="19.5" customHeight="1">
      <c r="A2483" s="8">
        <v>2481</v>
      </c>
      <c r="B2483" s="8" t="str">
        <f>"21902020071821155130045"</f>
        <v>21902020071821155130045</v>
      </c>
      <c r="C2483" s="8" t="s">
        <v>17</v>
      </c>
      <c r="D2483" s="8" t="str">
        <f>"陈花茂"</f>
        <v>陈花茂</v>
      </c>
      <c r="E2483" s="8" t="str">
        <f t="shared" si="268"/>
        <v>女</v>
      </c>
    </row>
    <row r="2484" spans="1:5" s="3" customFormat="1" ht="19.5" customHeight="1">
      <c r="A2484" s="8">
        <v>2482</v>
      </c>
      <c r="B2484" s="8" t="str">
        <f>"21902020071823005130070"</f>
        <v>21902020071823005130070</v>
      </c>
      <c r="C2484" s="8" t="s">
        <v>17</v>
      </c>
      <c r="D2484" s="8" t="str">
        <f>"刘静妃"</f>
        <v>刘静妃</v>
      </c>
      <c r="E2484" s="8" t="str">
        <f t="shared" si="268"/>
        <v>女</v>
      </c>
    </row>
    <row r="2485" spans="1:5" s="3" customFormat="1" ht="19.5" customHeight="1">
      <c r="A2485" s="8">
        <v>2483</v>
      </c>
      <c r="B2485" s="8" t="str">
        <f>"21902020071900104730078"</f>
        <v>21902020071900104730078</v>
      </c>
      <c r="C2485" s="8" t="s">
        <v>17</v>
      </c>
      <c r="D2485" s="8" t="str">
        <f>"苏必孟"</f>
        <v>苏必孟</v>
      </c>
      <c r="E2485" s="8" t="str">
        <f aca="true" t="shared" si="269" ref="E2485:E2490">"男"</f>
        <v>男</v>
      </c>
    </row>
    <row r="2486" spans="1:5" s="3" customFormat="1" ht="19.5" customHeight="1">
      <c r="A2486" s="8">
        <v>2484</v>
      </c>
      <c r="B2486" s="8" t="str">
        <f>"21902020071900361030081"</f>
        <v>21902020071900361030081</v>
      </c>
      <c r="C2486" s="8" t="s">
        <v>17</v>
      </c>
      <c r="D2486" s="8" t="str">
        <f>"符日娥"</f>
        <v>符日娥</v>
      </c>
      <c r="E2486" s="8" t="str">
        <f>"女"</f>
        <v>女</v>
      </c>
    </row>
    <row r="2487" spans="1:5" s="3" customFormat="1" ht="19.5" customHeight="1">
      <c r="A2487" s="8">
        <v>2485</v>
      </c>
      <c r="B2487" s="8" t="str">
        <f>"21902020071900425030082"</f>
        <v>21902020071900425030082</v>
      </c>
      <c r="C2487" s="8" t="s">
        <v>17</v>
      </c>
      <c r="D2487" s="8" t="str">
        <f>"吴俊德"</f>
        <v>吴俊德</v>
      </c>
      <c r="E2487" s="8" t="str">
        <f t="shared" si="269"/>
        <v>男</v>
      </c>
    </row>
    <row r="2488" spans="1:5" s="3" customFormat="1" ht="19.5" customHeight="1">
      <c r="A2488" s="8">
        <v>2486</v>
      </c>
      <c r="B2488" s="8" t="str">
        <f>"21902020071909305930103"</f>
        <v>21902020071909305930103</v>
      </c>
      <c r="C2488" s="8" t="s">
        <v>17</v>
      </c>
      <c r="D2488" s="8" t="str">
        <f>"李耀琼"</f>
        <v>李耀琼</v>
      </c>
      <c r="E2488" s="8" t="str">
        <f t="shared" si="269"/>
        <v>男</v>
      </c>
    </row>
    <row r="2489" spans="1:5" s="3" customFormat="1" ht="19.5" customHeight="1">
      <c r="A2489" s="8">
        <v>2487</v>
      </c>
      <c r="B2489" s="8" t="str">
        <f>"21902020071909451230107"</f>
        <v>21902020071909451230107</v>
      </c>
      <c r="C2489" s="8" t="s">
        <v>17</v>
      </c>
      <c r="D2489" s="8" t="str">
        <f>"李治贤"</f>
        <v>李治贤</v>
      </c>
      <c r="E2489" s="8" t="str">
        <f t="shared" si="269"/>
        <v>男</v>
      </c>
    </row>
    <row r="2490" spans="1:5" s="3" customFormat="1" ht="19.5" customHeight="1">
      <c r="A2490" s="8">
        <v>2488</v>
      </c>
      <c r="B2490" s="8" t="str">
        <f>"21902020071910112730111"</f>
        <v>21902020071910112730111</v>
      </c>
      <c r="C2490" s="8" t="s">
        <v>17</v>
      </c>
      <c r="D2490" s="8" t="str">
        <f>"羊壮伟"</f>
        <v>羊壮伟</v>
      </c>
      <c r="E2490" s="8" t="str">
        <f t="shared" si="269"/>
        <v>男</v>
      </c>
    </row>
    <row r="2491" spans="1:5" s="3" customFormat="1" ht="19.5" customHeight="1">
      <c r="A2491" s="8">
        <v>2489</v>
      </c>
      <c r="B2491" s="8" t="str">
        <f>"21902020071911014430131"</f>
        <v>21902020071911014430131</v>
      </c>
      <c r="C2491" s="8" t="s">
        <v>17</v>
      </c>
      <c r="D2491" s="8" t="str">
        <f>"李姗姗"</f>
        <v>李姗姗</v>
      </c>
      <c r="E2491" s="8" t="str">
        <f aca="true" t="shared" si="270" ref="E2491:E2493">"女"</f>
        <v>女</v>
      </c>
    </row>
    <row r="2492" spans="1:5" s="3" customFormat="1" ht="19.5" customHeight="1">
      <c r="A2492" s="8">
        <v>2490</v>
      </c>
      <c r="B2492" s="8" t="str">
        <f>"21902020071912062330154"</f>
        <v>21902020071912062330154</v>
      </c>
      <c r="C2492" s="8" t="s">
        <v>17</v>
      </c>
      <c r="D2492" s="8" t="str">
        <f>"羊冬花"</f>
        <v>羊冬花</v>
      </c>
      <c r="E2492" s="8" t="str">
        <f t="shared" si="270"/>
        <v>女</v>
      </c>
    </row>
    <row r="2493" spans="1:5" s="3" customFormat="1" ht="19.5" customHeight="1">
      <c r="A2493" s="8">
        <v>2491</v>
      </c>
      <c r="B2493" s="8" t="str">
        <f>"21902020071912315130163"</f>
        <v>21902020071912315130163</v>
      </c>
      <c r="C2493" s="8" t="s">
        <v>17</v>
      </c>
      <c r="D2493" s="8" t="str">
        <f>"高玉乾"</f>
        <v>高玉乾</v>
      </c>
      <c r="E2493" s="8" t="str">
        <f t="shared" si="270"/>
        <v>女</v>
      </c>
    </row>
    <row r="2494" spans="1:5" s="3" customFormat="1" ht="19.5" customHeight="1">
      <c r="A2494" s="8">
        <v>2492</v>
      </c>
      <c r="B2494" s="8" t="str">
        <f>"21902020071913021230174"</f>
        <v>21902020071913021230174</v>
      </c>
      <c r="C2494" s="8" t="s">
        <v>17</v>
      </c>
      <c r="D2494" s="8" t="str">
        <f>"曾常东"</f>
        <v>曾常东</v>
      </c>
      <c r="E2494" s="8" t="str">
        <f aca="true" t="shared" si="271" ref="E2494:E2499">"男"</f>
        <v>男</v>
      </c>
    </row>
    <row r="2495" spans="1:5" s="3" customFormat="1" ht="19.5" customHeight="1">
      <c r="A2495" s="8">
        <v>2493</v>
      </c>
      <c r="B2495" s="8" t="str">
        <f>"21902020071913341530191"</f>
        <v>21902020071913341530191</v>
      </c>
      <c r="C2495" s="8" t="s">
        <v>17</v>
      </c>
      <c r="D2495" s="8" t="str">
        <f>"羊兴翰"</f>
        <v>羊兴翰</v>
      </c>
      <c r="E2495" s="8" t="str">
        <f t="shared" si="271"/>
        <v>男</v>
      </c>
    </row>
    <row r="2496" spans="1:5" s="3" customFormat="1" ht="19.5" customHeight="1">
      <c r="A2496" s="8">
        <v>2494</v>
      </c>
      <c r="B2496" s="8" t="str">
        <f>"21902020071913483830196"</f>
        <v>21902020071913483830196</v>
      </c>
      <c r="C2496" s="8" t="s">
        <v>17</v>
      </c>
      <c r="D2496" s="8" t="str">
        <f>"潘秋菊"</f>
        <v>潘秋菊</v>
      </c>
      <c r="E2496" s="8" t="str">
        <f aca="true" t="shared" si="272" ref="E2496:E2498">"女"</f>
        <v>女</v>
      </c>
    </row>
    <row r="2497" spans="1:5" s="3" customFormat="1" ht="19.5" customHeight="1">
      <c r="A2497" s="8">
        <v>2495</v>
      </c>
      <c r="B2497" s="8" t="str">
        <f>"21902020071914591030219"</f>
        <v>21902020071914591030219</v>
      </c>
      <c r="C2497" s="8" t="s">
        <v>17</v>
      </c>
      <c r="D2497" s="8" t="str">
        <f>"王本秀"</f>
        <v>王本秀</v>
      </c>
      <c r="E2497" s="8" t="str">
        <f t="shared" si="272"/>
        <v>女</v>
      </c>
    </row>
    <row r="2498" spans="1:5" s="3" customFormat="1" ht="19.5" customHeight="1">
      <c r="A2498" s="8">
        <v>2496</v>
      </c>
      <c r="B2498" s="8" t="str">
        <f>"21902020071916053130240"</f>
        <v>21902020071916053130240</v>
      </c>
      <c r="C2498" s="8" t="s">
        <v>17</v>
      </c>
      <c r="D2498" s="8" t="str">
        <f>"麦喜薏"</f>
        <v>麦喜薏</v>
      </c>
      <c r="E2498" s="8" t="str">
        <f t="shared" si="272"/>
        <v>女</v>
      </c>
    </row>
    <row r="2499" spans="1:5" s="3" customFormat="1" ht="19.5" customHeight="1">
      <c r="A2499" s="8">
        <v>2497</v>
      </c>
      <c r="B2499" s="8" t="str">
        <f>"21902020071916162530245"</f>
        <v>21902020071916162530245</v>
      </c>
      <c r="C2499" s="8" t="s">
        <v>17</v>
      </c>
      <c r="D2499" s="8" t="str">
        <f>"朱有雄"</f>
        <v>朱有雄</v>
      </c>
      <c r="E2499" s="8" t="str">
        <f t="shared" si="271"/>
        <v>男</v>
      </c>
    </row>
    <row r="2500" spans="1:5" s="3" customFormat="1" ht="19.5" customHeight="1">
      <c r="A2500" s="8">
        <v>2498</v>
      </c>
      <c r="B2500" s="8" t="str">
        <f>"21902020071916230830249"</f>
        <v>21902020071916230830249</v>
      </c>
      <c r="C2500" s="8" t="s">
        <v>17</v>
      </c>
      <c r="D2500" s="8" t="str">
        <f>"黎昌柳"</f>
        <v>黎昌柳</v>
      </c>
      <c r="E2500" s="8" t="str">
        <f aca="true" t="shared" si="273" ref="E2500:E2504">"女"</f>
        <v>女</v>
      </c>
    </row>
    <row r="2501" spans="1:5" s="3" customFormat="1" ht="19.5" customHeight="1">
      <c r="A2501" s="8">
        <v>2499</v>
      </c>
      <c r="B2501" s="8" t="str">
        <f>"21902020071916461430258"</f>
        <v>21902020071916461430258</v>
      </c>
      <c r="C2501" s="8" t="s">
        <v>17</v>
      </c>
      <c r="D2501" s="8" t="str">
        <f>"蔡春文"</f>
        <v>蔡春文</v>
      </c>
      <c r="E2501" s="8" t="str">
        <f t="shared" si="273"/>
        <v>女</v>
      </c>
    </row>
    <row r="2502" spans="1:5" s="3" customFormat="1" ht="19.5" customHeight="1">
      <c r="A2502" s="8">
        <v>2500</v>
      </c>
      <c r="B2502" s="8" t="str">
        <f>"21902020071916500430263"</f>
        <v>21902020071916500430263</v>
      </c>
      <c r="C2502" s="8" t="s">
        <v>17</v>
      </c>
      <c r="D2502" s="8" t="str">
        <f>"郑世彪"</f>
        <v>郑世彪</v>
      </c>
      <c r="E2502" s="8" t="str">
        <f aca="true" t="shared" si="274" ref="E2502:E2505">"男"</f>
        <v>男</v>
      </c>
    </row>
    <row r="2503" spans="1:5" s="3" customFormat="1" ht="19.5" customHeight="1">
      <c r="A2503" s="8">
        <v>2501</v>
      </c>
      <c r="B2503" s="8" t="str">
        <f>"21902020071917293230278"</f>
        <v>21902020071917293230278</v>
      </c>
      <c r="C2503" s="8" t="s">
        <v>17</v>
      </c>
      <c r="D2503" s="8" t="str">
        <f>"罗学才"</f>
        <v>罗学才</v>
      </c>
      <c r="E2503" s="8" t="str">
        <f t="shared" si="274"/>
        <v>男</v>
      </c>
    </row>
    <row r="2504" spans="1:5" s="3" customFormat="1" ht="19.5" customHeight="1">
      <c r="A2504" s="8">
        <v>2502</v>
      </c>
      <c r="B2504" s="8" t="str">
        <f>"21902020071918191830296"</f>
        <v>21902020071918191830296</v>
      </c>
      <c r="C2504" s="8" t="s">
        <v>17</v>
      </c>
      <c r="D2504" s="8" t="str">
        <f>"邓梅花"</f>
        <v>邓梅花</v>
      </c>
      <c r="E2504" s="8" t="str">
        <f t="shared" si="273"/>
        <v>女</v>
      </c>
    </row>
    <row r="2505" spans="1:5" s="3" customFormat="1" ht="19.5" customHeight="1">
      <c r="A2505" s="8">
        <v>2503</v>
      </c>
      <c r="B2505" s="8" t="str">
        <f>"21902020071918353130302"</f>
        <v>21902020071918353130302</v>
      </c>
      <c r="C2505" s="8" t="s">
        <v>17</v>
      </c>
      <c r="D2505" s="8" t="str">
        <f>"吴伟 "</f>
        <v>吴伟 </v>
      </c>
      <c r="E2505" s="8" t="str">
        <f t="shared" si="274"/>
        <v>男</v>
      </c>
    </row>
    <row r="2506" spans="1:5" s="3" customFormat="1" ht="19.5" customHeight="1">
      <c r="A2506" s="8">
        <v>2504</v>
      </c>
      <c r="B2506" s="8" t="str">
        <f>"21902020071919584630321"</f>
        <v>21902020071919584630321</v>
      </c>
      <c r="C2506" s="8" t="s">
        <v>17</v>
      </c>
      <c r="D2506" s="8" t="str">
        <f>"王雅桂"</f>
        <v>王雅桂</v>
      </c>
      <c r="E2506" s="8" t="str">
        <f aca="true" t="shared" si="275" ref="E2506:E2509">"女"</f>
        <v>女</v>
      </c>
    </row>
    <row r="2507" spans="1:5" s="3" customFormat="1" ht="19.5" customHeight="1">
      <c r="A2507" s="8">
        <v>2505</v>
      </c>
      <c r="B2507" s="8" t="str">
        <f>"21902020071920454230333"</f>
        <v>21902020071920454230333</v>
      </c>
      <c r="C2507" s="8" t="s">
        <v>17</v>
      </c>
      <c r="D2507" s="8" t="str">
        <f>"李常坚"</f>
        <v>李常坚</v>
      </c>
      <c r="E2507" s="8" t="str">
        <f aca="true" t="shared" si="276" ref="E2507:E2515">"男"</f>
        <v>男</v>
      </c>
    </row>
    <row r="2508" spans="1:5" s="3" customFormat="1" ht="19.5" customHeight="1">
      <c r="A2508" s="8">
        <v>2506</v>
      </c>
      <c r="B2508" s="8" t="str">
        <f>"21902020071920474030335"</f>
        <v>21902020071920474030335</v>
      </c>
      <c r="C2508" s="8" t="s">
        <v>17</v>
      </c>
      <c r="D2508" s="8" t="str">
        <f>"符玉琳"</f>
        <v>符玉琳</v>
      </c>
      <c r="E2508" s="8" t="str">
        <f t="shared" si="275"/>
        <v>女</v>
      </c>
    </row>
    <row r="2509" spans="1:5" s="3" customFormat="1" ht="19.5" customHeight="1">
      <c r="A2509" s="8">
        <v>2507</v>
      </c>
      <c r="B2509" s="8" t="str">
        <f>"21902020071920532430340"</f>
        <v>21902020071920532430340</v>
      </c>
      <c r="C2509" s="8" t="s">
        <v>17</v>
      </c>
      <c r="D2509" s="8" t="str">
        <f>"谢喜菊"</f>
        <v>谢喜菊</v>
      </c>
      <c r="E2509" s="8" t="str">
        <f t="shared" si="275"/>
        <v>女</v>
      </c>
    </row>
    <row r="2510" spans="1:5" s="3" customFormat="1" ht="19.5" customHeight="1">
      <c r="A2510" s="8">
        <v>2508</v>
      </c>
      <c r="B2510" s="8" t="str">
        <f>"21902020071922050730362"</f>
        <v>21902020071922050730362</v>
      </c>
      <c r="C2510" s="8" t="s">
        <v>17</v>
      </c>
      <c r="D2510" s="8" t="str">
        <f>"李昭琰"</f>
        <v>李昭琰</v>
      </c>
      <c r="E2510" s="8" t="str">
        <f t="shared" si="276"/>
        <v>男</v>
      </c>
    </row>
    <row r="2511" spans="1:5" s="3" customFormat="1" ht="19.5" customHeight="1">
      <c r="A2511" s="8">
        <v>2509</v>
      </c>
      <c r="B2511" s="8" t="str">
        <f>"21902020071922403730373"</f>
        <v>21902020071922403730373</v>
      </c>
      <c r="C2511" s="8" t="s">
        <v>17</v>
      </c>
      <c r="D2511" s="8" t="str">
        <f>"吴玉娜"</f>
        <v>吴玉娜</v>
      </c>
      <c r="E2511" s="8" t="str">
        <f>"女"</f>
        <v>女</v>
      </c>
    </row>
    <row r="2512" spans="1:5" s="3" customFormat="1" ht="19.5" customHeight="1">
      <c r="A2512" s="8">
        <v>2510</v>
      </c>
      <c r="B2512" s="8" t="str">
        <f>"21902020071923124730390"</f>
        <v>21902020071923124730390</v>
      </c>
      <c r="C2512" s="8" t="s">
        <v>17</v>
      </c>
      <c r="D2512" s="8" t="str">
        <f>"李仲亮"</f>
        <v>李仲亮</v>
      </c>
      <c r="E2512" s="8" t="str">
        <f t="shared" si="276"/>
        <v>男</v>
      </c>
    </row>
    <row r="2513" spans="1:5" s="3" customFormat="1" ht="19.5" customHeight="1">
      <c r="A2513" s="8">
        <v>2511</v>
      </c>
      <c r="B2513" s="8" t="str">
        <f>"21902020072002122730423"</f>
        <v>21902020072002122730423</v>
      </c>
      <c r="C2513" s="8" t="s">
        <v>17</v>
      </c>
      <c r="D2513" s="8" t="str">
        <f>"蔡清文"</f>
        <v>蔡清文</v>
      </c>
      <c r="E2513" s="8" t="str">
        <f t="shared" si="276"/>
        <v>男</v>
      </c>
    </row>
    <row r="2514" spans="1:5" s="3" customFormat="1" ht="19.5" customHeight="1">
      <c r="A2514" s="8">
        <v>2512</v>
      </c>
      <c r="B2514" s="8" t="str">
        <f>"21902020072008123430430"</f>
        <v>21902020072008123430430</v>
      </c>
      <c r="C2514" s="8" t="s">
        <v>17</v>
      </c>
      <c r="D2514" s="8" t="str">
        <f>"谢正光"</f>
        <v>谢正光</v>
      </c>
      <c r="E2514" s="8" t="str">
        <f t="shared" si="276"/>
        <v>男</v>
      </c>
    </row>
    <row r="2515" spans="1:5" s="3" customFormat="1" ht="19.5" customHeight="1">
      <c r="A2515" s="8">
        <v>2513</v>
      </c>
      <c r="B2515" s="8" t="str">
        <f>"21902020072008125530431"</f>
        <v>21902020072008125530431</v>
      </c>
      <c r="C2515" s="8" t="s">
        <v>17</v>
      </c>
      <c r="D2515" s="8" t="str">
        <f>"王开令"</f>
        <v>王开令</v>
      </c>
      <c r="E2515" s="8" t="str">
        <f t="shared" si="276"/>
        <v>男</v>
      </c>
    </row>
    <row r="2516" spans="1:5" s="3" customFormat="1" ht="19.5" customHeight="1">
      <c r="A2516" s="8">
        <v>2514</v>
      </c>
      <c r="B2516" s="8" t="str">
        <f>"21902020072008263230438"</f>
        <v>21902020072008263230438</v>
      </c>
      <c r="C2516" s="8" t="s">
        <v>17</v>
      </c>
      <c r="D2516" s="8" t="str">
        <f>"李美"</f>
        <v>李美</v>
      </c>
      <c r="E2516" s="8" t="str">
        <f aca="true" t="shared" si="277" ref="E2516:E2520">"女"</f>
        <v>女</v>
      </c>
    </row>
    <row r="2517" spans="1:5" s="3" customFormat="1" ht="19.5" customHeight="1">
      <c r="A2517" s="8">
        <v>2515</v>
      </c>
      <c r="B2517" s="8" t="str">
        <f>"21902020072009183130473"</f>
        <v>21902020072009183130473</v>
      </c>
      <c r="C2517" s="8" t="s">
        <v>17</v>
      </c>
      <c r="D2517" s="8" t="str">
        <f>"钟秀珍"</f>
        <v>钟秀珍</v>
      </c>
      <c r="E2517" s="8" t="str">
        <f t="shared" si="277"/>
        <v>女</v>
      </c>
    </row>
    <row r="2518" spans="1:5" s="3" customFormat="1" ht="19.5" customHeight="1">
      <c r="A2518" s="8">
        <v>2516</v>
      </c>
      <c r="B2518" s="8" t="str">
        <f>"21902020072009575930506"</f>
        <v>21902020072009575930506</v>
      </c>
      <c r="C2518" s="8" t="s">
        <v>17</v>
      </c>
      <c r="D2518" s="8" t="str">
        <f>"孙有杰"</f>
        <v>孙有杰</v>
      </c>
      <c r="E2518" s="8" t="str">
        <f aca="true" t="shared" si="278" ref="E2518:E2523">"男"</f>
        <v>男</v>
      </c>
    </row>
    <row r="2519" spans="1:5" s="3" customFormat="1" ht="19.5" customHeight="1">
      <c r="A2519" s="8">
        <v>2517</v>
      </c>
      <c r="B2519" s="8" t="str">
        <f>"21902020072010204930519"</f>
        <v>21902020072010204930519</v>
      </c>
      <c r="C2519" s="8" t="s">
        <v>17</v>
      </c>
      <c r="D2519" s="8" t="str">
        <f>"曾华带"</f>
        <v>曾华带</v>
      </c>
      <c r="E2519" s="8" t="str">
        <f t="shared" si="277"/>
        <v>女</v>
      </c>
    </row>
    <row r="2520" spans="1:5" s="3" customFormat="1" ht="19.5" customHeight="1">
      <c r="A2520" s="8">
        <v>2518</v>
      </c>
      <c r="B2520" s="8" t="str">
        <f>"21902020072010262030525"</f>
        <v>21902020072010262030525</v>
      </c>
      <c r="C2520" s="8" t="s">
        <v>17</v>
      </c>
      <c r="D2520" s="8" t="str">
        <f>"谭蓉"</f>
        <v>谭蓉</v>
      </c>
      <c r="E2520" s="8" t="str">
        <f t="shared" si="277"/>
        <v>女</v>
      </c>
    </row>
    <row r="2521" spans="1:5" s="3" customFormat="1" ht="19.5" customHeight="1">
      <c r="A2521" s="8">
        <v>2519</v>
      </c>
      <c r="B2521" s="8" t="str">
        <f>"21902020072010275830526"</f>
        <v>21902020072010275830526</v>
      </c>
      <c r="C2521" s="8" t="s">
        <v>17</v>
      </c>
      <c r="D2521" s="8" t="str">
        <f>"曾永昌"</f>
        <v>曾永昌</v>
      </c>
      <c r="E2521" s="8" t="str">
        <f t="shared" si="278"/>
        <v>男</v>
      </c>
    </row>
    <row r="2522" spans="1:5" s="3" customFormat="1" ht="19.5" customHeight="1">
      <c r="A2522" s="8">
        <v>2520</v>
      </c>
      <c r="B2522" s="8" t="str">
        <f>"21902020072010285630527"</f>
        <v>21902020072010285630527</v>
      </c>
      <c r="C2522" s="8" t="s">
        <v>17</v>
      </c>
      <c r="D2522" s="8" t="str">
        <f>"符秀菊"</f>
        <v>符秀菊</v>
      </c>
      <c r="E2522" s="8" t="str">
        <f aca="true" t="shared" si="279" ref="E2522:E2527">"女"</f>
        <v>女</v>
      </c>
    </row>
    <row r="2523" spans="1:5" s="3" customFormat="1" ht="19.5" customHeight="1">
      <c r="A2523" s="8">
        <v>2521</v>
      </c>
      <c r="B2523" s="8" t="str">
        <f>"21902020072010310330529"</f>
        <v>21902020072010310330529</v>
      </c>
      <c r="C2523" s="8" t="s">
        <v>17</v>
      </c>
      <c r="D2523" s="8" t="str">
        <f>"梁环"</f>
        <v>梁环</v>
      </c>
      <c r="E2523" s="8" t="str">
        <f t="shared" si="278"/>
        <v>男</v>
      </c>
    </row>
    <row r="2524" spans="1:5" s="3" customFormat="1" ht="19.5" customHeight="1">
      <c r="A2524" s="8">
        <v>2522</v>
      </c>
      <c r="B2524" s="8" t="str">
        <f>"21902020072010484830540"</f>
        <v>21902020072010484830540</v>
      </c>
      <c r="C2524" s="8" t="s">
        <v>17</v>
      </c>
      <c r="D2524" s="8" t="str">
        <f>"吴娇英"</f>
        <v>吴娇英</v>
      </c>
      <c r="E2524" s="8" t="str">
        <f t="shared" si="279"/>
        <v>女</v>
      </c>
    </row>
    <row r="2525" spans="1:5" s="3" customFormat="1" ht="19.5" customHeight="1">
      <c r="A2525" s="8">
        <v>2523</v>
      </c>
      <c r="B2525" s="8" t="str">
        <f>"21902020072010532930544"</f>
        <v>21902020072010532930544</v>
      </c>
      <c r="C2525" s="8" t="s">
        <v>17</v>
      </c>
      <c r="D2525" s="8" t="str">
        <f>"童建花"</f>
        <v>童建花</v>
      </c>
      <c r="E2525" s="8" t="str">
        <f t="shared" si="279"/>
        <v>女</v>
      </c>
    </row>
    <row r="2526" spans="1:5" s="3" customFormat="1" ht="19.5" customHeight="1">
      <c r="A2526" s="8">
        <v>2524</v>
      </c>
      <c r="B2526" s="8" t="str">
        <f>"21902020072011060330553"</f>
        <v>21902020072011060330553</v>
      </c>
      <c r="C2526" s="8" t="s">
        <v>17</v>
      </c>
      <c r="D2526" s="8" t="str">
        <f>"李有花"</f>
        <v>李有花</v>
      </c>
      <c r="E2526" s="8" t="str">
        <f t="shared" si="279"/>
        <v>女</v>
      </c>
    </row>
    <row r="2527" spans="1:5" s="3" customFormat="1" ht="19.5" customHeight="1">
      <c r="A2527" s="8">
        <v>2525</v>
      </c>
      <c r="B2527" s="8" t="str">
        <f>"21902020072011323830574"</f>
        <v>21902020072011323830574</v>
      </c>
      <c r="C2527" s="8" t="s">
        <v>17</v>
      </c>
      <c r="D2527" s="8" t="str">
        <f>"李霞"</f>
        <v>李霞</v>
      </c>
      <c r="E2527" s="8" t="str">
        <f t="shared" si="279"/>
        <v>女</v>
      </c>
    </row>
    <row r="2528" spans="1:5" s="3" customFormat="1" ht="19.5" customHeight="1">
      <c r="A2528" s="8">
        <v>2526</v>
      </c>
      <c r="B2528" s="8" t="str">
        <f>"21902020072011332030575"</f>
        <v>21902020072011332030575</v>
      </c>
      <c r="C2528" s="8" t="s">
        <v>17</v>
      </c>
      <c r="D2528" s="8" t="str">
        <f>"许义明"</f>
        <v>许义明</v>
      </c>
      <c r="E2528" s="8" t="str">
        <f>"男"</f>
        <v>男</v>
      </c>
    </row>
    <row r="2529" spans="1:5" s="3" customFormat="1" ht="19.5" customHeight="1">
      <c r="A2529" s="8">
        <v>2527</v>
      </c>
      <c r="B2529" s="8" t="str">
        <f>"21902020072011403130578"</f>
        <v>21902020072011403130578</v>
      </c>
      <c r="C2529" s="8" t="s">
        <v>17</v>
      </c>
      <c r="D2529" s="8" t="str">
        <f>"周淑良"</f>
        <v>周淑良</v>
      </c>
      <c r="E2529" s="8" t="str">
        <f>"男"</f>
        <v>男</v>
      </c>
    </row>
    <row r="2530" spans="1:5" s="3" customFormat="1" ht="19.5" customHeight="1">
      <c r="A2530" s="8">
        <v>2528</v>
      </c>
      <c r="B2530" s="8" t="str">
        <f>"21902020072011453430583"</f>
        <v>21902020072011453430583</v>
      </c>
      <c r="C2530" s="8" t="s">
        <v>17</v>
      </c>
      <c r="D2530" s="8" t="str">
        <f>"李香莲"</f>
        <v>李香莲</v>
      </c>
      <c r="E2530" s="8" t="str">
        <f aca="true" t="shared" si="280" ref="E2530:E2533">"女"</f>
        <v>女</v>
      </c>
    </row>
    <row r="2531" spans="1:5" s="3" customFormat="1" ht="19.5" customHeight="1">
      <c r="A2531" s="8">
        <v>2529</v>
      </c>
      <c r="B2531" s="8" t="str">
        <f>"21902020072012122930603"</f>
        <v>21902020072012122930603</v>
      </c>
      <c r="C2531" s="8" t="s">
        <v>17</v>
      </c>
      <c r="D2531" s="8" t="str">
        <f>"符彩燕"</f>
        <v>符彩燕</v>
      </c>
      <c r="E2531" s="8" t="str">
        <f t="shared" si="280"/>
        <v>女</v>
      </c>
    </row>
    <row r="2532" spans="1:5" s="3" customFormat="1" ht="19.5" customHeight="1">
      <c r="A2532" s="8">
        <v>2530</v>
      </c>
      <c r="B2532" s="8" t="str">
        <f>"21902020072012170930604"</f>
        <v>21902020072012170930604</v>
      </c>
      <c r="C2532" s="8" t="s">
        <v>17</v>
      </c>
      <c r="D2532" s="8" t="str">
        <f>"冯燕燕"</f>
        <v>冯燕燕</v>
      </c>
      <c r="E2532" s="8" t="str">
        <f t="shared" si="280"/>
        <v>女</v>
      </c>
    </row>
    <row r="2533" spans="1:5" s="3" customFormat="1" ht="19.5" customHeight="1">
      <c r="A2533" s="8">
        <v>2531</v>
      </c>
      <c r="B2533" s="8" t="str">
        <f>"21902020072012381530617"</f>
        <v>21902020072012381530617</v>
      </c>
      <c r="C2533" s="8" t="s">
        <v>17</v>
      </c>
      <c r="D2533" s="8" t="str">
        <f>"羊美玲"</f>
        <v>羊美玲</v>
      </c>
      <c r="E2533" s="8" t="str">
        <f t="shared" si="280"/>
        <v>女</v>
      </c>
    </row>
    <row r="2534" spans="1:5" s="3" customFormat="1" ht="19.5" customHeight="1">
      <c r="A2534" s="8">
        <v>2532</v>
      </c>
      <c r="B2534" s="8" t="str">
        <f>"21902020072012442130626"</f>
        <v>21902020072012442130626</v>
      </c>
      <c r="C2534" s="8" t="s">
        <v>17</v>
      </c>
      <c r="D2534" s="8" t="str">
        <f>"王嘉卿"</f>
        <v>王嘉卿</v>
      </c>
      <c r="E2534" s="8" t="str">
        <f>"男"</f>
        <v>男</v>
      </c>
    </row>
    <row r="2535" spans="1:5" s="3" customFormat="1" ht="19.5" customHeight="1">
      <c r="A2535" s="8">
        <v>2533</v>
      </c>
      <c r="B2535" s="8" t="str">
        <f>"21902020072012511730630"</f>
        <v>21902020072012511730630</v>
      </c>
      <c r="C2535" s="8" t="s">
        <v>17</v>
      </c>
      <c r="D2535" s="8" t="str">
        <f>"吴小三"</f>
        <v>吴小三</v>
      </c>
      <c r="E2535" s="8" t="str">
        <f>"男"</f>
        <v>男</v>
      </c>
    </row>
    <row r="2536" spans="1:5" s="3" customFormat="1" ht="19.5" customHeight="1">
      <c r="A2536" s="8">
        <v>2534</v>
      </c>
      <c r="B2536" s="8" t="str">
        <f>"21902020072014364030688"</f>
        <v>21902020072014364030688</v>
      </c>
      <c r="C2536" s="8" t="s">
        <v>17</v>
      </c>
      <c r="D2536" s="8" t="str">
        <f>"谭萃"</f>
        <v>谭萃</v>
      </c>
      <c r="E2536" s="8" t="str">
        <f aca="true" t="shared" si="281" ref="E2536:E2540">"女"</f>
        <v>女</v>
      </c>
    </row>
    <row r="2537" spans="1:5" s="3" customFormat="1" ht="19.5" customHeight="1">
      <c r="A2537" s="8">
        <v>2535</v>
      </c>
      <c r="B2537" s="8" t="str">
        <f>"21902020072014430430694"</f>
        <v>21902020072014430430694</v>
      </c>
      <c r="C2537" s="8" t="s">
        <v>17</v>
      </c>
      <c r="D2537" s="8" t="str">
        <f>"秦燕楚"</f>
        <v>秦燕楚</v>
      </c>
      <c r="E2537" s="8" t="str">
        <f t="shared" si="281"/>
        <v>女</v>
      </c>
    </row>
    <row r="2538" spans="1:5" s="3" customFormat="1" ht="19.5" customHeight="1">
      <c r="A2538" s="8">
        <v>2536</v>
      </c>
      <c r="B2538" s="8" t="str">
        <f>"21902020072015071330714"</f>
        <v>21902020072015071330714</v>
      </c>
      <c r="C2538" s="8" t="s">
        <v>17</v>
      </c>
      <c r="D2538" s="8" t="str">
        <f>"符梦雯"</f>
        <v>符梦雯</v>
      </c>
      <c r="E2538" s="8" t="str">
        <f t="shared" si="281"/>
        <v>女</v>
      </c>
    </row>
    <row r="2539" spans="1:5" s="3" customFormat="1" ht="19.5" customHeight="1">
      <c r="A2539" s="8">
        <v>2537</v>
      </c>
      <c r="B2539" s="8" t="str">
        <f>"21902020072015225430726"</f>
        <v>21902020072015225430726</v>
      </c>
      <c r="C2539" s="8" t="s">
        <v>17</v>
      </c>
      <c r="D2539" s="8" t="str">
        <f>"符秀菊"</f>
        <v>符秀菊</v>
      </c>
      <c r="E2539" s="8" t="str">
        <f t="shared" si="281"/>
        <v>女</v>
      </c>
    </row>
    <row r="2540" spans="1:5" s="3" customFormat="1" ht="19.5" customHeight="1">
      <c r="A2540" s="8">
        <v>2538</v>
      </c>
      <c r="B2540" s="8" t="str">
        <f>"21902020072015325730735"</f>
        <v>21902020072015325730735</v>
      </c>
      <c r="C2540" s="8" t="s">
        <v>17</v>
      </c>
      <c r="D2540" s="8" t="str">
        <f>"黎婆乾"</f>
        <v>黎婆乾</v>
      </c>
      <c r="E2540" s="8" t="str">
        <f t="shared" si="281"/>
        <v>女</v>
      </c>
    </row>
    <row r="2541" spans="1:5" s="3" customFormat="1" ht="19.5" customHeight="1">
      <c r="A2541" s="8">
        <v>2539</v>
      </c>
      <c r="B2541" s="8" t="str">
        <f>"21902020072016071130760"</f>
        <v>21902020072016071130760</v>
      </c>
      <c r="C2541" s="8" t="s">
        <v>17</v>
      </c>
      <c r="D2541" s="8" t="str">
        <f>"王家强"</f>
        <v>王家强</v>
      </c>
      <c r="E2541" s="8" t="str">
        <f aca="true" t="shared" si="282" ref="E2541:E2545">"男"</f>
        <v>男</v>
      </c>
    </row>
    <row r="2542" spans="1:5" s="3" customFormat="1" ht="19.5" customHeight="1">
      <c r="A2542" s="8">
        <v>2540</v>
      </c>
      <c r="B2542" s="8" t="str">
        <f>"21902020071409011025928"</f>
        <v>21902020071409011025928</v>
      </c>
      <c r="C2542" s="8" t="s">
        <v>18</v>
      </c>
      <c r="D2542" s="8" t="str">
        <f>"王有伦"</f>
        <v>王有伦</v>
      </c>
      <c r="E2542" s="8" t="str">
        <f t="shared" si="282"/>
        <v>男</v>
      </c>
    </row>
    <row r="2543" spans="1:5" s="3" customFormat="1" ht="19.5" customHeight="1">
      <c r="A2543" s="8">
        <v>2541</v>
      </c>
      <c r="B2543" s="8" t="str">
        <f>"21902020071409011125929"</f>
        <v>21902020071409011125929</v>
      </c>
      <c r="C2543" s="8" t="s">
        <v>18</v>
      </c>
      <c r="D2543" s="8" t="str">
        <f>"黎菊女"</f>
        <v>黎菊女</v>
      </c>
      <c r="E2543" s="8" t="str">
        <f aca="true" t="shared" si="283" ref="E2543:E2548">"女"</f>
        <v>女</v>
      </c>
    </row>
    <row r="2544" spans="1:5" s="3" customFormat="1" ht="19.5" customHeight="1">
      <c r="A2544" s="8">
        <v>2542</v>
      </c>
      <c r="B2544" s="8" t="str">
        <f>"21902020071409062925976"</f>
        <v>21902020071409062925976</v>
      </c>
      <c r="C2544" s="8" t="s">
        <v>18</v>
      </c>
      <c r="D2544" s="8" t="str">
        <f>"羊永健"</f>
        <v>羊永健</v>
      </c>
      <c r="E2544" s="8" t="str">
        <f t="shared" si="282"/>
        <v>男</v>
      </c>
    </row>
    <row r="2545" spans="1:5" s="3" customFormat="1" ht="19.5" customHeight="1">
      <c r="A2545" s="8">
        <v>2543</v>
      </c>
      <c r="B2545" s="8" t="str">
        <f>"21902020071409243426092"</f>
        <v>21902020071409243426092</v>
      </c>
      <c r="C2545" s="8" t="s">
        <v>18</v>
      </c>
      <c r="D2545" s="8" t="str">
        <f>"陈科君"</f>
        <v>陈科君</v>
      </c>
      <c r="E2545" s="8" t="str">
        <f t="shared" si="282"/>
        <v>男</v>
      </c>
    </row>
    <row r="2546" spans="1:5" s="3" customFormat="1" ht="19.5" customHeight="1">
      <c r="A2546" s="8">
        <v>2544</v>
      </c>
      <c r="B2546" s="8" t="str">
        <f>"21902020071409430026169"</f>
        <v>21902020071409430026169</v>
      </c>
      <c r="C2546" s="8" t="s">
        <v>18</v>
      </c>
      <c r="D2546" s="8" t="str">
        <f>"陈青金"</f>
        <v>陈青金</v>
      </c>
      <c r="E2546" s="8" t="str">
        <f t="shared" si="283"/>
        <v>女</v>
      </c>
    </row>
    <row r="2547" spans="1:5" s="3" customFormat="1" ht="19.5" customHeight="1">
      <c r="A2547" s="8">
        <v>2545</v>
      </c>
      <c r="B2547" s="8" t="str">
        <f>"21902020071409501126196"</f>
        <v>21902020071409501126196</v>
      </c>
      <c r="C2547" s="8" t="s">
        <v>18</v>
      </c>
      <c r="D2547" s="8" t="str">
        <f>"王智磊"</f>
        <v>王智磊</v>
      </c>
      <c r="E2547" s="8" t="str">
        <f aca="true" t="shared" si="284" ref="E2547:E2551">"男"</f>
        <v>男</v>
      </c>
    </row>
    <row r="2548" spans="1:5" s="3" customFormat="1" ht="19.5" customHeight="1">
      <c r="A2548" s="8">
        <v>2546</v>
      </c>
      <c r="B2548" s="8" t="str">
        <f>"21902020071409515226203"</f>
        <v>21902020071409515226203</v>
      </c>
      <c r="C2548" s="8" t="s">
        <v>18</v>
      </c>
      <c r="D2548" s="8" t="str">
        <f>"陈惠芳"</f>
        <v>陈惠芳</v>
      </c>
      <c r="E2548" s="8" t="str">
        <f t="shared" si="283"/>
        <v>女</v>
      </c>
    </row>
    <row r="2549" spans="1:5" s="3" customFormat="1" ht="19.5" customHeight="1">
      <c r="A2549" s="8">
        <v>2547</v>
      </c>
      <c r="B2549" s="8" t="str">
        <f>"21902020071410014326246"</f>
        <v>21902020071410014326246</v>
      </c>
      <c r="C2549" s="8" t="s">
        <v>18</v>
      </c>
      <c r="D2549" s="8" t="str">
        <f>"薛良鸿"</f>
        <v>薛良鸿</v>
      </c>
      <c r="E2549" s="8" t="str">
        <f t="shared" si="284"/>
        <v>男</v>
      </c>
    </row>
    <row r="2550" spans="1:5" s="3" customFormat="1" ht="19.5" customHeight="1">
      <c r="A2550" s="8">
        <v>2548</v>
      </c>
      <c r="B2550" s="8" t="str">
        <f>"21902020071410033626253"</f>
        <v>21902020071410033626253</v>
      </c>
      <c r="C2550" s="8" t="s">
        <v>18</v>
      </c>
      <c r="D2550" s="8" t="str">
        <f>"李精武"</f>
        <v>李精武</v>
      </c>
      <c r="E2550" s="8" t="str">
        <f t="shared" si="284"/>
        <v>男</v>
      </c>
    </row>
    <row r="2551" spans="1:5" s="3" customFormat="1" ht="19.5" customHeight="1">
      <c r="A2551" s="8">
        <v>2549</v>
      </c>
      <c r="B2551" s="8" t="str">
        <f>"21902020071410054926267"</f>
        <v>21902020071410054926267</v>
      </c>
      <c r="C2551" s="8" t="s">
        <v>18</v>
      </c>
      <c r="D2551" s="8" t="str">
        <f>"李大章"</f>
        <v>李大章</v>
      </c>
      <c r="E2551" s="8" t="str">
        <f t="shared" si="284"/>
        <v>男</v>
      </c>
    </row>
    <row r="2552" spans="1:5" s="3" customFormat="1" ht="19.5" customHeight="1">
      <c r="A2552" s="8">
        <v>2550</v>
      </c>
      <c r="B2552" s="8" t="str">
        <f>"21902020071410071126275"</f>
        <v>21902020071410071126275</v>
      </c>
      <c r="C2552" s="8" t="s">
        <v>18</v>
      </c>
      <c r="D2552" s="8" t="str">
        <f>"陈小爱"</f>
        <v>陈小爱</v>
      </c>
      <c r="E2552" s="8" t="str">
        <f aca="true" t="shared" si="285" ref="E2552:E2559">"女"</f>
        <v>女</v>
      </c>
    </row>
    <row r="2553" spans="1:5" s="3" customFormat="1" ht="19.5" customHeight="1">
      <c r="A2553" s="8">
        <v>2551</v>
      </c>
      <c r="B2553" s="8" t="str">
        <f>"21902020071410082626285"</f>
        <v>21902020071410082626285</v>
      </c>
      <c r="C2553" s="8" t="s">
        <v>18</v>
      </c>
      <c r="D2553" s="8" t="str">
        <f>"李鸿"</f>
        <v>李鸿</v>
      </c>
      <c r="E2553" s="8" t="str">
        <f>"男"</f>
        <v>男</v>
      </c>
    </row>
    <row r="2554" spans="1:5" s="3" customFormat="1" ht="19.5" customHeight="1">
      <c r="A2554" s="8">
        <v>2552</v>
      </c>
      <c r="B2554" s="8" t="str">
        <f>"21902020071410122526305"</f>
        <v>21902020071410122526305</v>
      </c>
      <c r="C2554" s="8" t="s">
        <v>18</v>
      </c>
      <c r="D2554" s="8" t="str">
        <f>"廖邦静"</f>
        <v>廖邦静</v>
      </c>
      <c r="E2554" s="8" t="str">
        <f t="shared" si="285"/>
        <v>女</v>
      </c>
    </row>
    <row r="2555" spans="1:5" s="3" customFormat="1" ht="19.5" customHeight="1">
      <c r="A2555" s="8">
        <v>2553</v>
      </c>
      <c r="B2555" s="8" t="str">
        <f>"21902020071410173026325"</f>
        <v>21902020071410173026325</v>
      </c>
      <c r="C2555" s="8" t="s">
        <v>18</v>
      </c>
      <c r="D2555" s="8" t="str">
        <f>"苏婆荣"</f>
        <v>苏婆荣</v>
      </c>
      <c r="E2555" s="8" t="str">
        <f t="shared" si="285"/>
        <v>女</v>
      </c>
    </row>
    <row r="2556" spans="1:5" s="3" customFormat="1" ht="19.5" customHeight="1">
      <c r="A2556" s="8">
        <v>2554</v>
      </c>
      <c r="B2556" s="8" t="str">
        <f>"21902020071410283526367"</f>
        <v>21902020071410283526367</v>
      </c>
      <c r="C2556" s="8" t="s">
        <v>18</v>
      </c>
      <c r="D2556" s="8" t="str">
        <f>"薛秋花"</f>
        <v>薛秋花</v>
      </c>
      <c r="E2556" s="8" t="str">
        <f t="shared" si="285"/>
        <v>女</v>
      </c>
    </row>
    <row r="2557" spans="1:5" s="3" customFormat="1" ht="19.5" customHeight="1">
      <c r="A2557" s="8">
        <v>2555</v>
      </c>
      <c r="B2557" s="8" t="str">
        <f>"21902020071410285826368"</f>
        <v>21902020071410285826368</v>
      </c>
      <c r="C2557" s="8" t="s">
        <v>18</v>
      </c>
      <c r="D2557" s="8" t="str">
        <f>"薛江艳"</f>
        <v>薛江艳</v>
      </c>
      <c r="E2557" s="8" t="str">
        <f t="shared" si="285"/>
        <v>女</v>
      </c>
    </row>
    <row r="2558" spans="1:5" s="3" customFormat="1" ht="19.5" customHeight="1">
      <c r="A2558" s="8">
        <v>2556</v>
      </c>
      <c r="B2558" s="8" t="str">
        <f>"21902020071410290326369"</f>
        <v>21902020071410290326369</v>
      </c>
      <c r="C2558" s="8" t="s">
        <v>18</v>
      </c>
      <c r="D2558" s="8" t="str">
        <f>"廖莎莎"</f>
        <v>廖莎莎</v>
      </c>
      <c r="E2558" s="8" t="str">
        <f t="shared" si="285"/>
        <v>女</v>
      </c>
    </row>
    <row r="2559" spans="1:5" s="3" customFormat="1" ht="19.5" customHeight="1">
      <c r="A2559" s="8">
        <v>2557</v>
      </c>
      <c r="B2559" s="8" t="str">
        <f>"21902020071410375926401"</f>
        <v>21902020071410375926401</v>
      </c>
      <c r="C2559" s="8" t="s">
        <v>18</v>
      </c>
      <c r="D2559" s="8" t="str">
        <f>"吴美玲"</f>
        <v>吴美玲</v>
      </c>
      <c r="E2559" s="8" t="str">
        <f t="shared" si="285"/>
        <v>女</v>
      </c>
    </row>
    <row r="2560" spans="1:5" s="3" customFormat="1" ht="19.5" customHeight="1">
      <c r="A2560" s="8">
        <v>2558</v>
      </c>
      <c r="B2560" s="8" t="str">
        <f>"21902020071410504126450"</f>
        <v>21902020071410504126450</v>
      </c>
      <c r="C2560" s="8" t="s">
        <v>18</v>
      </c>
      <c r="D2560" s="8" t="str">
        <f>"李玉明"</f>
        <v>李玉明</v>
      </c>
      <c r="E2560" s="8" t="str">
        <f aca="true" t="shared" si="286" ref="E2560:E2562">"男"</f>
        <v>男</v>
      </c>
    </row>
    <row r="2561" spans="1:5" s="3" customFormat="1" ht="19.5" customHeight="1">
      <c r="A2561" s="8">
        <v>2559</v>
      </c>
      <c r="B2561" s="8" t="str">
        <f>"21902020071410535126457"</f>
        <v>21902020071410535126457</v>
      </c>
      <c r="C2561" s="8" t="s">
        <v>18</v>
      </c>
      <c r="D2561" s="8" t="str">
        <f>"邓国旺"</f>
        <v>邓国旺</v>
      </c>
      <c r="E2561" s="8" t="str">
        <f t="shared" si="286"/>
        <v>男</v>
      </c>
    </row>
    <row r="2562" spans="1:5" s="3" customFormat="1" ht="19.5" customHeight="1">
      <c r="A2562" s="8">
        <v>2560</v>
      </c>
      <c r="B2562" s="8" t="str">
        <f>"21902020071411065926496"</f>
        <v>21902020071411065926496</v>
      </c>
      <c r="C2562" s="8" t="s">
        <v>18</v>
      </c>
      <c r="D2562" s="8" t="str">
        <f>"卓世宏"</f>
        <v>卓世宏</v>
      </c>
      <c r="E2562" s="8" t="str">
        <f t="shared" si="286"/>
        <v>男</v>
      </c>
    </row>
    <row r="2563" spans="1:5" s="3" customFormat="1" ht="19.5" customHeight="1">
      <c r="A2563" s="8">
        <v>2561</v>
      </c>
      <c r="B2563" s="8" t="str">
        <f>"21902020071411292226555"</f>
        <v>21902020071411292226555</v>
      </c>
      <c r="C2563" s="8" t="s">
        <v>18</v>
      </c>
      <c r="D2563" s="8" t="str">
        <f>"白世玉"</f>
        <v>白世玉</v>
      </c>
      <c r="E2563" s="8" t="str">
        <f>"女"</f>
        <v>女</v>
      </c>
    </row>
    <row r="2564" spans="1:5" s="3" customFormat="1" ht="19.5" customHeight="1">
      <c r="A2564" s="8">
        <v>2562</v>
      </c>
      <c r="B2564" s="8" t="str">
        <f>"21902020071411352926572"</f>
        <v>21902020071411352926572</v>
      </c>
      <c r="C2564" s="8" t="s">
        <v>18</v>
      </c>
      <c r="D2564" s="8" t="str">
        <f>"王东"</f>
        <v>王东</v>
      </c>
      <c r="E2564" s="8" t="str">
        <f aca="true" t="shared" si="287" ref="E2564:E2566">"男"</f>
        <v>男</v>
      </c>
    </row>
    <row r="2565" spans="1:5" s="3" customFormat="1" ht="19.5" customHeight="1">
      <c r="A2565" s="8">
        <v>2563</v>
      </c>
      <c r="B2565" s="8" t="str">
        <f>"21902020071411375526578"</f>
        <v>21902020071411375526578</v>
      </c>
      <c r="C2565" s="8" t="s">
        <v>18</v>
      </c>
      <c r="D2565" s="8" t="str">
        <f>"唐着专"</f>
        <v>唐着专</v>
      </c>
      <c r="E2565" s="8" t="str">
        <f t="shared" si="287"/>
        <v>男</v>
      </c>
    </row>
    <row r="2566" spans="1:5" s="3" customFormat="1" ht="19.5" customHeight="1">
      <c r="A2566" s="8">
        <v>2564</v>
      </c>
      <c r="B2566" s="8" t="str">
        <f>"21902020071411442626596"</f>
        <v>21902020071411442626596</v>
      </c>
      <c r="C2566" s="8" t="s">
        <v>18</v>
      </c>
      <c r="D2566" s="8" t="str">
        <f>"王恩泽"</f>
        <v>王恩泽</v>
      </c>
      <c r="E2566" s="8" t="str">
        <f t="shared" si="287"/>
        <v>男</v>
      </c>
    </row>
    <row r="2567" spans="1:5" s="3" customFormat="1" ht="19.5" customHeight="1">
      <c r="A2567" s="8">
        <v>2565</v>
      </c>
      <c r="B2567" s="8" t="str">
        <f>"21902020071412061426645"</f>
        <v>21902020071412061426645</v>
      </c>
      <c r="C2567" s="8" t="s">
        <v>18</v>
      </c>
      <c r="D2567" s="8" t="str">
        <f>"叶容伶"</f>
        <v>叶容伶</v>
      </c>
      <c r="E2567" s="8" t="str">
        <f aca="true" t="shared" si="288" ref="E2567:E2573">"女"</f>
        <v>女</v>
      </c>
    </row>
    <row r="2568" spans="1:5" s="3" customFormat="1" ht="19.5" customHeight="1">
      <c r="A2568" s="8">
        <v>2566</v>
      </c>
      <c r="B2568" s="8" t="str">
        <f>"21902020071412193026660"</f>
        <v>21902020071412193026660</v>
      </c>
      <c r="C2568" s="8" t="s">
        <v>18</v>
      </c>
      <c r="D2568" s="8" t="str">
        <f>"陈石赞"</f>
        <v>陈石赞</v>
      </c>
      <c r="E2568" s="8" t="str">
        <f>"男"</f>
        <v>男</v>
      </c>
    </row>
    <row r="2569" spans="1:5" s="3" customFormat="1" ht="19.5" customHeight="1">
      <c r="A2569" s="8">
        <v>2567</v>
      </c>
      <c r="B2569" s="8" t="str">
        <f>"21902020071412233826670"</f>
        <v>21902020071412233826670</v>
      </c>
      <c r="C2569" s="8" t="s">
        <v>18</v>
      </c>
      <c r="D2569" s="8" t="str">
        <f>"黎桃美"</f>
        <v>黎桃美</v>
      </c>
      <c r="E2569" s="8" t="str">
        <f t="shared" si="288"/>
        <v>女</v>
      </c>
    </row>
    <row r="2570" spans="1:5" s="3" customFormat="1" ht="19.5" customHeight="1">
      <c r="A2570" s="8">
        <v>2568</v>
      </c>
      <c r="B2570" s="8" t="str">
        <f>"21902020071412375426695"</f>
        <v>21902020071412375426695</v>
      </c>
      <c r="C2570" s="8" t="s">
        <v>18</v>
      </c>
      <c r="D2570" s="8" t="str">
        <f>"陈瑞宁"</f>
        <v>陈瑞宁</v>
      </c>
      <c r="E2570" s="8" t="str">
        <f aca="true" t="shared" si="289" ref="E2570:E2576">"男"</f>
        <v>男</v>
      </c>
    </row>
    <row r="2571" spans="1:5" s="3" customFormat="1" ht="19.5" customHeight="1">
      <c r="A2571" s="8">
        <v>2569</v>
      </c>
      <c r="B2571" s="8" t="str">
        <f>"21902020071412433826706"</f>
        <v>21902020071412433826706</v>
      </c>
      <c r="C2571" s="8" t="s">
        <v>18</v>
      </c>
      <c r="D2571" s="8" t="str">
        <f>"吴娟嫦"</f>
        <v>吴娟嫦</v>
      </c>
      <c r="E2571" s="8" t="str">
        <f t="shared" si="288"/>
        <v>女</v>
      </c>
    </row>
    <row r="2572" spans="1:5" s="3" customFormat="1" ht="19.5" customHeight="1">
      <c r="A2572" s="8">
        <v>2570</v>
      </c>
      <c r="B2572" s="8" t="str">
        <f>"21902020071413213026771"</f>
        <v>21902020071413213026771</v>
      </c>
      <c r="C2572" s="8" t="s">
        <v>18</v>
      </c>
      <c r="D2572" s="8" t="str">
        <f>"孙影"</f>
        <v>孙影</v>
      </c>
      <c r="E2572" s="8" t="str">
        <f t="shared" si="288"/>
        <v>女</v>
      </c>
    </row>
    <row r="2573" spans="1:5" s="3" customFormat="1" ht="19.5" customHeight="1">
      <c r="A2573" s="8">
        <v>2571</v>
      </c>
      <c r="B2573" s="8" t="str">
        <f>"21902020071414493326890"</f>
        <v>21902020071414493326890</v>
      </c>
      <c r="C2573" s="8" t="s">
        <v>18</v>
      </c>
      <c r="D2573" s="8" t="str">
        <f>"许婷婷"</f>
        <v>许婷婷</v>
      </c>
      <c r="E2573" s="8" t="str">
        <f t="shared" si="288"/>
        <v>女</v>
      </c>
    </row>
    <row r="2574" spans="1:5" s="3" customFormat="1" ht="19.5" customHeight="1">
      <c r="A2574" s="8">
        <v>2572</v>
      </c>
      <c r="B2574" s="8" t="str">
        <f>"21902020071414494926892"</f>
        <v>21902020071414494926892</v>
      </c>
      <c r="C2574" s="8" t="s">
        <v>18</v>
      </c>
      <c r="D2574" s="8" t="str">
        <f>"金伟龙"</f>
        <v>金伟龙</v>
      </c>
      <c r="E2574" s="8" t="str">
        <f t="shared" si="289"/>
        <v>男</v>
      </c>
    </row>
    <row r="2575" spans="1:5" s="3" customFormat="1" ht="19.5" customHeight="1">
      <c r="A2575" s="8">
        <v>2573</v>
      </c>
      <c r="B2575" s="8" t="str">
        <f>"21902020071415194126942"</f>
        <v>21902020071415194126942</v>
      </c>
      <c r="C2575" s="8" t="s">
        <v>18</v>
      </c>
      <c r="D2575" s="8" t="str">
        <f>"吴可任"</f>
        <v>吴可任</v>
      </c>
      <c r="E2575" s="8" t="str">
        <f t="shared" si="289"/>
        <v>男</v>
      </c>
    </row>
    <row r="2576" spans="1:5" s="3" customFormat="1" ht="19.5" customHeight="1">
      <c r="A2576" s="8">
        <v>2574</v>
      </c>
      <c r="B2576" s="8" t="str">
        <f>"21902020071415464926982"</f>
        <v>21902020071415464926982</v>
      </c>
      <c r="C2576" s="8" t="s">
        <v>18</v>
      </c>
      <c r="D2576" s="8" t="str">
        <f>"陈开秋"</f>
        <v>陈开秋</v>
      </c>
      <c r="E2576" s="8" t="str">
        <f t="shared" si="289"/>
        <v>男</v>
      </c>
    </row>
    <row r="2577" spans="1:5" s="3" customFormat="1" ht="19.5" customHeight="1">
      <c r="A2577" s="8">
        <v>2575</v>
      </c>
      <c r="B2577" s="8" t="str">
        <f>"21902020071416203827041"</f>
        <v>21902020071416203827041</v>
      </c>
      <c r="C2577" s="8" t="s">
        <v>18</v>
      </c>
      <c r="D2577" s="8" t="str">
        <f>"薛婆保"</f>
        <v>薛婆保</v>
      </c>
      <c r="E2577" s="8" t="str">
        <f aca="true" t="shared" si="290" ref="E2577:E2580">"女"</f>
        <v>女</v>
      </c>
    </row>
    <row r="2578" spans="1:5" s="3" customFormat="1" ht="19.5" customHeight="1">
      <c r="A2578" s="8">
        <v>2576</v>
      </c>
      <c r="B2578" s="8" t="str">
        <f>"21902020071416342927073"</f>
        <v>21902020071416342927073</v>
      </c>
      <c r="C2578" s="8" t="s">
        <v>18</v>
      </c>
      <c r="D2578" s="8" t="str">
        <f>"孙霖"</f>
        <v>孙霖</v>
      </c>
      <c r="E2578" s="8" t="str">
        <f aca="true" t="shared" si="291" ref="E2578:E2582">"男"</f>
        <v>男</v>
      </c>
    </row>
    <row r="2579" spans="1:5" s="3" customFormat="1" ht="19.5" customHeight="1">
      <c r="A2579" s="8">
        <v>2577</v>
      </c>
      <c r="B2579" s="8" t="str">
        <f>"21902020071417570427213"</f>
        <v>21902020071417570427213</v>
      </c>
      <c r="C2579" s="8" t="s">
        <v>18</v>
      </c>
      <c r="D2579" s="8" t="str">
        <f>"陈俏华"</f>
        <v>陈俏华</v>
      </c>
      <c r="E2579" s="8" t="str">
        <f t="shared" si="290"/>
        <v>女</v>
      </c>
    </row>
    <row r="2580" spans="1:5" s="3" customFormat="1" ht="19.5" customHeight="1">
      <c r="A2580" s="8">
        <v>2578</v>
      </c>
      <c r="B2580" s="8" t="str">
        <f>"21902020071419480127355"</f>
        <v>21902020071419480127355</v>
      </c>
      <c r="C2580" s="8" t="s">
        <v>18</v>
      </c>
      <c r="D2580" s="8" t="str">
        <f>"陈小丽"</f>
        <v>陈小丽</v>
      </c>
      <c r="E2580" s="8" t="str">
        <f t="shared" si="290"/>
        <v>女</v>
      </c>
    </row>
    <row r="2581" spans="1:5" s="3" customFormat="1" ht="19.5" customHeight="1">
      <c r="A2581" s="8">
        <v>2579</v>
      </c>
      <c r="B2581" s="8" t="str">
        <f>"21902020071420231827388"</f>
        <v>21902020071420231827388</v>
      </c>
      <c r="C2581" s="8" t="s">
        <v>18</v>
      </c>
      <c r="D2581" s="8" t="str">
        <f>"陈开广"</f>
        <v>陈开广</v>
      </c>
      <c r="E2581" s="8" t="str">
        <f t="shared" si="291"/>
        <v>男</v>
      </c>
    </row>
    <row r="2582" spans="1:5" s="3" customFormat="1" ht="19.5" customHeight="1">
      <c r="A2582" s="8">
        <v>2580</v>
      </c>
      <c r="B2582" s="8" t="str">
        <f>"21902020071421211027467"</f>
        <v>21902020071421211027467</v>
      </c>
      <c r="C2582" s="8" t="s">
        <v>18</v>
      </c>
      <c r="D2582" s="8" t="str">
        <f>"蒲文夫"</f>
        <v>蒲文夫</v>
      </c>
      <c r="E2582" s="8" t="str">
        <f t="shared" si="291"/>
        <v>男</v>
      </c>
    </row>
    <row r="2583" spans="1:5" s="3" customFormat="1" ht="19.5" customHeight="1">
      <c r="A2583" s="8">
        <v>2581</v>
      </c>
      <c r="B2583" s="8" t="str">
        <f>"21902020071422084227512"</f>
        <v>21902020071422084227512</v>
      </c>
      <c r="C2583" s="8" t="s">
        <v>18</v>
      </c>
      <c r="D2583" s="8" t="str">
        <f>"李莉"</f>
        <v>李莉</v>
      </c>
      <c r="E2583" s="8" t="str">
        <f>"女"</f>
        <v>女</v>
      </c>
    </row>
    <row r="2584" spans="1:5" s="3" customFormat="1" ht="19.5" customHeight="1">
      <c r="A2584" s="8">
        <v>2582</v>
      </c>
      <c r="B2584" s="8" t="str">
        <f>"21902020071422184327526"</f>
        <v>21902020071422184327526</v>
      </c>
      <c r="C2584" s="8" t="s">
        <v>18</v>
      </c>
      <c r="D2584" s="8" t="str">
        <f>"李明益"</f>
        <v>李明益</v>
      </c>
      <c r="E2584" s="8" t="str">
        <f aca="true" t="shared" si="292" ref="E2584:E2586">"男"</f>
        <v>男</v>
      </c>
    </row>
    <row r="2585" spans="1:5" s="3" customFormat="1" ht="19.5" customHeight="1">
      <c r="A2585" s="8">
        <v>2583</v>
      </c>
      <c r="B2585" s="8" t="str">
        <f>"21902020071423455927623"</f>
        <v>21902020071423455927623</v>
      </c>
      <c r="C2585" s="8" t="s">
        <v>18</v>
      </c>
      <c r="D2585" s="8" t="str">
        <f>"王茂华"</f>
        <v>王茂华</v>
      </c>
      <c r="E2585" s="8" t="str">
        <f t="shared" si="292"/>
        <v>男</v>
      </c>
    </row>
    <row r="2586" spans="1:5" s="3" customFormat="1" ht="19.5" customHeight="1">
      <c r="A2586" s="8">
        <v>2584</v>
      </c>
      <c r="B2586" s="8" t="str">
        <f>"21902020071500064827637"</f>
        <v>21902020071500064827637</v>
      </c>
      <c r="C2586" s="8" t="s">
        <v>18</v>
      </c>
      <c r="D2586" s="8" t="str">
        <f>"麦向文"</f>
        <v>麦向文</v>
      </c>
      <c r="E2586" s="8" t="str">
        <f t="shared" si="292"/>
        <v>男</v>
      </c>
    </row>
    <row r="2587" spans="1:5" s="3" customFormat="1" ht="19.5" customHeight="1">
      <c r="A2587" s="8">
        <v>2585</v>
      </c>
      <c r="B2587" s="8" t="str">
        <f>"21902020071508320827689"</f>
        <v>21902020071508320827689</v>
      </c>
      <c r="C2587" s="8" t="s">
        <v>18</v>
      </c>
      <c r="D2587" s="8" t="str">
        <f>"陈桂玲"</f>
        <v>陈桂玲</v>
      </c>
      <c r="E2587" s="8" t="str">
        <f aca="true" t="shared" si="293" ref="E2587:E2592">"女"</f>
        <v>女</v>
      </c>
    </row>
    <row r="2588" spans="1:5" s="3" customFormat="1" ht="19.5" customHeight="1">
      <c r="A2588" s="8">
        <v>2586</v>
      </c>
      <c r="B2588" s="8" t="str">
        <f>"21902020071508582827715"</f>
        <v>21902020071508582827715</v>
      </c>
      <c r="C2588" s="8" t="s">
        <v>18</v>
      </c>
      <c r="D2588" s="8" t="str">
        <f>"吴超松"</f>
        <v>吴超松</v>
      </c>
      <c r="E2588" s="8" t="str">
        <f aca="true" t="shared" si="294" ref="E2588:E2591">"男"</f>
        <v>男</v>
      </c>
    </row>
    <row r="2589" spans="1:5" s="3" customFormat="1" ht="19.5" customHeight="1">
      <c r="A2589" s="8">
        <v>2587</v>
      </c>
      <c r="B2589" s="8" t="str">
        <f>"21902020071508584027716"</f>
        <v>21902020071508584027716</v>
      </c>
      <c r="C2589" s="8" t="s">
        <v>18</v>
      </c>
      <c r="D2589" s="8" t="str">
        <f>"陈伟光"</f>
        <v>陈伟光</v>
      </c>
      <c r="E2589" s="8" t="str">
        <f t="shared" si="294"/>
        <v>男</v>
      </c>
    </row>
    <row r="2590" spans="1:5" s="3" customFormat="1" ht="19.5" customHeight="1">
      <c r="A2590" s="8">
        <v>2588</v>
      </c>
      <c r="B2590" s="8" t="str">
        <f>"21902020071509260427779"</f>
        <v>21902020071509260427779</v>
      </c>
      <c r="C2590" s="8" t="s">
        <v>18</v>
      </c>
      <c r="D2590" s="8" t="str">
        <f>"陈应间"</f>
        <v>陈应间</v>
      </c>
      <c r="E2590" s="8" t="str">
        <f t="shared" si="293"/>
        <v>女</v>
      </c>
    </row>
    <row r="2591" spans="1:5" s="3" customFormat="1" ht="19.5" customHeight="1">
      <c r="A2591" s="8">
        <v>2589</v>
      </c>
      <c r="B2591" s="8" t="str">
        <f>"21902020071509314927786"</f>
        <v>21902020071509314927786</v>
      </c>
      <c r="C2591" s="8" t="s">
        <v>18</v>
      </c>
      <c r="D2591" s="8" t="str">
        <f>"黎启亮"</f>
        <v>黎启亮</v>
      </c>
      <c r="E2591" s="8" t="str">
        <f t="shared" si="294"/>
        <v>男</v>
      </c>
    </row>
    <row r="2592" spans="1:5" s="3" customFormat="1" ht="19.5" customHeight="1">
      <c r="A2592" s="8">
        <v>2590</v>
      </c>
      <c r="B2592" s="8" t="str">
        <f>"21902020071509424227798"</f>
        <v>21902020071509424227798</v>
      </c>
      <c r="C2592" s="8" t="s">
        <v>18</v>
      </c>
      <c r="D2592" s="8" t="str">
        <f>"羊秀花"</f>
        <v>羊秀花</v>
      </c>
      <c r="E2592" s="8" t="str">
        <f t="shared" si="293"/>
        <v>女</v>
      </c>
    </row>
    <row r="2593" spans="1:5" s="3" customFormat="1" ht="19.5" customHeight="1">
      <c r="A2593" s="8">
        <v>2591</v>
      </c>
      <c r="B2593" s="8" t="str">
        <f>"21902020071509542227821"</f>
        <v>21902020071509542227821</v>
      </c>
      <c r="C2593" s="8" t="s">
        <v>18</v>
      </c>
      <c r="D2593" s="8" t="str">
        <f>"麦汉壁"</f>
        <v>麦汉壁</v>
      </c>
      <c r="E2593" s="8" t="str">
        <f aca="true" t="shared" si="295" ref="E2593:E2598">"男"</f>
        <v>男</v>
      </c>
    </row>
    <row r="2594" spans="1:5" s="3" customFormat="1" ht="19.5" customHeight="1">
      <c r="A2594" s="8">
        <v>2592</v>
      </c>
      <c r="B2594" s="8" t="str">
        <f>"21902020071510242727860"</f>
        <v>21902020071510242727860</v>
      </c>
      <c r="C2594" s="8" t="s">
        <v>18</v>
      </c>
      <c r="D2594" s="8" t="str">
        <f>"刘显花"</f>
        <v>刘显花</v>
      </c>
      <c r="E2594" s="8" t="str">
        <f>"女"</f>
        <v>女</v>
      </c>
    </row>
    <row r="2595" spans="1:5" s="3" customFormat="1" ht="19.5" customHeight="1">
      <c r="A2595" s="8">
        <v>2593</v>
      </c>
      <c r="B2595" s="8" t="str">
        <f>"21902020071510242927861"</f>
        <v>21902020071510242927861</v>
      </c>
      <c r="C2595" s="8" t="s">
        <v>18</v>
      </c>
      <c r="D2595" s="8" t="str">
        <f>"吴定克"</f>
        <v>吴定克</v>
      </c>
      <c r="E2595" s="8" t="str">
        <f t="shared" si="295"/>
        <v>男</v>
      </c>
    </row>
    <row r="2596" spans="1:5" s="3" customFormat="1" ht="19.5" customHeight="1">
      <c r="A2596" s="8">
        <v>2594</v>
      </c>
      <c r="B2596" s="8" t="str">
        <f>"21902020071510310927873"</f>
        <v>21902020071510310927873</v>
      </c>
      <c r="C2596" s="8" t="s">
        <v>18</v>
      </c>
      <c r="D2596" s="8" t="str">
        <f>"陈贤多"</f>
        <v>陈贤多</v>
      </c>
      <c r="E2596" s="8" t="str">
        <f t="shared" si="295"/>
        <v>男</v>
      </c>
    </row>
    <row r="2597" spans="1:5" s="3" customFormat="1" ht="19.5" customHeight="1">
      <c r="A2597" s="8">
        <v>2595</v>
      </c>
      <c r="B2597" s="8" t="str">
        <f>"21902020071510344027878"</f>
        <v>21902020071510344027878</v>
      </c>
      <c r="C2597" s="8" t="s">
        <v>18</v>
      </c>
      <c r="D2597" s="8" t="str">
        <f>"陈俊宇"</f>
        <v>陈俊宇</v>
      </c>
      <c r="E2597" s="8" t="str">
        <f t="shared" si="295"/>
        <v>男</v>
      </c>
    </row>
    <row r="2598" spans="1:5" s="3" customFormat="1" ht="19.5" customHeight="1">
      <c r="A2598" s="8">
        <v>2596</v>
      </c>
      <c r="B2598" s="8" t="str">
        <f>"21902020071510421327895"</f>
        <v>21902020071510421327895</v>
      </c>
      <c r="C2598" s="8" t="s">
        <v>18</v>
      </c>
      <c r="D2598" s="8" t="str">
        <f>"李芳继"</f>
        <v>李芳继</v>
      </c>
      <c r="E2598" s="8" t="str">
        <f t="shared" si="295"/>
        <v>男</v>
      </c>
    </row>
    <row r="2599" spans="1:5" s="3" customFormat="1" ht="19.5" customHeight="1">
      <c r="A2599" s="8">
        <v>2597</v>
      </c>
      <c r="B2599" s="8" t="str">
        <f>"21902020071511202427951"</f>
        <v>21902020071511202427951</v>
      </c>
      <c r="C2599" s="8" t="s">
        <v>18</v>
      </c>
      <c r="D2599" s="8" t="str">
        <f>"唐小妹"</f>
        <v>唐小妹</v>
      </c>
      <c r="E2599" s="8" t="str">
        <f aca="true" t="shared" si="296" ref="E2599:E2603">"女"</f>
        <v>女</v>
      </c>
    </row>
    <row r="2600" spans="1:5" s="3" customFormat="1" ht="19.5" customHeight="1">
      <c r="A2600" s="8">
        <v>2598</v>
      </c>
      <c r="B2600" s="8" t="str">
        <f>"21902020071512351328036"</f>
        <v>21902020071512351328036</v>
      </c>
      <c r="C2600" s="8" t="s">
        <v>18</v>
      </c>
      <c r="D2600" s="8" t="str">
        <f>"杨启星"</f>
        <v>杨启星</v>
      </c>
      <c r="E2600" s="8" t="str">
        <f aca="true" t="shared" si="297" ref="E2600:E2608">"男"</f>
        <v>男</v>
      </c>
    </row>
    <row r="2601" spans="1:5" s="3" customFormat="1" ht="19.5" customHeight="1">
      <c r="A2601" s="8">
        <v>2599</v>
      </c>
      <c r="B2601" s="8" t="str">
        <f>"21902020071513005628057"</f>
        <v>21902020071513005628057</v>
      </c>
      <c r="C2601" s="8" t="s">
        <v>18</v>
      </c>
      <c r="D2601" s="8" t="str">
        <f>"李英菊"</f>
        <v>李英菊</v>
      </c>
      <c r="E2601" s="8" t="str">
        <f t="shared" si="296"/>
        <v>女</v>
      </c>
    </row>
    <row r="2602" spans="1:5" s="3" customFormat="1" ht="19.5" customHeight="1">
      <c r="A2602" s="8">
        <v>2600</v>
      </c>
      <c r="B2602" s="8" t="str">
        <f>"21902020071515275628175"</f>
        <v>21902020071515275628175</v>
      </c>
      <c r="C2602" s="8" t="s">
        <v>18</v>
      </c>
      <c r="D2602" s="8" t="str">
        <f>"吴颖颖"</f>
        <v>吴颖颖</v>
      </c>
      <c r="E2602" s="8" t="str">
        <f t="shared" si="296"/>
        <v>女</v>
      </c>
    </row>
    <row r="2603" spans="1:5" s="3" customFormat="1" ht="19.5" customHeight="1">
      <c r="A2603" s="8">
        <v>2601</v>
      </c>
      <c r="B2603" s="8" t="str">
        <f>"21902020071515284828178"</f>
        <v>21902020071515284828178</v>
      </c>
      <c r="C2603" s="8" t="s">
        <v>18</v>
      </c>
      <c r="D2603" s="8" t="str">
        <f>"杨美玲"</f>
        <v>杨美玲</v>
      </c>
      <c r="E2603" s="8" t="str">
        <f t="shared" si="296"/>
        <v>女</v>
      </c>
    </row>
    <row r="2604" spans="1:5" s="3" customFormat="1" ht="19.5" customHeight="1">
      <c r="A2604" s="8">
        <v>2602</v>
      </c>
      <c r="B2604" s="8" t="str">
        <f>"21902020071516053328226"</f>
        <v>21902020071516053328226</v>
      </c>
      <c r="C2604" s="8" t="s">
        <v>18</v>
      </c>
      <c r="D2604" s="8" t="str">
        <f>"黎家君"</f>
        <v>黎家君</v>
      </c>
      <c r="E2604" s="8" t="str">
        <f t="shared" si="297"/>
        <v>男</v>
      </c>
    </row>
    <row r="2605" spans="1:5" s="3" customFormat="1" ht="19.5" customHeight="1">
      <c r="A2605" s="8">
        <v>2603</v>
      </c>
      <c r="B2605" s="8" t="str">
        <f>"21902020071517355328331"</f>
        <v>21902020071517355328331</v>
      </c>
      <c r="C2605" s="8" t="s">
        <v>18</v>
      </c>
      <c r="D2605" s="8" t="str">
        <f>"王升宁"</f>
        <v>王升宁</v>
      </c>
      <c r="E2605" s="8" t="str">
        <f t="shared" si="297"/>
        <v>男</v>
      </c>
    </row>
    <row r="2606" spans="1:5" s="3" customFormat="1" ht="19.5" customHeight="1">
      <c r="A2606" s="8">
        <v>2604</v>
      </c>
      <c r="B2606" s="8" t="str">
        <f>"21902020071518591128393"</f>
        <v>21902020071518591128393</v>
      </c>
      <c r="C2606" s="8" t="s">
        <v>18</v>
      </c>
      <c r="D2606" s="8" t="str">
        <f>"陈道占"</f>
        <v>陈道占</v>
      </c>
      <c r="E2606" s="8" t="str">
        <f t="shared" si="297"/>
        <v>男</v>
      </c>
    </row>
    <row r="2607" spans="1:5" s="3" customFormat="1" ht="19.5" customHeight="1">
      <c r="A2607" s="8">
        <v>2605</v>
      </c>
      <c r="B2607" s="8" t="str">
        <f>"21902020071520443228482"</f>
        <v>21902020071520443228482</v>
      </c>
      <c r="C2607" s="8" t="s">
        <v>18</v>
      </c>
      <c r="D2607" s="8" t="str">
        <f>"李生能"</f>
        <v>李生能</v>
      </c>
      <c r="E2607" s="8" t="str">
        <f t="shared" si="297"/>
        <v>男</v>
      </c>
    </row>
    <row r="2608" spans="1:5" s="3" customFormat="1" ht="19.5" customHeight="1">
      <c r="A2608" s="8">
        <v>2606</v>
      </c>
      <c r="B2608" s="8" t="str">
        <f>"21902020071522034728549"</f>
        <v>21902020071522034728549</v>
      </c>
      <c r="C2608" s="8" t="s">
        <v>18</v>
      </c>
      <c r="D2608" s="8" t="str">
        <f>"王汉"</f>
        <v>王汉</v>
      </c>
      <c r="E2608" s="8" t="str">
        <f t="shared" si="297"/>
        <v>男</v>
      </c>
    </row>
    <row r="2609" spans="1:5" s="3" customFormat="1" ht="19.5" customHeight="1">
      <c r="A2609" s="8">
        <v>2607</v>
      </c>
      <c r="B2609" s="8" t="str">
        <f>"21902020071522300428578"</f>
        <v>21902020071522300428578</v>
      </c>
      <c r="C2609" s="8" t="s">
        <v>18</v>
      </c>
      <c r="D2609" s="8" t="str">
        <f>"金英乾"</f>
        <v>金英乾</v>
      </c>
      <c r="E2609" s="8" t="str">
        <f aca="true" t="shared" si="298" ref="E2609:E2615">"女"</f>
        <v>女</v>
      </c>
    </row>
    <row r="2610" spans="1:5" s="3" customFormat="1" ht="19.5" customHeight="1">
      <c r="A2610" s="8">
        <v>2608</v>
      </c>
      <c r="B2610" s="8" t="str">
        <f>"21902020071522470128593"</f>
        <v>21902020071522470128593</v>
      </c>
      <c r="C2610" s="8" t="s">
        <v>18</v>
      </c>
      <c r="D2610" s="8" t="str">
        <f>"许盛源"</f>
        <v>许盛源</v>
      </c>
      <c r="E2610" s="8" t="str">
        <f>"男"</f>
        <v>男</v>
      </c>
    </row>
    <row r="2611" spans="1:5" s="3" customFormat="1" ht="19.5" customHeight="1">
      <c r="A2611" s="8">
        <v>2609</v>
      </c>
      <c r="B2611" s="8" t="str">
        <f>"21902020071523130528607"</f>
        <v>21902020071523130528607</v>
      </c>
      <c r="C2611" s="8" t="s">
        <v>18</v>
      </c>
      <c r="D2611" s="8" t="str">
        <f>"陈帼翠"</f>
        <v>陈帼翠</v>
      </c>
      <c r="E2611" s="8" t="str">
        <f t="shared" si="298"/>
        <v>女</v>
      </c>
    </row>
    <row r="2612" spans="1:5" s="3" customFormat="1" ht="19.5" customHeight="1">
      <c r="A2612" s="8">
        <v>2610</v>
      </c>
      <c r="B2612" s="8" t="str">
        <f>"21902020071600200228646"</f>
        <v>21902020071600200228646</v>
      </c>
      <c r="C2612" s="8" t="s">
        <v>18</v>
      </c>
      <c r="D2612" s="8" t="str">
        <f>"王天林"</f>
        <v>王天林</v>
      </c>
      <c r="E2612" s="8" t="str">
        <f aca="true" t="shared" si="299" ref="E2612:E2617">"男"</f>
        <v>男</v>
      </c>
    </row>
    <row r="2613" spans="1:5" s="3" customFormat="1" ht="19.5" customHeight="1">
      <c r="A2613" s="8">
        <v>2611</v>
      </c>
      <c r="B2613" s="8" t="str">
        <f>"21902020071608021728673"</f>
        <v>21902020071608021728673</v>
      </c>
      <c r="C2613" s="8" t="s">
        <v>18</v>
      </c>
      <c r="D2613" s="8" t="str">
        <f>"刘庆桃"</f>
        <v>刘庆桃</v>
      </c>
      <c r="E2613" s="8" t="str">
        <f t="shared" si="298"/>
        <v>女</v>
      </c>
    </row>
    <row r="2614" spans="1:5" s="3" customFormat="1" ht="19.5" customHeight="1">
      <c r="A2614" s="8">
        <v>2612</v>
      </c>
      <c r="B2614" s="8" t="str">
        <f>"21902020071609103228707"</f>
        <v>21902020071609103228707</v>
      </c>
      <c r="C2614" s="8" t="s">
        <v>18</v>
      </c>
      <c r="D2614" s="8" t="str">
        <f>"赵金丽"</f>
        <v>赵金丽</v>
      </c>
      <c r="E2614" s="8" t="str">
        <f t="shared" si="298"/>
        <v>女</v>
      </c>
    </row>
    <row r="2615" spans="1:5" s="3" customFormat="1" ht="19.5" customHeight="1">
      <c r="A2615" s="8">
        <v>2613</v>
      </c>
      <c r="B2615" s="8" t="str">
        <f>"21902020071609314828727"</f>
        <v>21902020071609314828727</v>
      </c>
      <c r="C2615" s="8" t="s">
        <v>18</v>
      </c>
      <c r="D2615" s="8" t="str">
        <f>"吕秀娇"</f>
        <v>吕秀娇</v>
      </c>
      <c r="E2615" s="8" t="str">
        <f t="shared" si="298"/>
        <v>女</v>
      </c>
    </row>
    <row r="2616" spans="1:5" s="3" customFormat="1" ht="19.5" customHeight="1">
      <c r="A2616" s="8">
        <v>2614</v>
      </c>
      <c r="B2616" s="8" t="str">
        <f>"21902020071610373128780"</f>
        <v>21902020071610373128780</v>
      </c>
      <c r="C2616" s="8" t="s">
        <v>18</v>
      </c>
      <c r="D2616" s="8" t="str">
        <f>"洪道俊"</f>
        <v>洪道俊</v>
      </c>
      <c r="E2616" s="8" t="str">
        <f t="shared" si="299"/>
        <v>男</v>
      </c>
    </row>
    <row r="2617" spans="1:5" s="3" customFormat="1" ht="19.5" customHeight="1">
      <c r="A2617" s="8">
        <v>2615</v>
      </c>
      <c r="B2617" s="8" t="str">
        <f>"21902020071611134228821"</f>
        <v>21902020071611134228821</v>
      </c>
      <c r="C2617" s="8" t="s">
        <v>18</v>
      </c>
      <c r="D2617" s="8" t="str">
        <f>"梁赞阳"</f>
        <v>梁赞阳</v>
      </c>
      <c r="E2617" s="8" t="str">
        <f t="shared" si="299"/>
        <v>男</v>
      </c>
    </row>
    <row r="2618" spans="1:5" s="3" customFormat="1" ht="19.5" customHeight="1">
      <c r="A2618" s="8">
        <v>2616</v>
      </c>
      <c r="B2618" s="8" t="str">
        <f>"21902020071613020328904"</f>
        <v>21902020071613020328904</v>
      </c>
      <c r="C2618" s="8" t="s">
        <v>18</v>
      </c>
      <c r="D2618" s="8" t="str">
        <f>"林慧芳"</f>
        <v>林慧芳</v>
      </c>
      <c r="E2618" s="8" t="str">
        <f aca="true" t="shared" si="300" ref="E2618:E2620">"女"</f>
        <v>女</v>
      </c>
    </row>
    <row r="2619" spans="1:5" s="3" customFormat="1" ht="19.5" customHeight="1">
      <c r="A2619" s="8">
        <v>2617</v>
      </c>
      <c r="B2619" s="8" t="str">
        <f>"21902020071613164028917"</f>
        <v>21902020071613164028917</v>
      </c>
      <c r="C2619" s="8" t="s">
        <v>18</v>
      </c>
      <c r="D2619" s="8" t="str">
        <f>"蒲金远"</f>
        <v>蒲金远</v>
      </c>
      <c r="E2619" s="8" t="str">
        <f t="shared" si="300"/>
        <v>女</v>
      </c>
    </row>
    <row r="2620" spans="1:5" s="3" customFormat="1" ht="19.5" customHeight="1">
      <c r="A2620" s="8">
        <v>2618</v>
      </c>
      <c r="B2620" s="8" t="str">
        <f>"21902020071614301128946"</f>
        <v>21902020071614301128946</v>
      </c>
      <c r="C2620" s="8" t="s">
        <v>18</v>
      </c>
      <c r="D2620" s="8" t="str">
        <f>"王文庆"</f>
        <v>王文庆</v>
      </c>
      <c r="E2620" s="8" t="str">
        <f t="shared" si="300"/>
        <v>女</v>
      </c>
    </row>
    <row r="2621" spans="1:5" s="3" customFormat="1" ht="19.5" customHeight="1">
      <c r="A2621" s="8">
        <v>2619</v>
      </c>
      <c r="B2621" s="8" t="str">
        <f>"21902020071615122428980"</f>
        <v>21902020071615122428980</v>
      </c>
      <c r="C2621" s="8" t="s">
        <v>18</v>
      </c>
      <c r="D2621" s="8" t="str">
        <f>"许永生"</f>
        <v>许永生</v>
      </c>
      <c r="E2621" s="8" t="str">
        <f aca="true" t="shared" si="301" ref="E2621:E2625">"男"</f>
        <v>男</v>
      </c>
    </row>
    <row r="2622" spans="1:5" s="3" customFormat="1" ht="19.5" customHeight="1">
      <c r="A2622" s="8">
        <v>2620</v>
      </c>
      <c r="B2622" s="8" t="str">
        <f>"21902020071615245628993"</f>
        <v>21902020071615245628993</v>
      </c>
      <c r="C2622" s="8" t="s">
        <v>18</v>
      </c>
      <c r="D2622" s="8" t="str">
        <f>"陈道玉"</f>
        <v>陈道玉</v>
      </c>
      <c r="E2622" s="8" t="str">
        <f>"女"</f>
        <v>女</v>
      </c>
    </row>
    <row r="2623" spans="1:5" s="3" customFormat="1" ht="19.5" customHeight="1">
      <c r="A2623" s="8">
        <v>2621</v>
      </c>
      <c r="B2623" s="8" t="str">
        <f>"21902020071615325329000"</f>
        <v>21902020071615325329000</v>
      </c>
      <c r="C2623" s="8" t="s">
        <v>18</v>
      </c>
      <c r="D2623" s="8" t="str">
        <f>"符豪智"</f>
        <v>符豪智</v>
      </c>
      <c r="E2623" s="8" t="str">
        <f t="shared" si="301"/>
        <v>男</v>
      </c>
    </row>
    <row r="2624" spans="1:5" s="3" customFormat="1" ht="19.5" customHeight="1">
      <c r="A2624" s="8">
        <v>2622</v>
      </c>
      <c r="B2624" s="8" t="str">
        <f>"21902020071615371329005"</f>
        <v>21902020071615371329005</v>
      </c>
      <c r="C2624" s="8" t="s">
        <v>18</v>
      </c>
      <c r="D2624" s="8" t="str">
        <f>"王博识"</f>
        <v>王博识</v>
      </c>
      <c r="E2624" s="8" t="str">
        <f t="shared" si="301"/>
        <v>男</v>
      </c>
    </row>
    <row r="2625" spans="1:5" s="3" customFormat="1" ht="19.5" customHeight="1">
      <c r="A2625" s="8">
        <v>2623</v>
      </c>
      <c r="B2625" s="8" t="str">
        <f>"21902020071616580029083"</f>
        <v>21902020071616580029083</v>
      </c>
      <c r="C2625" s="8" t="s">
        <v>18</v>
      </c>
      <c r="D2625" s="8" t="str">
        <f>"王诒珉"</f>
        <v>王诒珉</v>
      </c>
      <c r="E2625" s="8" t="str">
        <f t="shared" si="301"/>
        <v>男</v>
      </c>
    </row>
    <row r="2626" spans="1:5" s="3" customFormat="1" ht="19.5" customHeight="1">
      <c r="A2626" s="8">
        <v>2624</v>
      </c>
      <c r="B2626" s="8" t="str">
        <f>"21902020071618064429133"</f>
        <v>21902020071618064429133</v>
      </c>
      <c r="C2626" s="8" t="s">
        <v>18</v>
      </c>
      <c r="D2626" s="8" t="str">
        <f>"薛丽斌"</f>
        <v>薛丽斌</v>
      </c>
      <c r="E2626" s="8" t="str">
        <f aca="true" t="shared" si="302" ref="E2626:E2630">"女"</f>
        <v>女</v>
      </c>
    </row>
    <row r="2627" spans="1:5" s="3" customFormat="1" ht="19.5" customHeight="1">
      <c r="A2627" s="8">
        <v>2625</v>
      </c>
      <c r="B2627" s="8" t="str">
        <f>"21902020071620055229190"</f>
        <v>21902020071620055229190</v>
      </c>
      <c r="C2627" s="8" t="s">
        <v>18</v>
      </c>
      <c r="D2627" s="8" t="str">
        <f>"谢晋授"</f>
        <v>谢晋授</v>
      </c>
      <c r="E2627" s="8" t="str">
        <f aca="true" t="shared" si="303" ref="E2627:E2632">"男"</f>
        <v>男</v>
      </c>
    </row>
    <row r="2628" spans="1:5" s="3" customFormat="1" ht="19.5" customHeight="1">
      <c r="A2628" s="8">
        <v>2626</v>
      </c>
      <c r="B2628" s="8" t="str">
        <f>"21902020071705181629316"</f>
        <v>21902020071705181629316</v>
      </c>
      <c r="C2628" s="8" t="s">
        <v>18</v>
      </c>
      <c r="D2628" s="8" t="str">
        <f>"梁国祥"</f>
        <v>梁国祥</v>
      </c>
      <c r="E2628" s="8" t="str">
        <f t="shared" si="303"/>
        <v>男</v>
      </c>
    </row>
    <row r="2629" spans="1:5" s="3" customFormat="1" ht="19.5" customHeight="1">
      <c r="A2629" s="8">
        <v>2627</v>
      </c>
      <c r="B2629" s="8" t="str">
        <f>"21902020071708552729344"</f>
        <v>21902020071708552729344</v>
      </c>
      <c r="C2629" s="8" t="s">
        <v>18</v>
      </c>
      <c r="D2629" s="8" t="str">
        <f>"羊昆妮"</f>
        <v>羊昆妮</v>
      </c>
      <c r="E2629" s="8" t="str">
        <f t="shared" si="302"/>
        <v>女</v>
      </c>
    </row>
    <row r="2630" spans="1:5" s="3" customFormat="1" ht="19.5" customHeight="1">
      <c r="A2630" s="8">
        <v>2628</v>
      </c>
      <c r="B2630" s="8" t="str">
        <f>"21902020071709154429357"</f>
        <v>21902020071709154429357</v>
      </c>
      <c r="C2630" s="8" t="s">
        <v>18</v>
      </c>
      <c r="D2630" s="8" t="str">
        <f>"石井花"</f>
        <v>石井花</v>
      </c>
      <c r="E2630" s="8" t="str">
        <f t="shared" si="302"/>
        <v>女</v>
      </c>
    </row>
    <row r="2631" spans="1:5" s="3" customFormat="1" ht="19.5" customHeight="1">
      <c r="A2631" s="8">
        <v>2629</v>
      </c>
      <c r="B2631" s="8" t="str">
        <f>"21902020071709463429379"</f>
        <v>21902020071709463429379</v>
      </c>
      <c r="C2631" s="8" t="s">
        <v>18</v>
      </c>
      <c r="D2631" s="8" t="str">
        <f>"吴南海"</f>
        <v>吴南海</v>
      </c>
      <c r="E2631" s="8" t="str">
        <f t="shared" si="303"/>
        <v>男</v>
      </c>
    </row>
    <row r="2632" spans="1:5" s="3" customFormat="1" ht="19.5" customHeight="1">
      <c r="A2632" s="8">
        <v>2630</v>
      </c>
      <c r="B2632" s="8" t="str">
        <f>"21902020071710150029400"</f>
        <v>21902020071710150029400</v>
      </c>
      <c r="C2632" s="8" t="s">
        <v>18</v>
      </c>
      <c r="D2632" s="8" t="str">
        <f>"李大挺"</f>
        <v>李大挺</v>
      </c>
      <c r="E2632" s="8" t="str">
        <f t="shared" si="303"/>
        <v>男</v>
      </c>
    </row>
    <row r="2633" spans="1:5" s="3" customFormat="1" ht="19.5" customHeight="1">
      <c r="A2633" s="8">
        <v>2631</v>
      </c>
      <c r="B2633" s="8" t="str">
        <f>"21902020071711134629444"</f>
        <v>21902020071711134629444</v>
      </c>
      <c r="C2633" s="8" t="s">
        <v>18</v>
      </c>
      <c r="D2633" s="8" t="str">
        <f>"林玲姑"</f>
        <v>林玲姑</v>
      </c>
      <c r="E2633" s="8" t="str">
        <f aca="true" t="shared" si="304" ref="E2633:E2639">"女"</f>
        <v>女</v>
      </c>
    </row>
    <row r="2634" spans="1:5" s="3" customFormat="1" ht="19.5" customHeight="1">
      <c r="A2634" s="8">
        <v>2632</v>
      </c>
      <c r="B2634" s="8" t="str">
        <f>"21902020071711481829471"</f>
        <v>21902020071711481829471</v>
      </c>
      <c r="C2634" s="8" t="s">
        <v>18</v>
      </c>
      <c r="D2634" s="8" t="str">
        <f>"梁知海"</f>
        <v>梁知海</v>
      </c>
      <c r="E2634" s="8" t="str">
        <f>"男"</f>
        <v>男</v>
      </c>
    </row>
    <row r="2635" spans="1:5" s="3" customFormat="1" ht="19.5" customHeight="1">
      <c r="A2635" s="8">
        <v>2633</v>
      </c>
      <c r="B2635" s="8" t="str">
        <f>"21902020071715022129574"</f>
        <v>21902020071715022129574</v>
      </c>
      <c r="C2635" s="8" t="s">
        <v>18</v>
      </c>
      <c r="D2635" s="8" t="str">
        <f>"阮坤爱"</f>
        <v>阮坤爱</v>
      </c>
      <c r="E2635" s="8" t="str">
        <f t="shared" si="304"/>
        <v>女</v>
      </c>
    </row>
    <row r="2636" spans="1:5" s="3" customFormat="1" ht="19.5" customHeight="1">
      <c r="A2636" s="8">
        <v>2634</v>
      </c>
      <c r="B2636" s="8" t="str">
        <f>"21902020071715415929608"</f>
        <v>21902020071715415929608</v>
      </c>
      <c r="C2636" s="8" t="s">
        <v>18</v>
      </c>
      <c r="D2636" s="8" t="str">
        <f>"王发卿"</f>
        <v>王发卿</v>
      </c>
      <c r="E2636" s="8" t="str">
        <f aca="true" t="shared" si="305" ref="E2636:E2642">"男"</f>
        <v>男</v>
      </c>
    </row>
    <row r="2637" spans="1:5" s="3" customFormat="1" ht="19.5" customHeight="1">
      <c r="A2637" s="8">
        <v>2635</v>
      </c>
      <c r="B2637" s="8" t="str">
        <f>"21902020071716305529645"</f>
        <v>21902020071716305529645</v>
      </c>
      <c r="C2637" s="8" t="s">
        <v>18</v>
      </c>
      <c r="D2637" s="8" t="str">
        <f>"符倩"</f>
        <v>符倩</v>
      </c>
      <c r="E2637" s="8" t="str">
        <f t="shared" si="304"/>
        <v>女</v>
      </c>
    </row>
    <row r="2638" spans="1:5" s="3" customFormat="1" ht="19.5" customHeight="1">
      <c r="A2638" s="8">
        <v>2636</v>
      </c>
      <c r="B2638" s="8" t="str">
        <f>"21902020071717021429662"</f>
        <v>21902020071717021429662</v>
      </c>
      <c r="C2638" s="8" t="s">
        <v>18</v>
      </c>
      <c r="D2638" s="8" t="str">
        <f>"林丽珍"</f>
        <v>林丽珍</v>
      </c>
      <c r="E2638" s="8" t="str">
        <f t="shared" si="304"/>
        <v>女</v>
      </c>
    </row>
    <row r="2639" spans="1:5" s="3" customFormat="1" ht="19.5" customHeight="1">
      <c r="A2639" s="8">
        <v>2637</v>
      </c>
      <c r="B2639" s="8" t="str">
        <f>"21902020071808122529810"</f>
        <v>21902020071808122529810</v>
      </c>
      <c r="C2639" s="8" t="s">
        <v>18</v>
      </c>
      <c r="D2639" s="8" t="str">
        <f>"陈井带"</f>
        <v>陈井带</v>
      </c>
      <c r="E2639" s="8" t="str">
        <f t="shared" si="304"/>
        <v>女</v>
      </c>
    </row>
    <row r="2640" spans="1:5" s="3" customFormat="1" ht="19.5" customHeight="1">
      <c r="A2640" s="8">
        <v>2638</v>
      </c>
      <c r="B2640" s="8" t="str">
        <f>"21902020071809245229822"</f>
        <v>21902020071809245229822</v>
      </c>
      <c r="C2640" s="8" t="s">
        <v>18</v>
      </c>
      <c r="D2640" s="8" t="str">
        <f>"陈为尧"</f>
        <v>陈为尧</v>
      </c>
      <c r="E2640" s="8" t="str">
        <f t="shared" si="305"/>
        <v>男</v>
      </c>
    </row>
    <row r="2641" spans="1:5" s="3" customFormat="1" ht="19.5" customHeight="1">
      <c r="A2641" s="8">
        <v>2639</v>
      </c>
      <c r="B2641" s="8" t="str">
        <f>"21902020071813312529913"</f>
        <v>21902020071813312529913</v>
      </c>
      <c r="C2641" s="8" t="s">
        <v>18</v>
      </c>
      <c r="D2641" s="8" t="str">
        <f>"林明江"</f>
        <v>林明江</v>
      </c>
      <c r="E2641" s="8" t="str">
        <f t="shared" si="305"/>
        <v>男</v>
      </c>
    </row>
    <row r="2642" spans="1:5" s="3" customFormat="1" ht="19.5" customHeight="1">
      <c r="A2642" s="8">
        <v>2640</v>
      </c>
      <c r="B2642" s="8" t="str">
        <f>"21902020071814055829922"</f>
        <v>21902020071814055829922</v>
      </c>
      <c r="C2642" s="8" t="s">
        <v>18</v>
      </c>
      <c r="D2642" s="8" t="str">
        <f>"吴东升"</f>
        <v>吴东升</v>
      </c>
      <c r="E2642" s="8" t="str">
        <f t="shared" si="305"/>
        <v>男</v>
      </c>
    </row>
    <row r="2643" spans="1:5" s="3" customFormat="1" ht="19.5" customHeight="1">
      <c r="A2643" s="8">
        <v>2641</v>
      </c>
      <c r="B2643" s="8" t="str">
        <f>"21902020071910150530112"</f>
        <v>21902020071910150530112</v>
      </c>
      <c r="C2643" s="8" t="s">
        <v>18</v>
      </c>
      <c r="D2643" s="8" t="str">
        <f>"黎海燕"</f>
        <v>黎海燕</v>
      </c>
      <c r="E2643" s="8" t="str">
        <f aca="true" t="shared" si="306" ref="E2643:E2648">"女"</f>
        <v>女</v>
      </c>
    </row>
    <row r="2644" spans="1:5" s="3" customFormat="1" ht="19.5" customHeight="1">
      <c r="A2644" s="8">
        <v>2642</v>
      </c>
      <c r="B2644" s="8" t="str">
        <f>"21902020071913310230190"</f>
        <v>21902020071913310230190</v>
      </c>
      <c r="C2644" s="8" t="s">
        <v>18</v>
      </c>
      <c r="D2644" s="8" t="str">
        <f>"陈候俭"</f>
        <v>陈候俭</v>
      </c>
      <c r="E2644" s="8" t="str">
        <f aca="true" t="shared" si="307" ref="E2644:E2647">"男"</f>
        <v>男</v>
      </c>
    </row>
    <row r="2645" spans="1:5" s="3" customFormat="1" ht="19.5" customHeight="1">
      <c r="A2645" s="8">
        <v>2643</v>
      </c>
      <c r="B2645" s="8" t="str">
        <f>"21902020071914450130215"</f>
        <v>21902020071914450130215</v>
      </c>
      <c r="C2645" s="8" t="s">
        <v>18</v>
      </c>
      <c r="D2645" s="8" t="str">
        <f>"吕世珠"</f>
        <v>吕世珠</v>
      </c>
      <c r="E2645" s="8" t="str">
        <f t="shared" si="306"/>
        <v>女</v>
      </c>
    </row>
    <row r="2646" spans="1:5" s="3" customFormat="1" ht="19.5" customHeight="1">
      <c r="A2646" s="8">
        <v>2644</v>
      </c>
      <c r="B2646" s="8" t="str">
        <f>"21902020071917030330268"</f>
        <v>21902020071917030330268</v>
      </c>
      <c r="C2646" s="8" t="s">
        <v>18</v>
      </c>
      <c r="D2646" s="8" t="str">
        <f>"江青敏"</f>
        <v>江青敏</v>
      </c>
      <c r="E2646" s="8" t="str">
        <f t="shared" si="307"/>
        <v>男</v>
      </c>
    </row>
    <row r="2647" spans="1:5" s="3" customFormat="1" ht="19.5" customHeight="1">
      <c r="A2647" s="8">
        <v>2645</v>
      </c>
      <c r="B2647" s="8" t="str">
        <f>"21902020071917171230272"</f>
        <v>21902020071917171230272</v>
      </c>
      <c r="C2647" s="8" t="s">
        <v>18</v>
      </c>
      <c r="D2647" s="8" t="str">
        <f>"陈达彪"</f>
        <v>陈达彪</v>
      </c>
      <c r="E2647" s="8" t="str">
        <f t="shared" si="307"/>
        <v>男</v>
      </c>
    </row>
    <row r="2648" spans="1:5" s="3" customFormat="1" ht="19.5" customHeight="1">
      <c r="A2648" s="8">
        <v>2646</v>
      </c>
      <c r="B2648" s="8" t="str">
        <f>"21902020071917302030279"</f>
        <v>21902020071917302030279</v>
      </c>
      <c r="C2648" s="8" t="s">
        <v>18</v>
      </c>
      <c r="D2648" s="8" t="str">
        <f>"陈江美"</f>
        <v>陈江美</v>
      </c>
      <c r="E2648" s="8" t="str">
        <f t="shared" si="306"/>
        <v>女</v>
      </c>
    </row>
    <row r="2649" spans="1:5" s="3" customFormat="1" ht="19.5" customHeight="1">
      <c r="A2649" s="8">
        <v>2647</v>
      </c>
      <c r="B2649" s="8" t="str">
        <f>"21902020071920511230339"</f>
        <v>21902020071920511230339</v>
      </c>
      <c r="C2649" s="8" t="s">
        <v>18</v>
      </c>
      <c r="D2649" s="8" t="str">
        <f>"羊发壮"</f>
        <v>羊发壮</v>
      </c>
      <c r="E2649" s="8" t="str">
        <f aca="true" t="shared" si="308" ref="E2649:E2651">"男"</f>
        <v>男</v>
      </c>
    </row>
    <row r="2650" spans="1:5" s="3" customFormat="1" ht="19.5" customHeight="1">
      <c r="A2650" s="8">
        <v>2648</v>
      </c>
      <c r="B2650" s="8" t="str">
        <f>"21902020071922025430361"</f>
        <v>21902020071922025430361</v>
      </c>
      <c r="C2650" s="8" t="s">
        <v>18</v>
      </c>
      <c r="D2650" s="8" t="str">
        <f>"薛运泽"</f>
        <v>薛运泽</v>
      </c>
      <c r="E2650" s="8" t="str">
        <f t="shared" si="308"/>
        <v>男</v>
      </c>
    </row>
    <row r="2651" spans="1:5" s="3" customFormat="1" ht="19.5" customHeight="1">
      <c r="A2651" s="8">
        <v>2649</v>
      </c>
      <c r="B2651" s="8" t="str">
        <f>"21902020071922513030382"</f>
        <v>21902020071922513030382</v>
      </c>
      <c r="C2651" s="8" t="s">
        <v>18</v>
      </c>
      <c r="D2651" s="8" t="str">
        <f>"邢成"</f>
        <v>邢成</v>
      </c>
      <c r="E2651" s="8" t="str">
        <f t="shared" si="308"/>
        <v>男</v>
      </c>
    </row>
    <row r="2652" spans="1:5" s="3" customFormat="1" ht="19.5" customHeight="1">
      <c r="A2652" s="8">
        <v>2650</v>
      </c>
      <c r="B2652" s="8" t="str">
        <f>"21902020071923152530394"</f>
        <v>21902020071923152530394</v>
      </c>
      <c r="C2652" s="8" t="s">
        <v>18</v>
      </c>
      <c r="D2652" s="8" t="str">
        <f>"王晓盖"</f>
        <v>王晓盖</v>
      </c>
      <c r="E2652" s="8" t="str">
        <f aca="true" t="shared" si="309" ref="E2652:E2654">"女"</f>
        <v>女</v>
      </c>
    </row>
    <row r="2653" spans="1:5" s="3" customFormat="1" ht="19.5" customHeight="1">
      <c r="A2653" s="8">
        <v>2651</v>
      </c>
      <c r="B2653" s="8" t="str">
        <f>"21902020071923534430403"</f>
        <v>21902020071923534430403</v>
      </c>
      <c r="C2653" s="8" t="s">
        <v>18</v>
      </c>
      <c r="D2653" s="8" t="str">
        <f>"陈婆娟"</f>
        <v>陈婆娟</v>
      </c>
      <c r="E2653" s="8" t="str">
        <f t="shared" si="309"/>
        <v>女</v>
      </c>
    </row>
    <row r="2654" spans="1:5" s="3" customFormat="1" ht="19.5" customHeight="1">
      <c r="A2654" s="8">
        <v>2652</v>
      </c>
      <c r="B2654" s="8" t="str">
        <f>"21902020072009042030455"</f>
        <v>21902020072009042030455</v>
      </c>
      <c r="C2654" s="8" t="s">
        <v>18</v>
      </c>
      <c r="D2654" s="8" t="str">
        <f>"陈雪梅"</f>
        <v>陈雪梅</v>
      </c>
      <c r="E2654" s="8" t="str">
        <f t="shared" si="309"/>
        <v>女</v>
      </c>
    </row>
    <row r="2655" spans="1:5" s="3" customFormat="1" ht="19.5" customHeight="1">
      <c r="A2655" s="8">
        <v>2653</v>
      </c>
      <c r="B2655" s="8" t="str">
        <f>"21902020072009074830456"</f>
        <v>21902020072009074830456</v>
      </c>
      <c r="C2655" s="8" t="s">
        <v>18</v>
      </c>
      <c r="D2655" s="8" t="str">
        <f>"李巨威"</f>
        <v>李巨威</v>
      </c>
      <c r="E2655" s="8" t="str">
        <f aca="true" t="shared" si="310" ref="E2655:E2660">"男"</f>
        <v>男</v>
      </c>
    </row>
    <row r="2656" spans="1:5" s="3" customFormat="1" ht="19.5" customHeight="1">
      <c r="A2656" s="8">
        <v>2654</v>
      </c>
      <c r="B2656" s="8" t="str">
        <f>"21902020072009393630492"</f>
        <v>21902020072009393630492</v>
      </c>
      <c r="C2656" s="8" t="s">
        <v>18</v>
      </c>
      <c r="D2656" s="8" t="str">
        <f>"羊晓华"</f>
        <v>羊晓华</v>
      </c>
      <c r="E2656" s="8" t="str">
        <f aca="true" t="shared" si="311" ref="E2656:E2662">"女"</f>
        <v>女</v>
      </c>
    </row>
    <row r="2657" spans="1:5" s="3" customFormat="1" ht="19.5" customHeight="1">
      <c r="A2657" s="8">
        <v>2655</v>
      </c>
      <c r="B2657" s="8" t="str">
        <f>"21902020072009435430496"</f>
        <v>21902020072009435430496</v>
      </c>
      <c r="C2657" s="8" t="s">
        <v>18</v>
      </c>
      <c r="D2657" s="8" t="str">
        <f>"梁建民"</f>
        <v>梁建民</v>
      </c>
      <c r="E2657" s="8" t="str">
        <f t="shared" si="310"/>
        <v>男</v>
      </c>
    </row>
    <row r="2658" spans="1:5" s="3" customFormat="1" ht="19.5" customHeight="1">
      <c r="A2658" s="8">
        <v>2656</v>
      </c>
      <c r="B2658" s="8" t="str">
        <f>"21902020072010520130541"</f>
        <v>21902020072010520130541</v>
      </c>
      <c r="C2658" s="8" t="s">
        <v>18</v>
      </c>
      <c r="D2658" s="8" t="str">
        <f>"刘莉"</f>
        <v>刘莉</v>
      </c>
      <c r="E2658" s="8" t="str">
        <f t="shared" si="311"/>
        <v>女</v>
      </c>
    </row>
    <row r="2659" spans="1:5" s="3" customFormat="1" ht="19.5" customHeight="1">
      <c r="A2659" s="8">
        <v>2657</v>
      </c>
      <c r="B2659" s="8" t="str">
        <f>"21902020072012420930623"</f>
        <v>21902020072012420930623</v>
      </c>
      <c r="C2659" s="8" t="s">
        <v>18</v>
      </c>
      <c r="D2659" s="8" t="str">
        <f>"陈尚元"</f>
        <v>陈尚元</v>
      </c>
      <c r="E2659" s="8" t="str">
        <f t="shared" si="310"/>
        <v>男</v>
      </c>
    </row>
    <row r="2660" spans="1:5" s="3" customFormat="1" ht="19.5" customHeight="1">
      <c r="A2660" s="8">
        <v>2658</v>
      </c>
      <c r="B2660" s="8" t="str">
        <f>"21902020072015500130747"</f>
        <v>21902020072015500130747</v>
      </c>
      <c r="C2660" s="8" t="s">
        <v>18</v>
      </c>
      <c r="D2660" s="8" t="str">
        <f>"林春耀"</f>
        <v>林春耀</v>
      </c>
      <c r="E2660" s="8" t="str">
        <f t="shared" si="310"/>
        <v>男</v>
      </c>
    </row>
    <row r="2661" spans="1:5" s="3" customFormat="1" ht="19.5" customHeight="1">
      <c r="A2661" s="8">
        <v>2659</v>
      </c>
      <c r="B2661" s="8" t="str">
        <f>"21902020072015542130752"</f>
        <v>21902020072015542130752</v>
      </c>
      <c r="C2661" s="8" t="s">
        <v>18</v>
      </c>
      <c r="D2661" s="8" t="str">
        <f>"钟庆兰"</f>
        <v>钟庆兰</v>
      </c>
      <c r="E2661" s="8" t="str">
        <f t="shared" si="311"/>
        <v>女</v>
      </c>
    </row>
    <row r="2662" spans="1:5" s="3" customFormat="1" ht="19.5" customHeight="1">
      <c r="A2662" s="8">
        <v>2660</v>
      </c>
      <c r="B2662" s="8" t="str">
        <f>"21902020071409022725944"</f>
        <v>21902020071409022725944</v>
      </c>
      <c r="C2662" s="8" t="s">
        <v>19</v>
      </c>
      <c r="D2662" s="8" t="str">
        <f>"符李敏"</f>
        <v>符李敏</v>
      </c>
      <c r="E2662" s="8" t="str">
        <f t="shared" si="311"/>
        <v>女</v>
      </c>
    </row>
    <row r="2663" spans="1:5" s="3" customFormat="1" ht="19.5" customHeight="1">
      <c r="A2663" s="8">
        <v>2661</v>
      </c>
      <c r="B2663" s="8" t="str">
        <f>"21902020071409253826098"</f>
        <v>21902020071409253826098</v>
      </c>
      <c r="C2663" s="8" t="s">
        <v>19</v>
      </c>
      <c r="D2663" s="8" t="str">
        <f>"许林伟"</f>
        <v>许林伟</v>
      </c>
      <c r="E2663" s="8" t="str">
        <f aca="true" t="shared" si="312" ref="E2663:E2667">"男"</f>
        <v>男</v>
      </c>
    </row>
    <row r="2664" spans="1:5" s="3" customFormat="1" ht="19.5" customHeight="1">
      <c r="A2664" s="8">
        <v>2662</v>
      </c>
      <c r="B2664" s="8" t="str">
        <f>"21902020071409263526102"</f>
        <v>21902020071409263526102</v>
      </c>
      <c r="C2664" s="8" t="s">
        <v>19</v>
      </c>
      <c r="D2664" s="8" t="str">
        <f>"刘海燕"</f>
        <v>刘海燕</v>
      </c>
      <c r="E2664" s="8" t="str">
        <f aca="true" t="shared" si="313" ref="E2664:E2668">"女"</f>
        <v>女</v>
      </c>
    </row>
    <row r="2665" spans="1:5" s="3" customFormat="1" ht="19.5" customHeight="1">
      <c r="A2665" s="8">
        <v>2663</v>
      </c>
      <c r="B2665" s="8" t="str">
        <f>"21902020071409343626138"</f>
        <v>21902020071409343626138</v>
      </c>
      <c r="C2665" s="8" t="s">
        <v>19</v>
      </c>
      <c r="D2665" s="8" t="str">
        <f>"陈保春"</f>
        <v>陈保春</v>
      </c>
      <c r="E2665" s="8" t="str">
        <f t="shared" si="313"/>
        <v>女</v>
      </c>
    </row>
    <row r="2666" spans="1:5" s="3" customFormat="1" ht="19.5" customHeight="1">
      <c r="A2666" s="8">
        <v>2664</v>
      </c>
      <c r="B2666" s="8" t="str">
        <f>"21902020071409371026149"</f>
        <v>21902020071409371026149</v>
      </c>
      <c r="C2666" s="8" t="s">
        <v>19</v>
      </c>
      <c r="D2666" s="8" t="str">
        <f>"许永"</f>
        <v>许永</v>
      </c>
      <c r="E2666" s="8" t="str">
        <f t="shared" si="312"/>
        <v>男</v>
      </c>
    </row>
    <row r="2667" spans="1:5" s="3" customFormat="1" ht="19.5" customHeight="1">
      <c r="A2667" s="8">
        <v>2665</v>
      </c>
      <c r="B2667" s="8" t="str">
        <f>"21902020071409534226215"</f>
        <v>21902020071409534226215</v>
      </c>
      <c r="C2667" s="8" t="s">
        <v>19</v>
      </c>
      <c r="D2667" s="8" t="str">
        <f>"王所科"</f>
        <v>王所科</v>
      </c>
      <c r="E2667" s="8" t="str">
        <f t="shared" si="312"/>
        <v>男</v>
      </c>
    </row>
    <row r="2668" spans="1:5" s="3" customFormat="1" ht="19.5" customHeight="1">
      <c r="A2668" s="8">
        <v>2666</v>
      </c>
      <c r="B2668" s="8" t="str">
        <f>"21902020071409564126229"</f>
        <v>21902020071409564126229</v>
      </c>
      <c r="C2668" s="8" t="s">
        <v>19</v>
      </c>
      <c r="D2668" s="8" t="str">
        <f>"董壮娟"</f>
        <v>董壮娟</v>
      </c>
      <c r="E2668" s="8" t="str">
        <f t="shared" si="313"/>
        <v>女</v>
      </c>
    </row>
    <row r="2669" spans="1:5" s="3" customFormat="1" ht="19.5" customHeight="1">
      <c r="A2669" s="8">
        <v>2667</v>
      </c>
      <c r="B2669" s="8" t="str">
        <f>"21902020071410103526292"</f>
        <v>21902020071410103526292</v>
      </c>
      <c r="C2669" s="8" t="s">
        <v>19</v>
      </c>
      <c r="D2669" s="8" t="str">
        <f>"陈时应"</f>
        <v>陈时应</v>
      </c>
      <c r="E2669" s="8" t="str">
        <f aca="true" t="shared" si="314" ref="E2669:E2675">"男"</f>
        <v>男</v>
      </c>
    </row>
    <row r="2670" spans="1:5" s="3" customFormat="1" ht="19.5" customHeight="1">
      <c r="A2670" s="8">
        <v>2668</v>
      </c>
      <c r="B2670" s="8" t="str">
        <f>"21902020071410255226359"</f>
        <v>21902020071410255226359</v>
      </c>
      <c r="C2670" s="8" t="s">
        <v>19</v>
      </c>
      <c r="D2670" s="8" t="str">
        <f>"张彬娜"</f>
        <v>张彬娜</v>
      </c>
      <c r="E2670" s="8" t="str">
        <f>"女"</f>
        <v>女</v>
      </c>
    </row>
    <row r="2671" spans="1:5" s="3" customFormat="1" ht="19.5" customHeight="1">
      <c r="A2671" s="8">
        <v>2669</v>
      </c>
      <c r="B2671" s="8" t="str">
        <f>"21902020071412551826724"</f>
        <v>21902020071412551826724</v>
      </c>
      <c r="C2671" s="8" t="s">
        <v>19</v>
      </c>
      <c r="D2671" s="8" t="str">
        <f>"邓秀珍"</f>
        <v>邓秀珍</v>
      </c>
      <c r="E2671" s="8" t="str">
        <f t="shared" si="314"/>
        <v>男</v>
      </c>
    </row>
    <row r="2672" spans="1:5" s="3" customFormat="1" ht="19.5" customHeight="1">
      <c r="A2672" s="8">
        <v>2670</v>
      </c>
      <c r="B2672" s="8" t="str">
        <f>"21902020071414233726844"</f>
        <v>21902020071414233726844</v>
      </c>
      <c r="C2672" s="8" t="s">
        <v>19</v>
      </c>
      <c r="D2672" s="8" t="str">
        <f>"唐绍华"</f>
        <v>唐绍华</v>
      </c>
      <c r="E2672" s="8" t="str">
        <f t="shared" si="314"/>
        <v>男</v>
      </c>
    </row>
    <row r="2673" spans="1:5" s="3" customFormat="1" ht="19.5" customHeight="1">
      <c r="A2673" s="8">
        <v>2671</v>
      </c>
      <c r="B2673" s="8" t="str">
        <f>"21902020071414404726875"</f>
        <v>21902020071414404726875</v>
      </c>
      <c r="C2673" s="8" t="s">
        <v>19</v>
      </c>
      <c r="D2673" s="8" t="str">
        <f>"陈广立"</f>
        <v>陈广立</v>
      </c>
      <c r="E2673" s="8" t="str">
        <f t="shared" si="314"/>
        <v>男</v>
      </c>
    </row>
    <row r="2674" spans="1:5" s="3" customFormat="1" ht="19.5" customHeight="1">
      <c r="A2674" s="8">
        <v>2672</v>
      </c>
      <c r="B2674" s="8" t="str">
        <f>"21902020071416561827115"</f>
        <v>21902020071416561827115</v>
      </c>
      <c r="C2674" s="8" t="s">
        <v>19</v>
      </c>
      <c r="D2674" s="8" t="str">
        <f>"董好安"</f>
        <v>董好安</v>
      </c>
      <c r="E2674" s="8" t="str">
        <f t="shared" si="314"/>
        <v>男</v>
      </c>
    </row>
    <row r="2675" spans="1:5" s="3" customFormat="1" ht="19.5" customHeight="1">
      <c r="A2675" s="8">
        <v>2673</v>
      </c>
      <c r="B2675" s="8" t="str">
        <f>"21902020071417403427187"</f>
        <v>21902020071417403427187</v>
      </c>
      <c r="C2675" s="8" t="s">
        <v>19</v>
      </c>
      <c r="D2675" s="8" t="str">
        <f>"王承榜"</f>
        <v>王承榜</v>
      </c>
      <c r="E2675" s="8" t="str">
        <f t="shared" si="314"/>
        <v>男</v>
      </c>
    </row>
    <row r="2676" spans="1:5" s="3" customFormat="1" ht="19.5" customHeight="1">
      <c r="A2676" s="8">
        <v>2674</v>
      </c>
      <c r="B2676" s="8" t="str">
        <f>"21902020071417472127197"</f>
        <v>21902020071417472127197</v>
      </c>
      <c r="C2676" s="8" t="s">
        <v>19</v>
      </c>
      <c r="D2676" s="8" t="str">
        <f>"王初乾"</f>
        <v>王初乾</v>
      </c>
      <c r="E2676" s="8" t="str">
        <f>"女"</f>
        <v>女</v>
      </c>
    </row>
    <row r="2677" spans="1:5" s="3" customFormat="1" ht="19.5" customHeight="1">
      <c r="A2677" s="8">
        <v>2675</v>
      </c>
      <c r="B2677" s="8" t="str">
        <f>"21902020071418043327220"</f>
        <v>21902020071418043327220</v>
      </c>
      <c r="C2677" s="8" t="s">
        <v>19</v>
      </c>
      <c r="D2677" s="8" t="str">
        <f>"朱掌辉"</f>
        <v>朱掌辉</v>
      </c>
      <c r="E2677" s="8" t="str">
        <f aca="true" t="shared" si="315" ref="E2677:E2679">"男"</f>
        <v>男</v>
      </c>
    </row>
    <row r="2678" spans="1:5" s="3" customFormat="1" ht="19.5" customHeight="1">
      <c r="A2678" s="8">
        <v>2676</v>
      </c>
      <c r="B2678" s="8" t="str">
        <f>"21902020071419022327299"</f>
        <v>21902020071419022327299</v>
      </c>
      <c r="C2678" s="8" t="s">
        <v>19</v>
      </c>
      <c r="D2678" s="8" t="str">
        <f>"陈石元"</f>
        <v>陈石元</v>
      </c>
      <c r="E2678" s="8" t="str">
        <f t="shared" si="315"/>
        <v>男</v>
      </c>
    </row>
    <row r="2679" spans="1:5" s="3" customFormat="1" ht="19.5" customHeight="1">
      <c r="A2679" s="8">
        <v>2677</v>
      </c>
      <c r="B2679" s="8" t="str">
        <f>"21902020071508565727712"</f>
        <v>21902020071508565727712</v>
      </c>
      <c r="C2679" s="8" t="s">
        <v>19</v>
      </c>
      <c r="D2679" s="8" t="str">
        <f>"符若嘉"</f>
        <v>符若嘉</v>
      </c>
      <c r="E2679" s="8" t="str">
        <f t="shared" si="315"/>
        <v>男</v>
      </c>
    </row>
    <row r="2680" spans="1:5" s="3" customFormat="1" ht="19.5" customHeight="1">
      <c r="A2680" s="8">
        <v>2678</v>
      </c>
      <c r="B2680" s="8" t="str">
        <f>"21902020071509013827722"</f>
        <v>21902020071509013827722</v>
      </c>
      <c r="C2680" s="8" t="s">
        <v>19</v>
      </c>
      <c r="D2680" s="8" t="str">
        <f>"陈婆梅"</f>
        <v>陈婆梅</v>
      </c>
      <c r="E2680" s="8" t="str">
        <f aca="true" t="shared" si="316" ref="E2680:E2684">"女"</f>
        <v>女</v>
      </c>
    </row>
    <row r="2681" spans="1:5" s="3" customFormat="1" ht="19.5" customHeight="1">
      <c r="A2681" s="8">
        <v>2679</v>
      </c>
      <c r="B2681" s="8" t="str">
        <f>"21902020071509441627803"</f>
        <v>21902020071509441627803</v>
      </c>
      <c r="C2681" s="8" t="s">
        <v>19</v>
      </c>
      <c r="D2681" s="8" t="str">
        <f>"邓春华"</f>
        <v>邓春华</v>
      </c>
      <c r="E2681" s="8" t="str">
        <f aca="true" t="shared" si="317" ref="E2681:E2685">"男"</f>
        <v>男</v>
      </c>
    </row>
    <row r="2682" spans="1:5" s="3" customFormat="1" ht="19.5" customHeight="1">
      <c r="A2682" s="8">
        <v>2680</v>
      </c>
      <c r="B2682" s="8" t="str">
        <f>"21902020071509545127823"</f>
        <v>21902020071509545127823</v>
      </c>
      <c r="C2682" s="8" t="s">
        <v>19</v>
      </c>
      <c r="D2682" s="8" t="str">
        <f>"黎启明"</f>
        <v>黎启明</v>
      </c>
      <c r="E2682" s="8" t="str">
        <f t="shared" si="317"/>
        <v>男</v>
      </c>
    </row>
    <row r="2683" spans="1:5" s="3" customFormat="1" ht="19.5" customHeight="1">
      <c r="A2683" s="8">
        <v>2681</v>
      </c>
      <c r="B2683" s="8" t="str">
        <f>"21902020071511230027954"</f>
        <v>21902020071511230027954</v>
      </c>
      <c r="C2683" s="8" t="s">
        <v>19</v>
      </c>
      <c r="D2683" s="8" t="str">
        <f>"吴曼妃"</f>
        <v>吴曼妃</v>
      </c>
      <c r="E2683" s="8" t="str">
        <f t="shared" si="316"/>
        <v>女</v>
      </c>
    </row>
    <row r="2684" spans="1:5" s="3" customFormat="1" ht="19.5" customHeight="1">
      <c r="A2684" s="8">
        <v>2682</v>
      </c>
      <c r="B2684" s="8" t="str">
        <f>"21902020071515580228213"</f>
        <v>21902020071515580228213</v>
      </c>
      <c r="C2684" s="8" t="s">
        <v>19</v>
      </c>
      <c r="D2684" s="8" t="str">
        <f>"蔡三妹"</f>
        <v>蔡三妹</v>
      </c>
      <c r="E2684" s="8" t="str">
        <f t="shared" si="316"/>
        <v>女</v>
      </c>
    </row>
    <row r="2685" spans="1:5" s="3" customFormat="1" ht="19.5" customHeight="1">
      <c r="A2685" s="8">
        <v>2683</v>
      </c>
      <c r="B2685" s="8" t="str">
        <f>"21902020071516300228253"</f>
        <v>21902020071516300228253</v>
      </c>
      <c r="C2685" s="8" t="s">
        <v>19</v>
      </c>
      <c r="D2685" s="8" t="str">
        <f>"王新世"</f>
        <v>王新世</v>
      </c>
      <c r="E2685" s="8" t="str">
        <f t="shared" si="317"/>
        <v>男</v>
      </c>
    </row>
    <row r="2686" spans="1:5" s="3" customFormat="1" ht="19.5" customHeight="1">
      <c r="A2686" s="8">
        <v>2684</v>
      </c>
      <c r="B2686" s="8" t="str">
        <f>"21902020071516450428276"</f>
        <v>21902020071516450428276</v>
      </c>
      <c r="C2686" s="8" t="s">
        <v>19</v>
      </c>
      <c r="D2686" s="8" t="str">
        <f>"王美琳"</f>
        <v>王美琳</v>
      </c>
      <c r="E2686" s="8" t="str">
        <f aca="true" t="shared" si="318" ref="E2686:E2692">"女"</f>
        <v>女</v>
      </c>
    </row>
    <row r="2687" spans="1:5" s="3" customFormat="1" ht="19.5" customHeight="1">
      <c r="A2687" s="8">
        <v>2685</v>
      </c>
      <c r="B2687" s="8" t="str">
        <f>"21902020071516595728295"</f>
        <v>21902020071516595728295</v>
      </c>
      <c r="C2687" s="8" t="s">
        <v>19</v>
      </c>
      <c r="D2687" s="8" t="str">
        <f>"陈定宇"</f>
        <v>陈定宇</v>
      </c>
      <c r="E2687" s="8" t="str">
        <f aca="true" t="shared" si="319" ref="E2687:E2689">"男"</f>
        <v>男</v>
      </c>
    </row>
    <row r="2688" spans="1:5" s="3" customFormat="1" ht="19.5" customHeight="1">
      <c r="A2688" s="8">
        <v>2686</v>
      </c>
      <c r="B2688" s="8" t="str">
        <f>"21902020071519273828416"</f>
        <v>21902020071519273828416</v>
      </c>
      <c r="C2688" s="8" t="s">
        <v>19</v>
      </c>
      <c r="D2688" s="8" t="str">
        <f>"黎永树"</f>
        <v>黎永树</v>
      </c>
      <c r="E2688" s="8" t="str">
        <f t="shared" si="319"/>
        <v>男</v>
      </c>
    </row>
    <row r="2689" spans="1:5" s="3" customFormat="1" ht="19.5" customHeight="1">
      <c r="A2689" s="8">
        <v>2687</v>
      </c>
      <c r="B2689" s="8" t="str">
        <f>"21902020071519491728434"</f>
        <v>21902020071519491728434</v>
      </c>
      <c r="C2689" s="8" t="s">
        <v>19</v>
      </c>
      <c r="D2689" s="8" t="str">
        <f>"薛君译"</f>
        <v>薛君译</v>
      </c>
      <c r="E2689" s="8" t="str">
        <f t="shared" si="319"/>
        <v>男</v>
      </c>
    </row>
    <row r="2690" spans="1:5" s="3" customFormat="1" ht="19.5" customHeight="1">
      <c r="A2690" s="8">
        <v>2688</v>
      </c>
      <c r="B2690" s="8" t="str">
        <f>"21902020071613525428930"</f>
        <v>21902020071613525428930</v>
      </c>
      <c r="C2690" s="8" t="s">
        <v>19</v>
      </c>
      <c r="D2690" s="8" t="str">
        <f>"符文霞"</f>
        <v>符文霞</v>
      </c>
      <c r="E2690" s="8" t="str">
        <f t="shared" si="318"/>
        <v>女</v>
      </c>
    </row>
    <row r="2691" spans="1:5" s="3" customFormat="1" ht="19.5" customHeight="1">
      <c r="A2691" s="8">
        <v>2689</v>
      </c>
      <c r="B2691" s="8" t="str">
        <f>"21902020071615130328982"</f>
        <v>21902020071615130328982</v>
      </c>
      <c r="C2691" s="8" t="s">
        <v>19</v>
      </c>
      <c r="D2691" s="8" t="str">
        <f>"刘丽萍"</f>
        <v>刘丽萍</v>
      </c>
      <c r="E2691" s="8" t="str">
        <f t="shared" si="318"/>
        <v>女</v>
      </c>
    </row>
    <row r="2692" spans="1:5" s="3" customFormat="1" ht="19.5" customHeight="1">
      <c r="A2692" s="8">
        <v>2690</v>
      </c>
      <c r="B2692" s="8" t="str">
        <f>"21902020071616565729082"</f>
        <v>21902020071616565729082</v>
      </c>
      <c r="C2692" s="8" t="s">
        <v>19</v>
      </c>
      <c r="D2692" s="8" t="str">
        <f>"羊教女"</f>
        <v>羊教女</v>
      </c>
      <c r="E2692" s="8" t="str">
        <f t="shared" si="318"/>
        <v>女</v>
      </c>
    </row>
    <row r="2693" spans="1:5" s="3" customFormat="1" ht="19.5" customHeight="1">
      <c r="A2693" s="8">
        <v>2691</v>
      </c>
      <c r="B2693" s="8" t="str">
        <f>"21902020071710142029398"</f>
        <v>21902020071710142029398</v>
      </c>
      <c r="C2693" s="8" t="s">
        <v>19</v>
      </c>
      <c r="D2693" s="8" t="str">
        <f>"李中义"</f>
        <v>李中义</v>
      </c>
      <c r="E2693" s="8" t="str">
        <f aca="true" t="shared" si="320" ref="E2693:E2697">"男"</f>
        <v>男</v>
      </c>
    </row>
    <row r="2694" spans="1:5" s="3" customFormat="1" ht="19.5" customHeight="1">
      <c r="A2694" s="8">
        <v>2692</v>
      </c>
      <c r="B2694" s="8" t="str">
        <f>"21902020071810270129842"</f>
        <v>21902020071810270129842</v>
      </c>
      <c r="C2694" s="8" t="s">
        <v>19</v>
      </c>
      <c r="D2694" s="8" t="str">
        <f>"梁智广"</f>
        <v>梁智广</v>
      </c>
      <c r="E2694" s="8" t="str">
        <f t="shared" si="320"/>
        <v>男</v>
      </c>
    </row>
    <row r="2695" spans="1:5" s="3" customFormat="1" ht="19.5" customHeight="1">
      <c r="A2695" s="8">
        <v>2693</v>
      </c>
      <c r="B2695" s="8" t="str">
        <f>"21902020071819585730025"</f>
        <v>21902020071819585730025</v>
      </c>
      <c r="C2695" s="8" t="s">
        <v>19</v>
      </c>
      <c r="D2695" s="8" t="str">
        <f>"黎茂奇"</f>
        <v>黎茂奇</v>
      </c>
      <c r="E2695" s="8" t="str">
        <f t="shared" si="320"/>
        <v>男</v>
      </c>
    </row>
    <row r="2696" spans="1:5" s="3" customFormat="1" ht="19.5" customHeight="1">
      <c r="A2696" s="8">
        <v>2694</v>
      </c>
      <c r="B2696" s="8" t="str">
        <f>"21902020071821324430049"</f>
        <v>21902020071821324430049</v>
      </c>
      <c r="C2696" s="8" t="s">
        <v>19</v>
      </c>
      <c r="D2696" s="8" t="str">
        <f>"王世平"</f>
        <v>王世平</v>
      </c>
      <c r="E2696" s="8" t="str">
        <f t="shared" si="320"/>
        <v>男</v>
      </c>
    </row>
    <row r="2697" spans="1:5" s="3" customFormat="1" ht="19.5" customHeight="1">
      <c r="A2697" s="8">
        <v>2695</v>
      </c>
      <c r="B2697" s="8" t="str">
        <f>"21902020071912212330160"</f>
        <v>21902020071912212330160</v>
      </c>
      <c r="C2697" s="8" t="s">
        <v>19</v>
      </c>
      <c r="D2697" s="8" t="str">
        <f>"陈如科"</f>
        <v>陈如科</v>
      </c>
      <c r="E2697" s="8" t="str">
        <f t="shared" si="320"/>
        <v>男</v>
      </c>
    </row>
    <row r="2698" spans="1:5" s="3" customFormat="1" ht="19.5" customHeight="1">
      <c r="A2698" s="8">
        <v>2696</v>
      </c>
      <c r="B2698" s="8" t="str">
        <f>"21902020071913062730180"</f>
        <v>21902020071913062730180</v>
      </c>
      <c r="C2698" s="8" t="s">
        <v>19</v>
      </c>
      <c r="D2698" s="8" t="str">
        <f>"陈美玲"</f>
        <v>陈美玲</v>
      </c>
      <c r="E2698" s="8" t="str">
        <f>"女"</f>
        <v>女</v>
      </c>
    </row>
    <row r="2699" spans="1:5" s="3" customFormat="1" ht="19.5" customHeight="1">
      <c r="A2699" s="8">
        <v>2697</v>
      </c>
      <c r="B2699" s="8" t="str">
        <f>"21902020071921333130349"</f>
        <v>21902020071921333130349</v>
      </c>
      <c r="C2699" s="8" t="s">
        <v>19</v>
      </c>
      <c r="D2699" s="8" t="str">
        <f>"黎秀民"</f>
        <v>黎秀民</v>
      </c>
      <c r="E2699" s="8" t="str">
        <f aca="true" t="shared" si="321" ref="E2699:E2702">"男"</f>
        <v>男</v>
      </c>
    </row>
    <row r="2700" spans="1:5" s="3" customFormat="1" ht="19.5" customHeight="1">
      <c r="A2700" s="8">
        <v>2698</v>
      </c>
      <c r="B2700" s="8" t="str">
        <f>"21902020071923294330399"</f>
        <v>21902020071923294330399</v>
      </c>
      <c r="C2700" s="8" t="s">
        <v>19</v>
      </c>
      <c r="D2700" s="8" t="str">
        <f>"陈显高"</f>
        <v>陈显高</v>
      </c>
      <c r="E2700" s="8" t="str">
        <f t="shared" si="321"/>
        <v>男</v>
      </c>
    </row>
    <row r="2701" spans="1:5" s="3" customFormat="1" ht="19.5" customHeight="1">
      <c r="A2701" s="8">
        <v>2699</v>
      </c>
      <c r="B2701" s="8" t="str">
        <f>"21902020072009185630474"</f>
        <v>21902020072009185630474</v>
      </c>
      <c r="C2701" s="8" t="s">
        <v>19</v>
      </c>
      <c r="D2701" s="8" t="str">
        <f>"黎木女"</f>
        <v>黎木女</v>
      </c>
      <c r="E2701" s="8" t="str">
        <f>"女"</f>
        <v>女</v>
      </c>
    </row>
    <row r="2702" spans="1:5" s="3" customFormat="1" ht="19.5" customHeight="1">
      <c r="A2702" s="8">
        <v>2700</v>
      </c>
      <c r="B2702" s="8" t="str">
        <f>"21902020072010214730521"</f>
        <v>21902020072010214730521</v>
      </c>
      <c r="C2702" s="8" t="s">
        <v>19</v>
      </c>
      <c r="D2702" s="8" t="str">
        <f>"叶定科"</f>
        <v>叶定科</v>
      </c>
      <c r="E2702" s="8" t="str">
        <f t="shared" si="321"/>
        <v>男</v>
      </c>
    </row>
    <row r="2703" spans="1:5" s="3" customFormat="1" ht="19.5" customHeight="1">
      <c r="A2703" s="8">
        <v>2701</v>
      </c>
      <c r="B2703" s="8" t="str">
        <f>"21902020071409010325926"</f>
        <v>21902020071409010325926</v>
      </c>
      <c r="C2703" s="8" t="s">
        <v>20</v>
      </c>
      <c r="D2703" s="8" t="str">
        <f>"曾少玲"</f>
        <v>曾少玲</v>
      </c>
      <c r="E2703" s="8" t="str">
        <f aca="true" t="shared" si="322" ref="E2698:E2706">"女"</f>
        <v>女</v>
      </c>
    </row>
    <row r="2704" spans="1:5" s="3" customFormat="1" ht="19.5" customHeight="1">
      <c r="A2704" s="8">
        <v>2702</v>
      </c>
      <c r="B2704" s="8" t="str">
        <f>"21902020071409012825935"</f>
        <v>21902020071409012825935</v>
      </c>
      <c r="C2704" s="8" t="s">
        <v>20</v>
      </c>
      <c r="D2704" s="8" t="str">
        <f>"符前晓"</f>
        <v>符前晓</v>
      </c>
      <c r="E2704" s="8" t="str">
        <f t="shared" si="322"/>
        <v>女</v>
      </c>
    </row>
    <row r="2705" spans="1:5" s="3" customFormat="1" ht="19.5" customHeight="1">
      <c r="A2705" s="8">
        <v>2703</v>
      </c>
      <c r="B2705" s="8" t="str">
        <f>"21902020071409024325946"</f>
        <v>21902020071409024325946</v>
      </c>
      <c r="C2705" s="8" t="s">
        <v>20</v>
      </c>
      <c r="D2705" s="8" t="str">
        <f>"谭朝丽"</f>
        <v>谭朝丽</v>
      </c>
      <c r="E2705" s="8" t="str">
        <f t="shared" si="322"/>
        <v>女</v>
      </c>
    </row>
    <row r="2706" spans="1:5" s="3" customFormat="1" ht="19.5" customHeight="1">
      <c r="A2706" s="8">
        <v>2704</v>
      </c>
      <c r="B2706" s="8" t="str">
        <f>"21902020071409032425951"</f>
        <v>21902020071409032425951</v>
      </c>
      <c r="C2706" s="8" t="s">
        <v>20</v>
      </c>
      <c r="D2706" s="8" t="str">
        <f>"韩六妹"</f>
        <v>韩六妹</v>
      </c>
      <c r="E2706" s="8" t="str">
        <f t="shared" si="322"/>
        <v>女</v>
      </c>
    </row>
    <row r="2707" spans="1:5" s="3" customFormat="1" ht="19.5" customHeight="1">
      <c r="A2707" s="8">
        <v>2705</v>
      </c>
      <c r="B2707" s="8" t="str">
        <f>"21902020071409062625975"</f>
        <v>21902020071409062625975</v>
      </c>
      <c r="C2707" s="8" t="s">
        <v>20</v>
      </c>
      <c r="D2707" s="8" t="str">
        <f>"李政鸿"</f>
        <v>李政鸿</v>
      </c>
      <c r="E2707" s="8" t="str">
        <f aca="true" t="shared" si="323" ref="E2707:E2711">"男"</f>
        <v>男</v>
      </c>
    </row>
    <row r="2708" spans="1:5" s="3" customFormat="1" ht="19.5" customHeight="1">
      <c r="A2708" s="8">
        <v>2706</v>
      </c>
      <c r="B2708" s="8" t="str">
        <f>"21902020071409070525985"</f>
        <v>21902020071409070525985</v>
      </c>
      <c r="C2708" s="8" t="s">
        <v>20</v>
      </c>
      <c r="D2708" s="8" t="str">
        <f>"许保斯"</f>
        <v>许保斯</v>
      </c>
      <c r="E2708" s="8" t="str">
        <f t="shared" si="323"/>
        <v>男</v>
      </c>
    </row>
    <row r="2709" spans="1:5" s="3" customFormat="1" ht="19.5" customHeight="1">
      <c r="A2709" s="8">
        <v>2707</v>
      </c>
      <c r="B2709" s="8" t="str">
        <f>"21902020071409142926034"</f>
        <v>21902020071409142926034</v>
      </c>
      <c r="C2709" s="8" t="s">
        <v>20</v>
      </c>
      <c r="D2709" s="8" t="str">
        <f>"谢兰芳"</f>
        <v>谢兰芳</v>
      </c>
      <c r="E2709" s="8" t="str">
        <f>"女"</f>
        <v>女</v>
      </c>
    </row>
    <row r="2710" spans="1:5" s="3" customFormat="1" ht="19.5" customHeight="1">
      <c r="A2710" s="8">
        <v>2708</v>
      </c>
      <c r="B2710" s="8" t="str">
        <f>"21902020071409281526111"</f>
        <v>21902020071409281526111</v>
      </c>
      <c r="C2710" s="8" t="s">
        <v>20</v>
      </c>
      <c r="D2710" s="8" t="str">
        <f>"邓宁武"</f>
        <v>邓宁武</v>
      </c>
      <c r="E2710" s="8" t="str">
        <f t="shared" si="323"/>
        <v>男</v>
      </c>
    </row>
    <row r="2711" spans="1:5" s="3" customFormat="1" ht="19.5" customHeight="1">
      <c r="A2711" s="8">
        <v>2709</v>
      </c>
      <c r="B2711" s="8" t="str">
        <f>"21902020071409314926120"</f>
        <v>21902020071409314926120</v>
      </c>
      <c r="C2711" s="8" t="s">
        <v>20</v>
      </c>
      <c r="D2711" s="8" t="str">
        <f>"黄辉龙"</f>
        <v>黄辉龙</v>
      </c>
      <c r="E2711" s="8" t="str">
        <f t="shared" si="323"/>
        <v>男</v>
      </c>
    </row>
    <row r="2712" spans="1:5" s="3" customFormat="1" ht="19.5" customHeight="1">
      <c r="A2712" s="8">
        <v>2710</v>
      </c>
      <c r="B2712" s="8" t="str">
        <f>"21902020071409332126123"</f>
        <v>21902020071409332126123</v>
      </c>
      <c r="C2712" s="8" t="s">
        <v>20</v>
      </c>
      <c r="D2712" s="8" t="str">
        <f>"陈小翠"</f>
        <v>陈小翠</v>
      </c>
      <c r="E2712" s="8" t="str">
        <f aca="true" t="shared" si="324" ref="E2712:E2716">"女"</f>
        <v>女</v>
      </c>
    </row>
    <row r="2713" spans="1:5" s="3" customFormat="1" ht="19.5" customHeight="1">
      <c r="A2713" s="8">
        <v>2711</v>
      </c>
      <c r="B2713" s="8" t="str">
        <f>"21902020071409350026139"</f>
        <v>21902020071409350026139</v>
      </c>
      <c r="C2713" s="8" t="s">
        <v>20</v>
      </c>
      <c r="D2713" s="8" t="str">
        <f>"曾海泉"</f>
        <v>曾海泉</v>
      </c>
      <c r="E2713" s="8" t="str">
        <f aca="true" t="shared" si="325" ref="E2713:E2717">"男"</f>
        <v>男</v>
      </c>
    </row>
    <row r="2714" spans="1:5" s="3" customFormat="1" ht="19.5" customHeight="1">
      <c r="A2714" s="8">
        <v>2712</v>
      </c>
      <c r="B2714" s="8" t="str">
        <f>"21902020071409413126165"</f>
        <v>21902020071409413126165</v>
      </c>
      <c r="C2714" s="8" t="s">
        <v>20</v>
      </c>
      <c r="D2714" s="8" t="str">
        <f>"李进恺"</f>
        <v>李进恺</v>
      </c>
      <c r="E2714" s="8" t="str">
        <f t="shared" si="325"/>
        <v>男</v>
      </c>
    </row>
    <row r="2715" spans="1:5" s="3" customFormat="1" ht="19.5" customHeight="1">
      <c r="A2715" s="8">
        <v>2713</v>
      </c>
      <c r="B2715" s="8" t="str">
        <f>"21902020071409560226226"</f>
        <v>21902020071409560226226</v>
      </c>
      <c r="C2715" s="8" t="s">
        <v>20</v>
      </c>
      <c r="D2715" s="8" t="str">
        <f>"符运联"</f>
        <v>符运联</v>
      </c>
      <c r="E2715" s="8" t="str">
        <f t="shared" si="324"/>
        <v>女</v>
      </c>
    </row>
    <row r="2716" spans="1:5" s="3" customFormat="1" ht="19.5" customHeight="1">
      <c r="A2716" s="8">
        <v>2714</v>
      </c>
      <c r="B2716" s="8" t="str">
        <f>"21902020071410024326249"</f>
        <v>21902020071410024326249</v>
      </c>
      <c r="C2716" s="8" t="s">
        <v>20</v>
      </c>
      <c r="D2716" s="8" t="str">
        <f>"符小方"</f>
        <v>符小方</v>
      </c>
      <c r="E2716" s="8" t="str">
        <f t="shared" si="324"/>
        <v>女</v>
      </c>
    </row>
    <row r="2717" spans="1:5" s="3" customFormat="1" ht="19.5" customHeight="1">
      <c r="A2717" s="8">
        <v>2715</v>
      </c>
      <c r="B2717" s="8" t="str">
        <f>"21902020071410095526288"</f>
        <v>21902020071410095526288</v>
      </c>
      <c r="C2717" s="8" t="s">
        <v>20</v>
      </c>
      <c r="D2717" s="8" t="str">
        <f>"洪海"</f>
        <v>洪海</v>
      </c>
      <c r="E2717" s="8" t="str">
        <f t="shared" si="325"/>
        <v>男</v>
      </c>
    </row>
    <row r="2718" spans="1:5" s="3" customFormat="1" ht="19.5" customHeight="1">
      <c r="A2718" s="8">
        <v>2716</v>
      </c>
      <c r="B2718" s="8" t="str">
        <f>"21902020071410203526337"</f>
        <v>21902020071410203526337</v>
      </c>
      <c r="C2718" s="8" t="s">
        <v>20</v>
      </c>
      <c r="D2718" s="8" t="str">
        <f>"符克意"</f>
        <v>符克意</v>
      </c>
      <c r="E2718" s="8" t="str">
        <f>"女"</f>
        <v>女</v>
      </c>
    </row>
    <row r="2719" spans="1:5" s="3" customFormat="1" ht="19.5" customHeight="1">
      <c r="A2719" s="8">
        <v>2717</v>
      </c>
      <c r="B2719" s="8" t="str">
        <f>"21902020071410275426364"</f>
        <v>21902020071410275426364</v>
      </c>
      <c r="C2719" s="8" t="s">
        <v>20</v>
      </c>
      <c r="D2719" s="8" t="str">
        <f>"符春亮"</f>
        <v>符春亮</v>
      </c>
      <c r="E2719" s="8" t="str">
        <f>"女"</f>
        <v>女</v>
      </c>
    </row>
    <row r="2720" spans="1:5" s="3" customFormat="1" ht="19.5" customHeight="1">
      <c r="A2720" s="8">
        <v>2718</v>
      </c>
      <c r="B2720" s="8" t="str">
        <f>"21902020071410330026382"</f>
        <v>21902020071410330026382</v>
      </c>
      <c r="C2720" s="8" t="s">
        <v>20</v>
      </c>
      <c r="D2720" s="8" t="str">
        <f>"王长东"</f>
        <v>王长东</v>
      </c>
      <c r="E2720" s="8" t="str">
        <f aca="true" t="shared" si="326" ref="E2720:E2723">"男"</f>
        <v>男</v>
      </c>
    </row>
    <row r="2721" spans="1:5" s="3" customFormat="1" ht="19.5" customHeight="1">
      <c r="A2721" s="8">
        <v>2719</v>
      </c>
      <c r="B2721" s="8" t="str">
        <f>"21902020071410512326453"</f>
        <v>21902020071410512326453</v>
      </c>
      <c r="C2721" s="8" t="s">
        <v>20</v>
      </c>
      <c r="D2721" s="8" t="str">
        <f>"王小冲"</f>
        <v>王小冲</v>
      </c>
      <c r="E2721" s="8" t="str">
        <f t="shared" si="326"/>
        <v>男</v>
      </c>
    </row>
    <row r="2722" spans="1:5" s="3" customFormat="1" ht="19.5" customHeight="1">
      <c r="A2722" s="8">
        <v>2720</v>
      </c>
      <c r="B2722" s="8" t="str">
        <f>"21902020071411035426483"</f>
        <v>21902020071411035426483</v>
      </c>
      <c r="C2722" s="8" t="s">
        <v>20</v>
      </c>
      <c r="D2722" s="8" t="str">
        <f>"许嘉明"</f>
        <v>许嘉明</v>
      </c>
      <c r="E2722" s="8" t="str">
        <f t="shared" si="326"/>
        <v>男</v>
      </c>
    </row>
    <row r="2723" spans="1:5" s="3" customFormat="1" ht="19.5" customHeight="1">
      <c r="A2723" s="8">
        <v>2721</v>
      </c>
      <c r="B2723" s="8" t="str">
        <f>"21902020071411442426595"</f>
        <v>21902020071411442426595</v>
      </c>
      <c r="C2723" s="8" t="s">
        <v>20</v>
      </c>
      <c r="D2723" s="8" t="str">
        <f>"羊金多"</f>
        <v>羊金多</v>
      </c>
      <c r="E2723" s="8" t="str">
        <f t="shared" si="326"/>
        <v>男</v>
      </c>
    </row>
    <row r="2724" spans="1:5" s="3" customFormat="1" ht="19.5" customHeight="1">
      <c r="A2724" s="8">
        <v>2722</v>
      </c>
      <c r="B2724" s="8" t="str">
        <f>"21902020071411504226610"</f>
        <v>21902020071411504226610</v>
      </c>
      <c r="C2724" s="8" t="s">
        <v>20</v>
      </c>
      <c r="D2724" s="8" t="str">
        <f>"王慧虹"</f>
        <v>王慧虹</v>
      </c>
      <c r="E2724" s="8" t="str">
        <f aca="true" t="shared" si="327" ref="E2724:E2726">"女"</f>
        <v>女</v>
      </c>
    </row>
    <row r="2725" spans="1:5" s="3" customFormat="1" ht="19.5" customHeight="1">
      <c r="A2725" s="8">
        <v>2723</v>
      </c>
      <c r="B2725" s="8" t="str">
        <f>"21902020071411562526628"</f>
        <v>21902020071411562526628</v>
      </c>
      <c r="C2725" s="8" t="s">
        <v>20</v>
      </c>
      <c r="D2725" s="8" t="str">
        <f>"吴海秀"</f>
        <v>吴海秀</v>
      </c>
      <c r="E2725" s="8" t="str">
        <f t="shared" si="327"/>
        <v>女</v>
      </c>
    </row>
    <row r="2726" spans="1:5" s="3" customFormat="1" ht="19.5" customHeight="1">
      <c r="A2726" s="8">
        <v>2724</v>
      </c>
      <c r="B2726" s="8" t="str">
        <f>"21902020071412101526652"</f>
        <v>21902020071412101526652</v>
      </c>
      <c r="C2726" s="8" t="s">
        <v>20</v>
      </c>
      <c r="D2726" s="8" t="str">
        <f>"李丽芳"</f>
        <v>李丽芳</v>
      </c>
      <c r="E2726" s="8" t="str">
        <f t="shared" si="327"/>
        <v>女</v>
      </c>
    </row>
    <row r="2727" spans="1:5" s="3" customFormat="1" ht="19.5" customHeight="1">
      <c r="A2727" s="8">
        <v>2725</v>
      </c>
      <c r="B2727" s="8" t="str">
        <f>"21902020071412453226710"</f>
        <v>21902020071412453226710</v>
      </c>
      <c r="C2727" s="8" t="s">
        <v>20</v>
      </c>
      <c r="D2727" s="8" t="str">
        <f>"郭景光"</f>
        <v>郭景光</v>
      </c>
      <c r="E2727" s="8" t="str">
        <f aca="true" t="shared" si="328" ref="E2727:E2734">"男"</f>
        <v>男</v>
      </c>
    </row>
    <row r="2728" spans="1:5" s="3" customFormat="1" ht="19.5" customHeight="1">
      <c r="A2728" s="8">
        <v>2726</v>
      </c>
      <c r="B2728" s="8" t="str">
        <f>"21902020071412574726728"</f>
        <v>21902020071412574726728</v>
      </c>
      <c r="C2728" s="8" t="s">
        <v>20</v>
      </c>
      <c r="D2728" s="8" t="str">
        <f>"陈文菊"</f>
        <v>陈文菊</v>
      </c>
      <c r="E2728" s="8" t="str">
        <f>"女"</f>
        <v>女</v>
      </c>
    </row>
    <row r="2729" spans="1:5" s="3" customFormat="1" ht="19.5" customHeight="1">
      <c r="A2729" s="8">
        <v>2727</v>
      </c>
      <c r="B2729" s="8" t="str">
        <f>"21902020071413185126766"</f>
        <v>21902020071413185126766</v>
      </c>
      <c r="C2729" s="8" t="s">
        <v>20</v>
      </c>
      <c r="D2729" s="8" t="str">
        <f>"许雯怡"</f>
        <v>许雯怡</v>
      </c>
      <c r="E2729" s="8" t="str">
        <f>"女"</f>
        <v>女</v>
      </c>
    </row>
    <row r="2730" spans="1:5" s="3" customFormat="1" ht="19.5" customHeight="1">
      <c r="A2730" s="8">
        <v>2728</v>
      </c>
      <c r="B2730" s="8" t="str">
        <f>"21902020071413241826775"</f>
        <v>21902020071413241826775</v>
      </c>
      <c r="C2730" s="8" t="s">
        <v>20</v>
      </c>
      <c r="D2730" s="8" t="str">
        <f>"郑耀玺"</f>
        <v>郑耀玺</v>
      </c>
      <c r="E2730" s="8" t="str">
        <f t="shared" si="328"/>
        <v>男</v>
      </c>
    </row>
    <row r="2731" spans="1:5" s="3" customFormat="1" ht="19.5" customHeight="1">
      <c r="A2731" s="8">
        <v>2729</v>
      </c>
      <c r="B2731" s="8" t="str">
        <f>"21902020071413332526787"</f>
        <v>21902020071413332526787</v>
      </c>
      <c r="C2731" s="8" t="s">
        <v>20</v>
      </c>
      <c r="D2731" s="8" t="str">
        <f>"符果科"</f>
        <v>符果科</v>
      </c>
      <c r="E2731" s="8" t="str">
        <f t="shared" si="328"/>
        <v>男</v>
      </c>
    </row>
    <row r="2732" spans="1:5" s="3" customFormat="1" ht="19.5" customHeight="1">
      <c r="A2732" s="8">
        <v>2730</v>
      </c>
      <c r="B2732" s="8" t="str">
        <f>"21902020071413552926808"</f>
        <v>21902020071413552926808</v>
      </c>
      <c r="C2732" s="8" t="s">
        <v>20</v>
      </c>
      <c r="D2732" s="8" t="str">
        <f>"钟贤敏"</f>
        <v>钟贤敏</v>
      </c>
      <c r="E2732" s="8" t="str">
        <f t="shared" si="328"/>
        <v>男</v>
      </c>
    </row>
    <row r="2733" spans="1:5" s="3" customFormat="1" ht="19.5" customHeight="1">
      <c r="A2733" s="8">
        <v>2731</v>
      </c>
      <c r="B2733" s="8" t="str">
        <f>"21902020071414090026823"</f>
        <v>21902020071414090026823</v>
      </c>
      <c r="C2733" s="8" t="s">
        <v>20</v>
      </c>
      <c r="D2733" s="8" t="str">
        <f>"符盈品"</f>
        <v>符盈品</v>
      </c>
      <c r="E2733" s="8" t="str">
        <f t="shared" si="328"/>
        <v>男</v>
      </c>
    </row>
    <row r="2734" spans="1:5" s="3" customFormat="1" ht="19.5" customHeight="1">
      <c r="A2734" s="8">
        <v>2732</v>
      </c>
      <c r="B2734" s="8" t="str">
        <f>"21902020071414473626887"</f>
        <v>21902020071414473626887</v>
      </c>
      <c r="C2734" s="8" t="s">
        <v>20</v>
      </c>
      <c r="D2734" s="8" t="str">
        <f>"符尚彬"</f>
        <v>符尚彬</v>
      </c>
      <c r="E2734" s="8" t="str">
        <f t="shared" si="328"/>
        <v>男</v>
      </c>
    </row>
    <row r="2735" spans="1:5" s="3" customFormat="1" ht="19.5" customHeight="1">
      <c r="A2735" s="8">
        <v>2733</v>
      </c>
      <c r="B2735" s="8" t="str">
        <f>"21902020071415290426957"</f>
        <v>21902020071415290426957</v>
      </c>
      <c r="C2735" s="8" t="s">
        <v>20</v>
      </c>
      <c r="D2735" s="8" t="str">
        <f>"陈佳佳"</f>
        <v>陈佳佳</v>
      </c>
      <c r="E2735" s="8" t="str">
        <f aca="true" t="shared" si="329" ref="E2735:E2738">"女"</f>
        <v>女</v>
      </c>
    </row>
    <row r="2736" spans="1:5" s="3" customFormat="1" ht="19.5" customHeight="1">
      <c r="A2736" s="8">
        <v>2734</v>
      </c>
      <c r="B2736" s="8" t="str">
        <f>"21902020071416570127116"</f>
        <v>21902020071416570127116</v>
      </c>
      <c r="C2736" s="8" t="s">
        <v>20</v>
      </c>
      <c r="D2736" s="8" t="str">
        <f>"赖港美"</f>
        <v>赖港美</v>
      </c>
      <c r="E2736" s="8" t="str">
        <f t="shared" si="329"/>
        <v>女</v>
      </c>
    </row>
    <row r="2737" spans="1:5" s="3" customFormat="1" ht="19.5" customHeight="1">
      <c r="A2737" s="8">
        <v>2735</v>
      </c>
      <c r="B2737" s="8" t="str">
        <f>"21902020071417082927143"</f>
        <v>21902020071417082927143</v>
      </c>
      <c r="C2737" s="8" t="s">
        <v>20</v>
      </c>
      <c r="D2737" s="8" t="str">
        <f>"杨婷"</f>
        <v>杨婷</v>
      </c>
      <c r="E2737" s="8" t="str">
        <f t="shared" si="329"/>
        <v>女</v>
      </c>
    </row>
    <row r="2738" spans="1:5" s="3" customFormat="1" ht="19.5" customHeight="1">
      <c r="A2738" s="8">
        <v>2736</v>
      </c>
      <c r="B2738" s="8" t="str">
        <f>"21902020071417192827159"</f>
        <v>21902020071417192827159</v>
      </c>
      <c r="C2738" s="8" t="s">
        <v>20</v>
      </c>
      <c r="D2738" s="8" t="str">
        <f>"赵顺玲"</f>
        <v>赵顺玲</v>
      </c>
      <c r="E2738" s="8" t="str">
        <f t="shared" si="329"/>
        <v>女</v>
      </c>
    </row>
    <row r="2739" spans="1:5" s="3" customFormat="1" ht="19.5" customHeight="1">
      <c r="A2739" s="8">
        <v>2737</v>
      </c>
      <c r="B2739" s="8" t="str">
        <f>"21902020071418071027222"</f>
        <v>21902020071418071027222</v>
      </c>
      <c r="C2739" s="8" t="s">
        <v>20</v>
      </c>
      <c r="D2739" s="8" t="str">
        <f>"李孟仙"</f>
        <v>李孟仙</v>
      </c>
      <c r="E2739" s="8" t="str">
        <f aca="true" t="shared" si="330" ref="E2739:E2743">"男"</f>
        <v>男</v>
      </c>
    </row>
    <row r="2740" spans="1:5" s="3" customFormat="1" ht="19.5" customHeight="1">
      <c r="A2740" s="8">
        <v>2738</v>
      </c>
      <c r="B2740" s="8" t="str">
        <f>"21902020071418231427245"</f>
        <v>21902020071418231427245</v>
      </c>
      <c r="C2740" s="8" t="s">
        <v>20</v>
      </c>
      <c r="D2740" s="8" t="str">
        <f>"钟桂添"</f>
        <v>钟桂添</v>
      </c>
      <c r="E2740" s="8" t="str">
        <f t="shared" si="330"/>
        <v>男</v>
      </c>
    </row>
    <row r="2741" spans="1:5" s="3" customFormat="1" ht="19.5" customHeight="1">
      <c r="A2741" s="8">
        <v>2739</v>
      </c>
      <c r="B2741" s="8" t="str">
        <f>"21902020071418454327275"</f>
        <v>21902020071418454327275</v>
      </c>
      <c r="C2741" s="8" t="s">
        <v>20</v>
      </c>
      <c r="D2741" s="8" t="str">
        <f>"林道仁"</f>
        <v>林道仁</v>
      </c>
      <c r="E2741" s="8" t="str">
        <f t="shared" si="330"/>
        <v>男</v>
      </c>
    </row>
    <row r="2742" spans="1:5" s="3" customFormat="1" ht="19.5" customHeight="1">
      <c r="A2742" s="8">
        <v>2740</v>
      </c>
      <c r="B2742" s="8" t="str">
        <f>"21902020071419060927306"</f>
        <v>21902020071419060927306</v>
      </c>
      <c r="C2742" s="8" t="s">
        <v>20</v>
      </c>
      <c r="D2742" s="8" t="str">
        <f>"符以逵"</f>
        <v>符以逵</v>
      </c>
      <c r="E2742" s="8" t="str">
        <f t="shared" si="330"/>
        <v>男</v>
      </c>
    </row>
    <row r="2743" spans="1:5" s="3" customFormat="1" ht="19.5" customHeight="1">
      <c r="A2743" s="8">
        <v>2741</v>
      </c>
      <c r="B2743" s="8" t="str">
        <f>"21902020071419151327321"</f>
        <v>21902020071419151327321</v>
      </c>
      <c r="C2743" s="8" t="s">
        <v>20</v>
      </c>
      <c r="D2743" s="8" t="str">
        <f>"李江浚"</f>
        <v>李江浚</v>
      </c>
      <c r="E2743" s="8" t="str">
        <f t="shared" si="330"/>
        <v>男</v>
      </c>
    </row>
    <row r="2744" spans="1:5" s="3" customFormat="1" ht="19.5" customHeight="1">
      <c r="A2744" s="8">
        <v>2742</v>
      </c>
      <c r="B2744" s="8" t="str">
        <f>"21902020071419154627323"</f>
        <v>21902020071419154627323</v>
      </c>
      <c r="C2744" s="8" t="s">
        <v>20</v>
      </c>
      <c r="D2744" s="8" t="str">
        <f>"陈虹"</f>
        <v>陈虹</v>
      </c>
      <c r="E2744" s="8" t="str">
        <f>"女"</f>
        <v>女</v>
      </c>
    </row>
    <row r="2745" spans="1:5" s="3" customFormat="1" ht="19.5" customHeight="1">
      <c r="A2745" s="8">
        <v>2743</v>
      </c>
      <c r="B2745" s="8" t="str">
        <f>"21902020071419254527333"</f>
        <v>21902020071419254527333</v>
      </c>
      <c r="C2745" s="8" t="s">
        <v>20</v>
      </c>
      <c r="D2745" s="8" t="str">
        <f>"符玉琼"</f>
        <v>符玉琼</v>
      </c>
      <c r="E2745" s="8" t="str">
        <f aca="true" t="shared" si="331" ref="E2745:E2754">"男"</f>
        <v>男</v>
      </c>
    </row>
    <row r="2746" spans="1:5" s="3" customFormat="1" ht="19.5" customHeight="1">
      <c r="A2746" s="8">
        <v>2744</v>
      </c>
      <c r="B2746" s="8" t="str">
        <f>"21902020071420113727374"</f>
        <v>21902020071420113727374</v>
      </c>
      <c r="C2746" s="8" t="s">
        <v>20</v>
      </c>
      <c r="D2746" s="8" t="str">
        <f>"万琦"</f>
        <v>万琦</v>
      </c>
      <c r="E2746" s="8" t="str">
        <f t="shared" si="331"/>
        <v>男</v>
      </c>
    </row>
    <row r="2747" spans="1:5" s="3" customFormat="1" ht="19.5" customHeight="1">
      <c r="A2747" s="8">
        <v>2745</v>
      </c>
      <c r="B2747" s="8" t="str">
        <f>"21902020071420143127379"</f>
        <v>21902020071420143127379</v>
      </c>
      <c r="C2747" s="8" t="s">
        <v>20</v>
      </c>
      <c r="D2747" s="8" t="str">
        <f>"陈福丹"</f>
        <v>陈福丹</v>
      </c>
      <c r="E2747" s="8" t="str">
        <f>"女"</f>
        <v>女</v>
      </c>
    </row>
    <row r="2748" spans="1:5" s="3" customFormat="1" ht="19.5" customHeight="1">
      <c r="A2748" s="8">
        <v>2746</v>
      </c>
      <c r="B2748" s="8" t="str">
        <f>"21902020071420472627420"</f>
        <v>21902020071420472627420</v>
      </c>
      <c r="C2748" s="8" t="s">
        <v>20</v>
      </c>
      <c r="D2748" s="8" t="str">
        <f>"王冠佳"</f>
        <v>王冠佳</v>
      </c>
      <c r="E2748" s="8" t="str">
        <f t="shared" si="331"/>
        <v>男</v>
      </c>
    </row>
    <row r="2749" spans="1:5" s="3" customFormat="1" ht="19.5" customHeight="1">
      <c r="A2749" s="8">
        <v>2747</v>
      </c>
      <c r="B2749" s="8" t="str">
        <f>"21902020071420565627426"</f>
        <v>21902020071420565627426</v>
      </c>
      <c r="C2749" s="8" t="s">
        <v>20</v>
      </c>
      <c r="D2749" s="8" t="str">
        <f>"何奋"</f>
        <v>何奋</v>
      </c>
      <c r="E2749" s="8" t="str">
        <f t="shared" si="331"/>
        <v>男</v>
      </c>
    </row>
    <row r="2750" spans="1:5" s="3" customFormat="1" ht="19.5" customHeight="1">
      <c r="A2750" s="8">
        <v>2748</v>
      </c>
      <c r="B2750" s="8" t="str">
        <f>"21902020071421261527470"</f>
        <v>21902020071421261527470</v>
      </c>
      <c r="C2750" s="8" t="s">
        <v>20</v>
      </c>
      <c r="D2750" s="8" t="str">
        <f>"符思敏"</f>
        <v>符思敏</v>
      </c>
      <c r="E2750" s="8" t="str">
        <f t="shared" si="331"/>
        <v>男</v>
      </c>
    </row>
    <row r="2751" spans="1:5" s="3" customFormat="1" ht="19.5" customHeight="1">
      <c r="A2751" s="8">
        <v>2749</v>
      </c>
      <c r="B2751" s="8" t="str">
        <f>"21902020071422332027552"</f>
        <v>21902020071422332027552</v>
      </c>
      <c r="C2751" s="8" t="s">
        <v>20</v>
      </c>
      <c r="D2751" s="8" t="str">
        <f>"林楠"</f>
        <v>林楠</v>
      </c>
      <c r="E2751" s="8" t="str">
        <f t="shared" si="331"/>
        <v>男</v>
      </c>
    </row>
    <row r="2752" spans="1:5" s="3" customFormat="1" ht="19.5" customHeight="1">
      <c r="A2752" s="8">
        <v>2750</v>
      </c>
      <c r="B2752" s="8" t="str">
        <f>"21902020071423050527592"</f>
        <v>21902020071423050527592</v>
      </c>
      <c r="C2752" s="8" t="s">
        <v>20</v>
      </c>
      <c r="D2752" s="8" t="str">
        <f>"符其再"</f>
        <v>符其再</v>
      </c>
      <c r="E2752" s="8" t="str">
        <f t="shared" si="331"/>
        <v>男</v>
      </c>
    </row>
    <row r="2753" spans="1:5" s="3" customFormat="1" ht="19.5" customHeight="1">
      <c r="A2753" s="8">
        <v>2751</v>
      </c>
      <c r="B2753" s="8" t="str">
        <f>"21902020071508504527707"</f>
        <v>21902020071508504527707</v>
      </c>
      <c r="C2753" s="8" t="s">
        <v>20</v>
      </c>
      <c r="D2753" s="8" t="str">
        <f>"何满"</f>
        <v>何满</v>
      </c>
      <c r="E2753" s="8" t="str">
        <f t="shared" si="331"/>
        <v>男</v>
      </c>
    </row>
    <row r="2754" spans="1:5" s="3" customFormat="1" ht="19.5" customHeight="1">
      <c r="A2754" s="8">
        <v>2752</v>
      </c>
      <c r="B2754" s="8" t="str">
        <f>"21902020071508531027709"</f>
        <v>21902020071508531027709</v>
      </c>
      <c r="C2754" s="8" t="s">
        <v>20</v>
      </c>
      <c r="D2754" s="8" t="str">
        <f>"吴翔"</f>
        <v>吴翔</v>
      </c>
      <c r="E2754" s="8" t="str">
        <f t="shared" si="331"/>
        <v>男</v>
      </c>
    </row>
    <row r="2755" spans="1:5" s="3" customFormat="1" ht="19.5" customHeight="1">
      <c r="A2755" s="8">
        <v>2753</v>
      </c>
      <c r="B2755" s="8" t="str">
        <f>"21902020071508591527717"</f>
        <v>21902020071508591527717</v>
      </c>
      <c r="C2755" s="8" t="s">
        <v>20</v>
      </c>
      <c r="D2755" s="8" t="str">
        <f>"符美秦"</f>
        <v>符美秦</v>
      </c>
      <c r="E2755" s="8" t="str">
        <f aca="true" t="shared" si="332" ref="E2755:E2760">"女"</f>
        <v>女</v>
      </c>
    </row>
    <row r="2756" spans="1:5" s="3" customFormat="1" ht="19.5" customHeight="1">
      <c r="A2756" s="8">
        <v>2754</v>
      </c>
      <c r="B2756" s="8" t="str">
        <f>"21902020071509022927726"</f>
        <v>21902020071509022927726</v>
      </c>
      <c r="C2756" s="8" t="s">
        <v>20</v>
      </c>
      <c r="D2756" s="8" t="str">
        <f>"陈俊"</f>
        <v>陈俊</v>
      </c>
      <c r="E2756" s="8" t="str">
        <f aca="true" t="shared" si="333" ref="E2756:E2759">"男"</f>
        <v>男</v>
      </c>
    </row>
    <row r="2757" spans="1:5" s="3" customFormat="1" ht="19.5" customHeight="1">
      <c r="A2757" s="8">
        <v>2755</v>
      </c>
      <c r="B2757" s="8" t="str">
        <f>"21902020071509392927791"</f>
        <v>21902020071509392927791</v>
      </c>
      <c r="C2757" s="8" t="s">
        <v>20</v>
      </c>
      <c r="D2757" s="8" t="str">
        <f>"羊华强"</f>
        <v>羊华强</v>
      </c>
      <c r="E2757" s="8" t="str">
        <f t="shared" si="333"/>
        <v>男</v>
      </c>
    </row>
    <row r="2758" spans="1:5" s="3" customFormat="1" ht="19.5" customHeight="1">
      <c r="A2758" s="8">
        <v>2756</v>
      </c>
      <c r="B2758" s="8" t="str">
        <f>"21902020071509433227801"</f>
        <v>21902020071509433227801</v>
      </c>
      <c r="C2758" s="8" t="s">
        <v>20</v>
      </c>
      <c r="D2758" s="8" t="str">
        <f>"王尼娜"</f>
        <v>王尼娜</v>
      </c>
      <c r="E2758" s="8" t="str">
        <f t="shared" si="332"/>
        <v>女</v>
      </c>
    </row>
    <row r="2759" spans="1:5" s="3" customFormat="1" ht="19.5" customHeight="1">
      <c r="A2759" s="8">
        <v>2757</v>
      </c>
      <c r="B2759" s="8" t="str">
        <f>"21902020071509442027804"</f>
        <v>21902020071509442027804</v>
      </c>
      <c r="C2759" s="8" t="s">
        <v>20</v>
      </c>
      <c r="D2759" s="8" t="str">
        <f>"羊学造"</f>
        <v>羊学造</v>
      </c>
      <c r="E2759" s="8" t="str">
        <f t="shared" si="333"/>
        <v>男</v>
      </c>
    </row>
    <row r="2760" spans="1:5" s="3" customFormat="1" ht="19.5" customHeight="1">
      <c r="A2760" s="8">
        <v>2758</v>
      </c>
      <c r="B2760" s="8" t="str">
        <f>"21902020071510184227854"</f>
        <v>21902020071510184227854</v>
      </c>
      <c r="C2760" s="8" t="s">
        <v>20</v>
      </c>
      <c r="D2760" s="8" t="str">
        <f>"钟舒倩"</f>
        <v>钟舒倩</v>
      </c>
      <c r="E2760" s="8" t="str">
        <f t="shared" si="332"/>
        <v>女</v>
      </c>
    </row>
    <row r="2761" spans="1:5" s="3" customFormat="1" ht="19.5" customHeight="1">
      <c r="A2761" s="8">
        <v>2759</v>
      </c>
      <c r="B2761" s="8" t="str">
        <f>"21902020071511461327982"</f>
        <v>21902020071511461327982</v>
      </c>
      <c r="C2761" s="8" t="s">
        <v>20</v>
      </c>
      <c r="D2761" s="8" t="str">
        <f>"李永兴"</f>
        <v>李永兴</v>
      </c>
      <c r="E2761" s="8" t="str">
        <f aca="true" t="shared" si="334" ref="E2761:E2763">"男"</f>
        <v>男</v>
      </c>
    </row>
    <row r="2762" spans="1:5" s="3" customFormat="1" ht="19.5" customHeight="1">
      <c r="A2762" s="8">
        <v>2760</v>
      </c>
      <c r="B2762" s="8" t="str">
        <f>"21902020071511461327983"</f>
        <v>21902020071511461327983</v>
      </c>
      <c r="C2762" s="8" t="s">
        <v>20</v>
      </c>
      <c r="D2762" s="8" t="str">
        <f>"符荣丁"</f>
        <v>符荣丁</v>
      </c>
      <c r="E2762" s="8" t="str">
        <f t="shared" si="334"/>
        <v>男</v>
      </c>
    </row>
    <row r="2763" spans="1:5" s="3" customFormat="1" ht="19.5" customHeight="1">
      <c r="A2763" s="8">
        <v>2761</v>
      </c>
      <c r="B2763" s="8" t="str">
        <f>"21902020071512225228023"</f>
        <v>21902020071512225228023</v>
      </c>
      <c r="C2763" s="8" t="s">
        <v>20</v>
      </c>
      <c r="D2763" s="8" t="str">
        <f>"蔡冠科"</f>
        <v>蔡冠科</v>
      </c>
      <c r="E2763" s="8" t="str">
        <f t="shared" si="334"/>
        <v>男</v>
      </c>
    </row>
    <row r="2764" spans="1:5" s="3" customFormat="1" ht="19.5" customHeight="1">
      <c r="A2764" s="8">
        <v>2762</v>
      </c>
      <c r="B2764" s="8" t="str">
        <f>"21902020071512290528030"</f>
        <v>21902020071512290528030</v>
      </c>
      <c r="C2764" s="8" t="s">
        <v>20</v>
      </c>
      <c r="D2764" s="8" t="str">
        <f>"符晓艳"</f>
        <v>符晓艳</v>
      </c>
      <c r="E2764" s="8" t="str">
        <f aca="true" t="shared" si="335" ref="E2764:E2769">"女"</f>
        <v>女</v>
      </c>
    </row>
    <row r="2765" spans="1:5" s="3" customFormat="1" ht="19.5" customHeight="1">
      <c r="A2765" s="8">
        <v>2763</v>
      </c>
      <c r="B2765" s="8" t="str">
        <f>"21902020071513452928089"</f>
        <v>21902020071513452928089</v>
      </c>
      <c r="C2765" s="8" t="s">
        <v>20</v>
      </c>
      <c r="D2765" s="8" t="str">
        <f>"韦玉锦"</f>
        <v>韦玉锦</v>
      </c>
      <c r="E2765" s="8" t="str">
        <f t="shared" si="335"/>
        <v>女</v>
      </c>
    </row>
    <row r="2766" spans="1:5" s="3" customFormat="1" ht="19.5" customHeight="1">
      <c r="A2766" s="8">
        <v>2764</v>
      </c>
      <c r="B2766" s="8" t="str">
        <f>"21902020071514433828132"</f>
        <v>21902020071514433828132</v>
      </c>
      <c r="C2766" s="8" t="s">
        <v>20</v>
      </c>
      <c r="D2766" s="8" t="str">
        <f>"符延握"</f>
        <v>符延握</v>
      </c>
      <c r="E2766" s="8" t="str">
        <f aca="true" t="shared" si="336" ref="E2766:E2768">"男"</f>
        <v>男</v>
      </c>
    </row>
    <row r="2767" spans="1:5" s="3" customFormat="1" ht="19.5" customHeight="1">
      <c r="A2767" s="8">
        <v>2765</v>
      </c>
      <c r="B2767" s="8" t="str">
        <f>"21902020071515131128161"</f>
        <v>21902020071515131128161</v>
      </c>
      <c r="C2767" s="8" t="s">
        <v>20</v>
      </c>
      <c r="D2767" s="8" t="str">
        <f>"黎隆茂"</f>
        <v>黎隆茂</v>
      </c>
      <c r="E2767" s="8" t="str">
        <f t="shared" si="336"/>
        <v>男</v>
      </c>
    </row>
    <row r="2768" spans="1:5" s="3" customFormat="1" ht="19.5" customHeight="1">
      <c r="A2768" s="8">
        <v>2766</v>
      </c>
      <c r="B2768" s="8" t="str">
        <f>"21902020071516010328217"</f>
        <v>21902020071516010328217</v>
      </c>
      <c r="C2768" s="8" t="s">
        <v>20</v>
      </c>
      <c r="D2768" s="8" t="str">
        <f>"易兴华"</f>
        <v>易兴华</v>
      </c>
      <c r="E2768" s="8" t="str">
        <f t="shared" si="336"/>
        <v>男</v>
      </c>
    </row>
    <row r="2769" spans="1:5" s="3" customFormat="1" ht="19.5" customHeight="1">
      <c r="A2769" s="8">
        <v>2767</v>
      </c>
      <c r="B2769" s="8" t="str">
        <f>"21902020071516124228236"</f>
        <v>21902020071516124228236</v>
      </c>
      <c r="C2769" s="8" t="s">
        <v>20</v>
      </c>
      <c r="D2769" s="8" t="str">
        <f>"黎志琴"</f>
        <v>黎志琴</v>
      </c>
      <c r="E2769" s="8" t="str">
        <f t="shared" si="335"/>
        <v>女</v>
      </c>
    </row>
    <row r="2770" spans="1:5" s="3" customFormat="1" ht="19.5" customHeight="1">
      <c r="A2770" s="8">
        <v>2768</v>
      </c>
      <c r="B2770" s="8" t="str">
        <f>"21902020071516154528242"</f>
        <v>21902020071516154528242</v>
      </c>
      <c r="C2770" s="8" t="s">
        <v>20</v>
      </c>
      <c r="D2770" s="8" t="str">
        <f>"黄日忠"</f>
        <v>黄日忠</v>
      </c>
      <c r="E2770" s="8" t="str">
        <f aca="true" t="shared" si="337" ref="E2770:E2779">"男"</f>
        <v>男</v>
      </c>
    </row>
    <row r="2771" spans="1:5" s="3" customFormat="1" ht="19.5" customHeight="1">
      <c r="A2771" s="8">
        <v>2769</v>
      </c>
      <c r="B2771" s="8" t="str">
        <f>"21902020071516243828248"</f>
        <v>21902020071516243828248</v>
      </c>
      <c r="C2771" s="8" t="s">
        <v>20</v>
      </c>
      <c r="D2771" s="8" t="str">
        <f>"陈芳"</f>
        <v>陈芳</v>
      </c>
      <c r="E2771" s="8" t="str">
        <f>"女"</f>
        <v>女</v>
      </c>
    </row>
    <row r="2772" spans="1:5" s="3" customFormat="1" ht="19.5" customHeight="1">
      <c r="A2772" s="8">
        <v>2770</v>
      </c>
      <c r="B2772" s="8" t="str">
        <f>"21902020071517332428329"</f>
        <v>21902020071517332428329</v>
      </c>
      <c r="C2772" s="8" t="s">
        <v>20</v>
      </c>
      <c r="D2772" s="8" t="str">
        <f>"黄小妹"</f>
        <v>黄小妹</v>
      </c>
      <c r="E2772" s="8" t="str">
        <f>"女"</f>
        <v>女</v>
      </c>
    </row>
    <row r="2773" spans="1:5" s="3" customFormat="1" ht="19.5" customHeight="1">
      <c r="A2773" s="8">
        <v>2771</v>
      </c>
      <c r="B2773" s="8" t="str">
        <f>"21902020071519580728441"</f>
        <v>21902020071519580728441</v>
      </c>
      <c r="C2773" s="8" t="s">
        <v>20</v>
      </c>
      <c r="D2773" s="8" t="str">
        <f>"符新颖"</f>
        <v>符新颖</v>
      </c>
      <c r="E2773" s="8" t="str">
        <f t="shared" si="337"/>
        <v>男</v>
      </c>
    </row>
    <row r="2774" spans="1:5" s="3" customFormat="1" ht="19.5" customHeight="1">
      <c r="A2774" s="8">
        <v>2772</v>
      </c>
      <c r="B2774" s="8" t="str">
        <f>"21902020071520140428455"</f>
        <v>21902020071520140428455</v>
      </c>
      <c r="C2774" s="8" t="s">
        <v>20</v>
      </c>
      <c r="D2774" s="8" t="str">
        <f>" 符业多"</f>
        <v> 符业多</v>
      </c>
      <c r="E2774" s="8" t="str">
        <f t="shared" si="337"/>
        <v>男</v>
      </c>
    </row>
    <row r="2775" spans="1:5" s="3" customFormat="1" ht="19.5" customHeight="1">
      <c r="A2775" s="8">
        <v>2773</v>
      </c>
      <c r="B2775" s="8" t="str">
        <f>"21902020071520303928472"</f>
        <v>21902020071520303928472</v>
      </c>
      <c r="C2775" s="8" t="s">
        <v>20</v>
      </c>
      <c r="D2775" s="8" t="str">
        <f>"符真广"</f>
        <v>符真广</v>
      </c>
      <c r="E2775" s="8" t="str">
        <f t="shared" si="337"/>
        <v>男</v>
      </c>
    </row>
    <row r="2776" spans="1:5" s="3" customFormat="1" ht="19.5" customHeight="1">
      <c r="A2776" s="8">
        <v>2774</v>
      </c>
      <c r="B2776" s="8" t="str">
        <f>"21902020071521585428544"</f>
        <v>21902020071521585428544</v>
      </c>
      <c r="C2776" s="8" t="s">
        <v>20</v>
      </c>
      <c r="D2776" s="8" t="str">
        <f>"刘家良"</f>
        <v>刘家良</v>
      </c>
      <c r="E2776" s="8" t="str">
        <f t="shared" si="337"/>
        <v>男</v>
      </c>
    </row>
    <row r="2777" spans="1:5" s="3" customFormat="1" ht="19.5" customHeight="1">
      <c r="A2777" s="8">
        <v>2775</v>
      </c>
      <c r="B2777" s="8" t="str">
        <f>"21902020071600555328656"</f>
        <v>21902020071600555328656</v>
      </c>
      <c r="C2777" s="8" t="s">
        <v>20</v>
      </c>
      <c r="D2777" s="8" t="str">
        <f>"颜飞"</f>
        <v>颜飞</v>
      </c>
      <c r="E2777" s="8" t="str">
        <f t="shared" si="337"/>
        <v>男</v>
      </c>
    </row>
    <row r="2778" spans="1:5" s="3" customFormat="1" ht="19.5" customHeight="1">
      <c r="A2778" s="8">
        <v>2776</v>
      </c>
      <c r="B2778" s="8" t="str">
        <f>"21902020071608460628690"</f>
        <v>21902020071608460628690</v>
      </c>
      <c r="C2778" s="8" t="s">
        <v>20</v>
      </c>
      <c r="D2778" s="8" t="str">
        <f>"曾多良"</f>
        <v>曾多良</v>
      </c>
      <c r="E2778" s="8" t="str">
        <f t="shared" si="337"/>
        <v>男</v>
      </c>
    </row>
    <row r="2779" spans="1:5" s="3" customFormat="1" ht="19.5" customHeight="1">
      <c r="A2779" s="8">
        <v>2777</v>
      </c>
      <c r="B2779" s="8" t="str">
        <f>"21902020071609333328730"</f>
        <v>21902020071609333328730</v>
      </c>
      <c r="C2779" s="8" t="s">
        <v>20</v>
      </c>
      <c r="D2779" s="8" t="str">
        <f>"陈应林"</f>
        <v>陈应林</v>
      </c>
      <c r="E2779" s="8" t="str">
        <f t="shared" si="337"/>
        <v>男</v>
      </c>
    </row>
    <row r="2780" spans="1:5" s="3" customFormat="1" ht="19.5" customHeight="1">
      <c r="A2780" s="8">
        <v>2778</v>
      </c>
      <c r="B2780" s="8" t="str">
        <f>"21902020071610592128802"</f>
        <v>21902020071610592128802</v>
      </c>
      <c r="C2780" s="8" t="s">
        <v>20</v>
      </c>
      <c r="D2780" s="8" t="str">
        <f>"谢淑英"</f>
        <v>谢淑英</v>
      </c>
      <c r="E2780" s="8" t="str">
        <f aca="true" t="shared" si="338" ref="E2780:E2782">"女"</f>
        <v>女</v>
      </c>
    </row>
    <row r="2781" spans="1:5" s="3" customFormat="1" ht="19.5" customHeight="1">
      <c r="A2781" s="8">
        <v>2779</v>
      </c>
      <c r="B2781" s="8" t="str">
        <f>"21902020071611464528854"</f>
        <v>21902020071611464528854</v>
      </c>
      <c r="C2781" s="8" t="s">
        <v>20</v>
      </c>
      <c r="D2781" s="8" t="str">
        <f>"符艳菲"</f>
        <v>符艳菲</v>
      </c>
      <c r="E2781" s="8" t="str">
        <f t="shared" si="338"/>
        <v>女</v>
      </c>
    </row>
    <row r="2782" spans="1:5" s="3" customFormat="1" ht="19.5" customHeight="1">
      <c r="A2782" s="8">
        <v>2780</v>
      </c>
      <c r="B2782" s="8" t="str">
        <f>"21902020071612230928878"</f>
        <v>21902020071612230928878</v>
      </c>
      <c r="C2782" s="8" t="s">
        <v>20</v>
      </c>
      <c r="D2782" s="8" t="str">
        <f>"王秀娜"</f>
        <v>王秀娜</v>
      </c>
      <c r="E2782" s="8" t="str">
        <f t="shared" si="338"/>
        <v>女</v>
      </c>
    </row>
    <row r="2783" spans="1:5" s="3" customFormat="1" ht="19.5" customHeight="1">
      <c r="A2783" s="8">
        <v>2781</v>
      </c>
      <c r="B2783" s="8" t="str">
        <f>"21902020071613394128924"</f>
        <v>21902020071613394128924</v>
      </c>
      <c r="C2783" s="8" t="s">
        <v>20</v>
      </c>
      <c r="D2783" s="8" t="str">
        <f>"梁毅"</f>
        <v>梁毅</v>
      </c>
      <c r="E2783" s="8" t="str">
        <f aca="true" t="shared" si="339" ref="E2783:E2787">"男"</f>
        <v>男</v>
      </c>
    </row>
    <row r="2784" spans="1:5" s="3" customFormat="1" ht="19.5" customHeight="1">
      <c r="A2784" s="8">
        <v>2782</v>
      </c>
      <c r="B2784" s="8" t="str">
        <f>"21902020071613570828931"</f>
        <v>21902020071613570828931</v>
      </c>
      <c r="C2784" s="8" t="s">
        <v>20</v>
      </c>
      <c r="D2784" s="8" t="str">
        <f>"谢发城"</f>
        <v>谢发城</v>
      </c>
      <c r="E2784" s="8" t="str">
        <f t="shared" si="339"/>
        <v>男</v>
      </c>
    </row>
    <row r="2785" spans="1:5" s="3" customFormat="1" ht="19.5" customHeight="1">
      <c r="A2785" s="8">
        <v>2783</v>
      </c>
      <c r="B2785" s="8" t="str">
        <f>"21902020071615293028996"</f>
        <v>21902020071615293028996</v>
      </c>
      <c r="C2785" s="8" t="s">
        <v>20</v>
      </c>
      <c r="D2785" s="8" t="str">
        <f>"符家秀"</f>
        <v>符家秀</v>
      </c>
      <c r="E2785" s="8" t="str">
        <f aca="true" t="shared" si="340" ref="E2785:E2790">"女"</f>
        <v>女</v>
      </c>
    </row>
    <row r="2786" spans="1:5" s="3" customFormat="1" ht="19.5" customHeight="1">
      <c r="A2786" s="8">
        <v>2784</v>
      </c>
      <c r="B2786" s="8" t="str">
        <f>"21902020071615501229020"</f>
        <v>21902020071615501229020</v>
      </c>
      <c r="C2786" s="8" t="s">
        <v>20</v>
      </c>
      <c r="D2786" s="8" t="str">
        <f>"林芳江"</f>
        <v>林芳江</v>
      </c>
      <c r="E2786" s="8" t="str">
        <f t="shared" si="340"/>
        <v>女</v>
      </c>
    </row>
    <row r="2787" spans="1:5" s="3" customFormat="1" ht="19.5" customHeight="1">
      <c r="A2787" s="8">
        <v>2785</v>
      </c>
      <c r="B2787" s="8" t="str">
        <f>"21902020071615510929021"</f>
        <v>21902020071615510929021</v>
      </c>
      <c r="C2787" s="8" t="s">
        <v>20</v>
      </c>
      <c r="D2787" s="8" t="str">
        <f>"李盈虎"</f>
        <v>李盈虎</v>
      </c>
      <c r="E2787" s="8" t="str">
        <f t="shared" si="339"/>
        <v>男</v>
      </c>
    </row>
    <row r="2788" spans="1:5" s="3" customFormat="1" ht="19.5" customHeight="1">
      <c r="A2788" s="8">
        <v>2786</v>
      </c>
      <c r="B2788" s="8" t="str">
        <f>"21902020071618461329149"</f>
        <v>21902020071618461329149</v>
      </c>
      <c r="C2788" s="8" t="s">
        <v>20</v>
      </c>
      <c r="D2788" s="8" t="str">
        <f>"林桂青"</f>
        <v>林桂青</v>
      </c>
      <c r="E2788" s="8" t="str">
        <f t="shared" si="340"/>
        <v>女</v>
      </c>
    </row>
    <row r="2789" spans="1:5" s="3" customFormat="1" ht="19.5" customHeight="1">
      <c r="A2789" s="8">
        <v>2787</v>
      </c>
      <c r="B2789" s="8" t="str">
        <f>"21902020071619255129167"</f>
        <v>21902020071619255129167</v>
      </c>
      <c r="C2789" s="8" t="s">
        <v>20</v>
      </c>
      <c r="D2789" s="8" t="str">
        <f>"刘晓梅"</f>
        <v>刘晓梅</v>
      </c>
      <c r="E2789" s="8" t="str">
        <f t="shared" si="340"/>
        <v>女</v>
      </c>
    </row>
    <row r="2790" spans="1:5" s="3" customFormat="1" ht="19.5" customHeight="1">
      <c r="A2790" s="8">
        <v>2788</v>
      </c>
      <c r="B2790" s="8" t="str">
        <f>"21902020071619484129177"</f>
        <v>21902020071619484129177</v>
      </c>
      <c r="C2790" s="8" t="s">
        <v>20</v>
      </c>
      <c r="D2790" s="8" t="str">
        <f>"曾玉玲"</f>
        <v>曾玉玲</v>
      </c>
      <c r="E2790" s="8" t="str">
        <f t="shared" si="340"/>
        <v>女</v>
      </c>
    </row>
    <row r="2791" spans="1:5" s="3" customFormat="1" ht="19.5" customHeight="1">
      <c r="A2791" s="8">
        <v>2789</v>
      </c>
      <c r="B2791" s="8" t="str">
        <f>"21902020071620135929193"</f>
        <v>21902020071620135929193</v>
      </c>
      <c r="C2791" s="8" t="s">
        <v>20</v>
      </c>
      <c r="D2791" s="8" t="str">
        <f>"周中兴"</f>
        <v>周中兴</v>
      </c>
      <c r="E2791" s="8" t="str">
        <f aca="true" t="shared" si="341" ref="E2791:E2797">"男"</f>
        <v>男</v>
      </c>
    </row>
    <row r="2792" spans="1:5" s="3" customFormat="1" ht="19.5" customHeight="1">
      <c r="A2792" s="8">
        <v>2790</v>
      </c>
      <c r="B2792" s="8" t="str">
        <f>"21902020071620153429194"</f>
        <v>21902020071620153429194</v>
      </c>
      <c r="C2792" s="8" t="s">
        <v>20</v>
      </c>
      <c r="D2792" s="8" t="str">
        <f>"周忠霞"</f>
        <v>周忠霞</v>
      </c>
      <c r="E2792" s="8" t="str">
        <f aca="true" t="shared" si="342" ref="E2792:E2795">"女"</f>
        <v>女</v>
      </c>
    </row>
    <row r="2793" spans="1:5" s="3" customFormat="1" ht="19.5" customHeight="1">
      <c r="A2793" s="8">
        <v>2791</v>
      </c>
      <c r="B2793" s="8" t="str">
        <f>"21902020071620421529206"</f>
        <v>21902020071620421529206</v>
      </c>
      <c r="C2793" s="8" t="s">
        <v>20</v>
      </c>
      <c r="D2793" s="8" t="str">
        <f>"虞锡春"</f>
        <v>虞锡春</v>
      </c>
      <c r="E2793" s="8" t="str">
        <f t="shared" si="342"/>
        <v>女</v>
      </c>
    </row>
    <row r="2794" spans="1:5" s="3" customFormat="1" ht="19.5" customHeight="1">
      <c r="A2794" s="8">
        <v>2792</v>
      </c>
      <c r="B2794" s="8" t="str">
        <f>"21902020071623061729285"</f>
        <v>21902020071623061729285</v>
      </c>
      <c r="C2794" s="8" t="s">
        <v>20</v>
      </c>
      <c r="D2794" s="8" t="str">
        <f>"符万强"</f>
        <v>符万强</v>
      </c>
      <c r="E2794" s="8" t="str">
        <f t="shared" si="341"/>
        <v>男</v>
      </c>
    </row>
    <row r="2795" spans="1:5" s="3" customFormat="1" ht="19.5" customHeight="1">
      <c r="A2795" s="8">
        <v>2793</v>
      </c>
      <c r="B2795" s="8" t="str">
        <f>"21902020071623085429287"</f>
        <v>21902020071623085429287</v>
      </c>
      <c r="C2795" s="8" t="s">
        <v>20</v>
      </c>
      <c r="D2795" s="8" t="str">
        <f>"张在花"</f>
        <v>张在花</v>
      </c>
      <c r="E2795" s="8" t="str">
        <f t="shared" si="342"/>
        <v>女</v>
      </c>
    </row>
    <row r="2796" spans="1:5" s="3" customFormat="1" ht="19.5" customHeight="1">
      <c r="A2796" s="8">
        <v>2794</v>
      </c>
      <c r="B2796" s="8" t="str">
        <f>"21902020071711310629457"</f>
        <v>21902020071711310629457</v>
      </c>
      <c r="C2796" s="8" t="s">
        <v>20</v>
      </c>
      <c r="D2796" s="8" t="str">
        <f>"吴业智"</f>
        <v>吴业智</v>
      </c>
      <c r="E2796" s="8" t="str">
        <f t="shared" si="341"/>
        <v>男</v>
      </c>
    </row>
    <row r="2797" spans="1:5" s="3" customFormat="1" ht="19.5" customHeight="1">
      <c r="A2797" s="8">
        <v>2795</v>
      </c>
      <c r="B2797" s="8" t="str">
        <f>"21902020071713420629531"</f>
        <v>21902020071713420629531</v>
      </c>
      <c r="C2797" s="8" t="s">
        <v>20</v>
      </c>
      <c r="D2797" s="8" t="str">
        <f>"李应驹"</f>
        <v>李应驹</v>
      </c>
      <c r="E2797" s="8" t="str">
        <f t="shared" si="341"/>
        <v>男</v>
      </c>
    </row>
    <row r="2798" spans="1:5" s="3" customFormat="1" ht="19.5" customHeight="1">
      <c r="A2798" s="8">
        <v>2796</v>
      </c>
      <c r="B2798" s="8" t="str">
        <f>"21902020071714374729554"</f>
        <v>21902020071714374729554</v>
      </c>
      <c r="C2798" s="8" t="s">
        <v>20</v>
      </c>
      <c r="D2798" s="8" t="str">
        <f>"李丽花"</f>
        <v>李丽花</v>
      </c>
      <c r="E2798" s="8" t="str">
        <f aca="true" t="shared" si="343" ref="E2798:E2803">"女"</f>
        <v>女</v>
      </c>
    </row>
    <row r="2799" spans="1:5" s="3" customFormat="1" ht="19.5" customHeight="1">
      <c r="A2799" s="8">
        <v>2797</v>
      </c>
      <c r="B2799" s="8" t="str">
        <f>"21902020071715282329593"</f>
        <v>21902020071715282329593</v>
      </c>
      <c r="C2799" s="8" t="s">
        <v>20</v>
      </c>
      <c r="D2799" s="8" t="str">
        <f>"羊燕女"</f>
        <v>羊燕女</v>
      </c>
      <c r="E2799" s="8" t="str">
        <f t="shared" si="343"/>
        <v>女</v>
      </c>
    </row>
    <row r="2800" spans="1:5" s="3" customFormat="1" ht="19.5" customHeight="1">
      <c r="A2800" s="8">
        <v>2798</v>
      </c>
      <c r="B2800" s="8" t="str">
        <f>"21902020071715283229594"</f>
        <v>21902020071715283229594</v>
      </c>
      <c r="C2800" s="8" t="s">
        <v>20</v>
      </c>
      <c r="D2800" s="8" t="str">
        <f>"钟赞臣"</f>
        <v>钟赞臣</v>
      </c>
      <c r="E2800" s="8" t="str">
        <f>"男"</f>
        <v>男</v>
      </c>
    </row>
    <row r="2801" spans="1:5" s="3" customFormat="1" ht="19.5" customHeight="1">
      <c r="A2801" s="8">
        <v>2799</v>
      </c>
      <c r="B2801" s="8" t="str">
        <f>"21902020071717154029670"</f>
        <v>21902020071717154029670</v>
      </c>
      <c r="C2801" s="8" t="s">
        <v>20</v>
      </c>
      <c r="D2801" s="8" t="str">
        <f>"邓博云"</f>
        <v>邓博云</v>
      </c>
      <c r="E2801" s="8" t="str">
        <f t="shared" si="343"/>
        <v>女</v>
      </c>
    </row>
    <row r="2802" spans="1:5" s="3" customFormat="1" ht="19.5" customHeight="1">
      <c r="A2802" s="8">
        <v>2800</v>
      </c>
      <c r="B2802" s="8" t="str">
        <f>"21902020071718095229696"</f>
        <v>21902020071718095229696</v>
      </c>
      <c r="C2802" s="8" t="s">
        <v>20</v>
      </c>
      <c r="D2802" s="8" t="str">
        <f>"符前音"</f>
        <v>符前音</v>
      </c>
      <c r="E2802" s="8" t="str">
        <f t="shared" si="343"/>
        <v>女</v>
      </c>
    </row>
    <row r="2803" spans="1:5" s="3" customFormat="1" ht="19.5" customHeight="1">
      <c r="A2803" s="8">
        <v>2801</v>
      </c>
      <c r="B2803" s="8" t="str">
        <f>"21902020071721005629743"</f>
        <v>21902020071721005629743</v>
      </c>
      <c r="C2803" s="8" t="s">
        <v>20</v>
      </c>
      <c r="D2803" s="8" t="str">
        <f>"林晓波"</f>
        <v>林晓波</v>
      </c>
      <c r="E2803" s="8" t="str">
        <f t="shared" si="343"/>
        <v>女</v>
      </c>
    </row>
    <row r="2804" spans="1:5" s="3" customFormat="1" ht="19.5" customHeight="1">
      <c r="A2804" s="8">
        <v>2802</v>
      </c>
      <c r="B2804" s="8" t="str">
        <f>"21902020071810471629855"</f>
        <v>21902020071810471629855</v>
      </c>
      <c r="C2804" s="8" t="s">
        <v>20</v>
      </c>
      <c r="D2804" s="8" t="str">
        <f>"黄琳"</f>
        <v>黄琳</v>
      </c>
      <c r="E2804" s="8" t="str">
        <f>"男"</f>
        <v>男</v>
      </c>
    </row>
    <row r="2805" spans="1:5" s="3" customFormat="1" ht="19.5" customHeight="1">
      <c r="A2805" s="8">
        <v>2803</v>
      </c>
      <c r="B2805" s="8" t="str">
        <f>"21902020071816480429973"</f>
        <v>21902020071816480429973</v>
      </c>
      <c r="C2805" s="8" t="s">
        <v>20</v>
      </c>
      <c r="D2805" s="8" t="str">
        <f>"符家营"</f>
        <v>符家营</v>
      </c>
      <c r="E2805" s="8" t="str">
        <f aca="true" t="shared" si="344" ref="E2805:E2811">"女"</f>
        <v>女</v>
      </c>
    </row>
    <row r="2806" spans="1:5" s="3" customFormat="1" ht="19.5" customHeight="1">
      <c r="A2806" s="8">
        <v>2804</v>
      </c>
      <c r="B2806" s="8" t="str">
        <f>"21902020071821424730052"</f>
        <v>21902020071821424730052</v>
      </c>
      <c r="C2806" s="8" t="s">
        <v>20</v>
      </c>
      <c r="D2806" s="8" t="str">
        <f>"薛奇花"</f>
        <v>薛奇花</v>
      </c>
      <c r="E2806" s="8" t="str">
        <f t="shared" si="344"/>
        <v>女</v>
      </c>
    </row>
    <row r="2807" spans="1:5" s="3" customFormat="1" ht="19.5" customHeight="1">
      <c r="A2807" s="8">
        <v>2805</v>
      </c>
      <c r="B2807" s="8" t="str">
        <f>"21902020071908310530093"</f>
        <v>21902020071908310530093</v>
      </c>
      <c r="C2807" s="8" t="s">
        <v>20</v>
      </c>
      <c r="D2807" s="8" t="str">
        <f>"符江城"</f>
        <v>符江城</v>
      </c>
      <c r="E2807" s="8" t="str">
        <f>"男"</f>
        <v>男</v>
      </c>
    </row>
    <row r="2808" spans="1:5" s="3" customFormat="1" ht="19.5" customHeight="1">
      <c r="A2808" s="8">
        <v>2806</v>
      </c>
      <c r="B2808" s="8" t="str">
        <f>"21902020071913102530183"</f>
        <v>21902020071913102530183</v>
      </c>
      <c r="C2808" s="8" t="s">
        <v>20</v>
      </c>
      <c r="D2808" s="8" t="str">
        <f>"吴东曼"</f>
        <v>吴东曼</v>
      </c>
      <c r="E2808" s="8" t="str">
        <f t="shared" si="344"/>
        <v>女</v>
      </c>
    </row>
    <row r="2809" spans="1:5" s="3" customFormat="1" ht="19.5" customHeight="1">
      <c r="A2809" s="8">
        <v>2807</v>
      </c>
      <c r="B2809" s="8" t="str">
        <f>"21902020071914382730213"</f>
        <v>21902020071914382730213</v>
      </c>
      <c r="C2809" s="8" t="s">
        <v>20</v>
      </c>
      <c r="D2809" s="8" t="str">
        <f>"李筱爱"</f>
        <v>李筱爱</v>
      </c>
      <c r="E2809" s="8" t="str">
        <f t="shared" si="344"/>
        <v>女</v>
      </c>
    </row>
    <row r="2810" spans="1:5" s="3" customFormat="1" ht="19.5" customHeight="1">
      <c r="A2810" s="8">
        <v>2808</v>
      </c>
      <c r="B2810" s="8" t="str">
        <f>"21902020071916540130266"</f>
        <v>21902020071916540130266</v>
      </c>
      <c r="C2810" s="8" t="s">
        <v>20</v>
      </c>
      <c r="D2810" s="8" t="str">
        <f>"陈春妲"</f>
        <v>陈春妲</v>
      </c>
      <c r="E2810" s="8" t="str">
        <f t="shared" si="344"/>
        <v>女</v>
      </c>
    </row>
    <row r="2811" spans="1:5" s="3" customFormat="1" ht="19.5" customHeight="1">
      <c r="A2811" s="8">
        <v>2809</v>
      </c>
      <c r="B2811" s="8" t="str">
        <f>"21902020071922501130381"</f>
        <v>21902020071922501130381</v>
      </c>
      <c r="C2811" s="8" t="s">
        <v>20</v>
      </c>
      <c r="D2811" s="8" t="str">
        <f>"李桃红"</f>
        <v>李桃红</v>
      </c>
      <c r="E2811" s="8" t="str">
        <f t="shared" si="344"/>
        <v>女</v>
      </c>
    </row>
    <row r="2812" spans="1:5" s="3" customFormat="1" ht="19.5" customHeight="1">
      <c r="A2812" s="8">
        <v>2810</v>
      </c>
      <c r="B2812" s="8" t="str">
        <f>"21902020072008321830440"</f>
        <v>21902020072008321830440</v>
      </c>
      <c r="C2812" s="8" t="s">
        <v>20</v>
      </c>
      <c r="D2812" s="8" t="str">
        <f>"高位超"</f>
        <v>高位超</v>
      </c>
      <c r="E2812" s="8" t="str">
        <f aca="true" t="shared" si="345" ref="E2812:E2816">"男"</f>
        <v>男</v>
      </c>
    </row>
    <row r="2813" spans="1:5" s="3" customFormat="1" ht="19.5" customHeight="1">
      <c r="A2813" s="8">
        <v>2811</v>
      </c>
      <c r="B2813" s="8" t="str">
        <f>"21902020072010302230528"</f>
        <v>21902020072010302230528</v>
      </c>
      <c r="C2813" s="8" t="s">
        <v>20</v>
      </c>
      <c r="D2813" s="8" t="str">
        <f>"陈世华"</f>
        <v>陈世华</v>
      </c>
      <c r="E2813" s="8" t="str">
        <f t="shared" si="345"/>
        <v>男</v>
      </c>
    </row>
    <row r="2814" spans="1:5" s="3" customFormat="1" ht="19.5" customHeight="1">
      <c r="A2814" s="8">
        <v>2812</v>
      </c>
      <c r="B2814" s="8" t="str">
        <f>"21902020072011154630564"</f>
        <v>21902020072011154630564</v>
      </c>
      <c r="C2814" s="8" t="s">
        <v>20</v>
      </c>
      <c r="D2814" s="8" t="str">
        <f>"王小晶"</f>
        <v>王小晶</v>
      </c>
      <c r="E2814" s="8" t="str">
        <f aca="true" t="shared" si="346" ref="E2814:E2817">"女"</f>
        <v>女</v>
      </c>
    </row>
    <row r="2815" spans="1:5" s="3" customFormat="1" ht="19.5" customHeight="1">
      <c r="A2815" s="8">
        <v>2813</v>
      </c>
      <c r="B2815" s="8" t="str">
        <f>"21902020072012061230599"</f>
        <v>21902020072012061230599</v>
      </c>
      <c r="C2815" s="8" t="s">
        <v>20</v>
      </c>
      <c r="D2815" s="8" t="str">
        <f>"李丽芳"</f>
        <v>李丽芳</v>
      </c>
      <c r="E2815" s="8" t="str">
        <f t="shared" si="346"/>
        <v>女</v>
      </c>
    </row>
    <row r="2816" spans="1:5" s="3" customFormat="1" ht="19.5" customHeight="1">
      <c r="A2816" s="8">
        <v>2814</v>
      </c>
      <c r="B2816" s="8" t="str">
        <f>"21902020072012511430629"</f>
        <v>21902020072012511430629</v>
      </c>
      <c r="C2816" s="8" t="s">
        <v>20</v>
      </c>
      <c r="D2816" s="8" t="str">
        <f>"符用志"</f>
        <v>符用志</v>
      </c>
      <c r="E2816" s="8" t="str">
        <f t="shared" si="345"/>
        <v>男</v>
      </c>
    </row>
    <row r="2817" spans="1:5" s="3" customFormat="1" ht="19.5" customHeight="1">
      <c r="A2817" s="8">
        <v>2815</v>
      </c>
      <c r="B2817" s="8" t="str">
        <f>"21902020072013552630669"</f>
        <v>21902020072013552630669</v>
      </c>
      <c r="C2817" s="8" t="s">
        <v>20</v>
      </c>
      <c r="D2817" s="8" t="str">
        <f>"许可"</f>
        <v>许可</v>
      </c>
      <c r="E2817" s="8" t="str">
        <f t="shared" si="346"/>
        <v>女</v>
      </c>
    </row>
    <row r="2818" spans="1:5" s="3" customFormat="1" ht="19.5" customHeight="1">
      <c r="A2818" s="8">
        <v>2816</v>
      </c>
      <c r="B2818" s="8" t="str">
        <f>"21902020072014302430685"</f>
        <v>21902020072014302430685</v>
      </c>
      <c r="C2818" s="8" t="s">
        <v>20</v>
      </c>
      <c r="D2818" s="8" t="str">
        <f>"何其立"</f>
        <v>何其立</v>
      </c>
      <c r="E2818" s="8" t="str">
        <f aca="true" t="shared" si="347" ref="E2818:E2827">"男"</f>
        <v>男</v>
      </c>
    </row>
    <row r="2819" spans="1:5" s="3" customFormat="1" ht="19.5" customHeight="1">
      <c r="A2819" s="8">
        <v>2817</v>
      </c>
      <c r="B2819" s="8" t="str">
        <f>"21902020071409252826096"</f>
        <v>21902020071409252826096</v>
      </c>
      <c r="C2819" s="8" t="s">
        <v>21</v>
      </c>
      <c r="D2819" s="8" t="str">
        <f>"罗永寿"</f>
        <v>罗永寿</v>
      </c>
      <c r="E2819" s="8" t="str">
        <f t="shared" si="347"/>
        <v>男</v>
      </c>
    </row>
    <row r="2820" spans="1:5" s="3" customFormat="1" ht="19.5" customHeight="1">
      <c r="A2820" s="8">
        <v>2818</v>
      </c>
      <c r="B2820" s="8" t="str">
        <f>"21902020071409265226104"</f>
        <v>21902020071409265226104</v>
      </c>
      <c r="C2820" s="8" t="s">
        <v>21</v>
      </c>
      <c r="D2820" s="8" t="str">
        <f>"陈月宇"</f>
        <v>陈月宇</v>
      </c>
      <c r="E2820" s="8" t="str">
        <f>"女"</f>
        <v>女</v>
      </c>
    </row>
    <row r="2821" spans="1:5" s="3" customFormat="1" ht="19.5" customHeight="1">
      <c r="A2821" s="8">
        <v>2819</v>
      </c>
      <c r="B2821" s="8" t="str">
        <f>"21902020071410010826240"</f>
        <v>21902020071410010826240</v>
      </c>
      <c r="C2821" s="8" t="s">
        <v>21</v>
      </c>
      <c r="D2821" s="8" t="str">
        <f>"孙玲芝"</f>
        <v>孙玲芝</v>
      </c>
      <c r="E2821" s="8" t="str">
        <f>"女"</f>
        <v>女</v>
      </c>
    </row>
    <row r="2822" spans="1:5" s="3" customFormat="1" ht="19.5" customHeight="1">
      <c r="A2822" s="8">
        <v>2820</v>
      </c>
      <c r="B2822" s="8" t="str">
        <f>"21902020071411114626517"</f>
        <v>21902020071411114626517</v>
      </c>
      <c r="C2822" s="8" t="s">
        <v>21</v>
      </c>
      <c r="D2822" s="8" t="str">
        <f>"汤新图"</f>
        <v>汤新图</v>
      </c>
      <c r="E2822" s="8" t="str">
        <f t="shared" si="347"/>
        <v>男</v>
      </c>
    </row>
    <row r="2823" spans="1:5" s="3" customFormat="1" ht="19.5" customHeight="1">
      <c r="A2823" s="8">
        <v>2821</v>
      </c>
      <c r="B2823" s="8" t="str">
        <f>"21902020071411470826602"</f>
        <v>21902020071411470826602</v>
      </c>
      <c r="C2823" s="8" t="s">
        <v>21</v>
      </c>
      <c r="D2823" s="8" t="str">
        <f>"符喜调"</f>
        <v>符喜调</v>
      </c>
      <c r="E2823" s="8" t="str">
        <f t="shared" si="347"/>
        <v>男</v>
      </c>
    </row>
    <row r="2824" spans="1:5" s="3" customFormat="1" ht="19.5" customHeight="1">
      <c r="A2824" s="8">
        <v>2822</v>
      </c>
      <c r="B2824" s="8" t="str">
        <f>"21902020071414233726845"</f>
        <v>21902020071414233726845</v>
      </c>
      <c r="C2824" s="8" t="s">
        <v>21</v>
      </c>
      <c r="D2824" s="8" t="str">
        <f>"黎加橐"</f>
        <v>黎加橐</v>
      </c>
      <c r="E2824" s="8" t="str">
        <f t="shared" si="347"/>
        <v>男</v>
      </c>
    </row>
    <row r="2825" spans="1:5" s="3" customFormat="1" ht="19.5" customHeight="1">
      <c r="A2825" s="8">
        <v>2823</v>
      </c>
      <c r="B2825" s="8" t="str">
        <f>"21902020071414290826851"</f>
        <v>21902020071414290826851</v>
      </c>
      <c r="C2825" s="8" t="s">
        <v>21</v>
      </c>
      <c r="D2825" s="8" t="str">
        <f>"周先锋"</f>
        <v>周先锋</v>
      </c>
      <c r="E2825" s="8" t="str">
        <f t="shared" si="347"/>
        <v>男</v>
      </c>
    </row>
    <row r="2826" spans="1:5" s="3" customFormat="1" ht="19.5" customHeight="1">
      <c r="A2826" s="8">
        <v>2824</v>
      </c>
      <c r="B2826" s="8" t="str">
        <f>"21902020071415351726967"</f>
        <v>21902020071415351726967</v>
      </c>
      <c r="C2826" s="8" t="s">
        <v>21</v>
      </c>
      <c r="D2826" s="8" t="str">
        <f>"何灼明"</f>
        <v>何灼明</v>
      </c>
      <c r="E2826" s="8" t="str">
        <f t="shared" si="347"/>
        <v>男</v>
      </c>
    </row>
    <row r="2827" spans="1:5" s="3" customFormat="1" ht="19.5" customHeight="1">
      <c r="A2827" s="8">
        <v>2825</v>
      </c>
      <c r="B2827" s="8" t="str">
        <f>"21902020071415393526974"</f>
        <v>21902020071415393526974</v>
      </c>
      <c r="C2827" s="8" t="s">
        <v>21</v>
      </c>
      <c r="D2827" s="8" t="str">
        <f>"陈卓高"</f>
        <v>陈卓高</v>
      </c>
      <c r="E2827" s="8" t="str">
        <f t="shared" si="347"/>
        <v>男</v>
      </c>
    </row>
    <row r="2828" spans="1:5" s="3" customFormat="1" ht="19.5" customHeight="1">
      <c r="A2828" s="8">
        <v>2826</v>
      </c>
      <c r="B2828" s="8" t="str">
        <f>"21902020071417311527176"</f>
        <v>21902020071417311527176</v>
      </c>
      <c r="C2828" s="8" t="s">
        <v>21</v>
      </c>
      <c r="D2828" s="8" t="str">
        <f>"王金娜"</f>
        <v>王金娜</v>
      </c>
      <c r="E2828" s="8" t="str">
        <f aca="true" t="shared" si="348" ref="E2828:E2833">"女"</f>
        <v>女</v>
      </c>
    </row>
    <row r="2829" spans="1:5" s="3" customFormat="1" ht="19.5" customHeight="1">
      <c r="A2829" s="8">
        <v>2827</v>
      </c>
      <c r="B2829" s="8" t="str">
        <f>"21902020071417480527200"</f>
        <v>21902020071417480527200</v>
      </c>
      <c r="C2829" s="8" t="s">
        <v>21</v>
      </c>
      <c r="D2829" s="8" t="str">
        <f>"刘秀莲"</f>
        <v>刘秀莲</v>
      </c>
      <c r="E2829" s="8" t="str">
        <f t="shared" si="348"/>
        <v>女</v>
      </c>
    </row>
    <row r="2830" spans="1:5" s="3" customFormat="1" ht="19.5" customHeight="1">
      <c r="A2830" s="8">
        <v>2828</v>
      </c>
      <c r="B2830" s="8" t="str">
        <f>"21902020071422014227501"</f>
        <v>21902020071422014227501</v>
      </c>
      <c r="C2830" s="8" t="s">
        <v>21</v>
      </c>
      <c r="D2830" s="8" t="str">
        <f>"李文才"</f>
        <v>李文才</v>
      </c>
      <c r="E2830" s="8" t="str">
        <f aca="true" t="shared" si="349" ref="E2830:E2832">"男"</f>
        <v>男</v>
      </c>
    </row>
    <row r="2831" spans="1:5" s="3" customFormat="1" ht="19.5" customHeight="1">
      <c r="A2831" s="8">
        <v>2829</v>
      </c>
      <c r="B2831" s="8" t="str">
        <f>"21902020071422315627549"</f>
        <v>21902020071422315627549</v>
      </c>
      <c r="C2831" s="8" t="s">
        <v>21</v>
      </c>
      <c r="D2831" s="8" t="str">
        <f>"王井贤"</f>
        <v>王井贤</v>
      </c>
      <c r="E2831" s="8" t="str">
        <f t="shared" si="349"/>
        <v>男</v>
      </c>
    </row>
    <row r="2832" spans="1:5" s="3" customFormat="1" ht="19.5" customHeight="1">
      <c r="A2832" s="8">
        <v>2830</v>
      </c>
      <c r="B2832" s="8" t="str">
        <f>"21902020071509452327806"</f>
        <v>21902020071509452327806</v>
      </c>
      <c r="C2832" s="8" t="s">
        <v>21</v>
      </c>
      <c r="D2832" s="8" t="str">
        <f>"华坚"</f>
        <v>华坚</v>
      </c>
      <c r="E2832" s="8" t="str">
        <f t="shared" si="349"/>
        <v>男</v>
      </c>
    </row>
    <row r="2833" spans="1:5" s="3" customFormat="1" ht="19.5" customHeight="1">
      <c r="A2833" s="8">
        <v>2831</v>
      </c>
      <c r="B2833" s="8" t="str">
        <f>"21902020071509494227818"</f>
        <v>21902020071509494227818</v>
      </c>
      <c r="C2833" s="8" t="s">
        <v>21</v>
      </c>
      <c r="D2833" s="8" t="str">
        <f>"苻武香"</f>
        <v>苻武香</v>
      </c>
      <c r="E2833" s="8" t="str">
        <f t="shared" si="348"/>
        <v>女</v>
      </c>
    </row>
    <row r="2834" spans="1:5" s="3" customFormat="1" ht="19.5" customHeight="1">
      <c r="A2834" s="8">
        <v>2832</v>
      </c>
      <c r="B2834" s="8" t="str">
        <f>"21902020071510094027837"</f>
        <v>21902020071510094027837</v>
      </c>
      <c r="C2834" s="8" t="s">
        <v>21</v>
      </c>
      <c r="D2834" s="8" t="str">
        <f>"林超斌"</f>
        <v>林超斌</v>
      </c>
      <c r="E2834" s="8" t="str">
        <f aca="true" t="shared" si="350" ref="E2834:E2840">"男"</f>
        <v>男</v>
      </c>
    </row>
    <row r="2835" spans="1:5" s="3" customFormat="1" ht="19.5" customHeight="1">
      <c r="A2835" s="8">
        <v>2833</v>
      </c>
      <c r="B2835" s="8" t="str">
        <f>"21902020071510512727907"</f>
        <v>21902020071510512727907</v>
      </c>
      <c r="C2835" s="8" t="s">
        <v>21</v>
      </c>
      <c r="D2835" s="8" t="str">
        <f>"吴益菲"</f>
        <v>吴益菲</v>
      </c>
      <c r="E2835" s="8" t="str">
        <f>"女"</f>
        <v>女</v>
      </c>
    </row>
    <row r="2836" spans="1:5" s="3" customFormat="1" ht="19.5" customHeight="1">
      <c r="A2836" s="8">
        <v>2834</v>
      </c>
      <c r="B2836" s="8" t="str">
        <f>"21902020071511563428004"</f>
        <v>21902020071511563428004</v>
      </c>
      <c r="C2836" s="8" t="s">
        <v>21</v>
      </c>
      <c r="D2836" s="8" t="str">
        <f>"陈国强"</f>
        <v>陈国强</v>
      </c>
      <c r="E2836" s="8" t="str">
        <f t="shared" si="350"/>
        <v>男</v>
      </c>
    </row>
    <row r="2837" spans="1:5" s="3" customFormat="1" ht="19.5" customHeight="1">
      <c r="A2837" s="8">
        <v>2835</v>
      </c>
      <c r="B2837" s="8" t="str">
        <f>"21902020071515312728180"</f>
        <v>21902020071515312728180</v>
      </c>
      <c r="C2837" s="8" t="s">
        <v>21</v>
      </c>
      <c r="D2837" s="8" t="str">
        <f>"符金赞"</f>
        <v>符金赞</v>
      </c>
      <c r="E2837" s="8" t="str">
        <f t="shared" si="350"/>
        <v>男</v>
      </c>
    </row>
    <row r="2838" spans="1:5" s="3" customFormat="1" ht="19.5" customHeight="1">
      <c r="A2838" s="8">
        <v>2836</v>
      </c>
      <c r="B2838" s="8" t="str">
        <f>"21902020071516460028279"</f>
        <v>21902020071516460028279</v>
      </c>
      <c r="C2838" s="8" t="s">
        <v>21</v>
      </c>
      <c r="D2838" s="8" t="str">
        <f>"谢贤仕"</f>
        <v>谢贤仕</v>
      </c>
      <c r="E2838" s="8" t="str">
        <f t="shared" si="350"/>
        <v>男</v>
      </c>
    </row>
    <row r="2839" spans="1:5" s="3" customFormat="1" ht="19.5" customHeight="1">
      <c r="A2839" s="8">
        <v>2837</v>
      </c>
      <c r="B2839" s="8" t="str">
        <f>"21902020071518454428387"</f>
        <v>21902020071518454428387</v>
      </c>
      <c r="C2839" s="8" t="s">
        <v>21</v>
      </c>
      <c r="D2839" s="8" t="str">
        <f>"符超全"</f>
        <v>符超全</v>
      </c>
      <c r="E2839" s="8" t="str">
        <f t="shared" si="350"/>
        <v>男</v>
      </c>
    </row>
    <row r="2840" spans="1:5" s="3" customFormat="1" ht="19.5" customHeight="1">
      <c r="A2840" s="8">
        <v>2838</v>
      </c>
      <c r="B2840" s="8" t="str">
        <f>"21902020071609421528742"</f>
        <v>21902020071609421528742</v>
      </c>
      <c r="C2840" s="8" t="s">
        <v>21</v>
      </c>
      <c r="D2840" s="8" t="str">
        <f>"黄有恒"</f>
        <v>黄有恒</v>
      </c>
      <c r="E2840" s="8" t="str">
        <f t="shared" si="350"/>
        <v>男</v>
      </c>
    </row>
    <row r="2841" spans="1:5" s="3" customFormat="1" ht="19.5" customHeight="1">
      <c r="A2841" s="8">
        <v>2839</v>
      </c>
      <c r="B2841" s="8" t="str">
        <f>"21902020071615190628990"</f>
        <v>21902020071615190628990</v>
      </c>
      <c r="C2841" s="8" t="s">
        <v>21</v>
      </c>
      <c r="D2841" s="8" t="str">
        <f>"黄瑞才"</f>
        <v>黄瑞才</v>
      </c>
      <c r="E2841" s="8" t="str">
        <f>"女"</f>
        <v>女</v>
      </c>
    </row>
    <row r="2842" spans="1:5" s="3" customFormat="1" ht="19.5" customHeight="1">
      <c r="A2842" s="8">
        <v>2840</v>
      </c>
      <c r="B2842" s="8" t="str">
        <f>"21902020071714163829544"</f>
        <v>21902020071714163829544</v>
      </c>
      <c r="C2842" s="8" t="s">
        <v>21</v>
      </c>
      <c r="D2842" s="8" t="str">
        <f>"陈春丽"</f>
        <v>陈春丽</v>
      </c>
      <c r="E2842" s="8" t="str">
        <f>"女"</f>
        <v>女</v>
      </c>
    </row>
    <row r="2843" spans="1:5" s="3" customFormat="1" ht="19.5" customHeight="1">
      <c r="A2843" s="8">
        <v>2841</v>
      </c>
      <c r="B2843" s="8" t="str">
        <f>"21902020071715010429572"</f>
        <v>21902020071715010429572</v>
      </c>
      <c r="C2843" s="8" t="s">
        <v>21</v>
      </c>
      <c r="D2843" s="8" t="str">
        <f>"李裕华"</f>
        <v>李裕华</v>
      </c>
      <c r="E2843" s="8" t="str">
        <f aca="true" t="shared" si="351" ref="E2843:E2846">"男"</f>
        <v>男</v>
      </c>
    </row>
    <row r="2844" spans="1:5" s="3" customFormat="1" ht="19.5" customHeight="1">
      <c r="A2844" s="8">
        <v>2842</v>
      </c>
      <c r="B2844" s="8" t="str">
        <f>"21902020071813362629914"</f>
        <v>21902020071813362629914</v>
      </c>
      <c r="C2844" s="8" t="s">
        <v>21</v>
      </c>
      <c r="D2844" s="8" t="str">
        <f>"徐中绵"</f>
        <v>徐中绵</v>
      </c>
      <c r="E2844" s="8" t="str">
        <f t="shared" si="351"/>
        <v>男</v>
      </c>
    </row>
    <row r="2845" spans="1:5" s="3" customFormat="1" ht="19.5" customHeight="1">
      <c r="A2845" s="8">
        <v>2843</v>
      </c>
      <c r="B2845" s="8" t="str">
        <f>"21902020071901451830087"</f>
        <v>21902020071901451830087</v>
      </c>
      <c r="C2845" s="8" t="s">
        <v>21</v>
      </c>
      <c r="D2845" s="8" t="str">
        <f>"羊杰肖"</f>
        <v>羊杰肖</v>
      </c>
      <c r="E2845" s="8" t="str">
        <f t="shared" si="351"/>
        <v>男</v>
      </c>
    </row>
    <row r="2846" spans="1:5" s="3" customFormat="1" ht="19.5" customHeight="1">
      <c r="A2846" s="8">
        <v>2844</v>
      </c>
      <c r="B2846" s="8" t="str">
        <f>"21902020071912465230171"</f>
        <v>21902020071912465230171</v>
      </c>
      <c r="C2846" s="8" t="s">
        <v>21</v>
      </c>
      <c r="D2846" s="8" t="str">
        <f>"吴成浩"</f>
        <v>吴成浩</v>
      </c>
      <c r="E2846" s="8" t="str">
        <f t="shared" si="351"/>
        <v>男</v>
      </c>
    </row>
    <row r="2847" spans="1:5" s="3" customFormat="1" ht="19.5" customHeight="1">
      <c r="A2847" s="8">
        <v>2845</v>
      </c>
      <c r="B2847" s="8" t="str">
        <f>"21902020072012270430609"</f>
        <v>21902020072012270430609</v>
      </c>
      <c r="C2847" s="8" t="s">
        <v>21</v>
      </c>
      <c r="D2847" s="8" t="str">
        <f>"羊志香"</f>
        <v>羊志香</v>
      </c>
      <c r="E2847" s="8" t="str">
        <f>"女"</f>
        <v>女</v>
      </c>
    </row>
    <row r="2848" spans="1:5" s="3" customFormat="1" ht="19.5" customHeight="1">
      <c r="A2848" s="8">
        <v>2846</v>
      </c>
      <c r="B2848" s="8" t="str">
        <f>"21902020071409013625936"</f>
        <v>21902020071409013625936</v>
      </c>
      <c r="C2848" s="8" t="s">
        <v>22</v>
      </c>
      <c r="D2848" s="8" t="str">
        <f>"吴妹"</f>
        <v>吴妹</v>
      </c>
      <c r="E2848" s="8" t="str">
        <f>"女"</f>
        <v>女</v>
      </c>
    </row>
    <row r="2849" spans="1:5" s="3" customFormat="1" ht="19.5" customHeight="1">
      <c r="A2849" s="8">
        <v>2847</v>
      </c>
      <c r="B2849" s="8" t="str">
        <f>"21902020071409060025969"</f>
        <v>21902020071409060025969</v>
      </c>
      <c r="C2849" s="8" t="s">
        <v>22</v>
      </c>
      <c r="D2849" s="8" t="str">
        <f>"陆发扬"</f>
        <v>陆发扬</v>
      </c>
      <c r="E2849" s="8" t="str">
        <f aca="true" t="shared" si="352" ref="E2849:E2855">"男"</f>
        <v>男</v>
      </c>
    </row>
    <row r="2850" spans="1:5" s="3" customFormat="1" ht="19.5" customHeight="1">
      <c r="A2850" s="8">
        <v>2848</v>
      </c>
      <c r="B2850" s="8" t="str">
        <f>"21902020071409083925993"</f>
        <v>21902020071409083925993</v>
      </c>
      <c r="C2850" s="8" t="s">
        <v>22</v>
      </c>
      <c r="D2850" s="8" t="str">
        <f>"吴承觉"</f>
        <v>吴承觉</v>
      </c>
      <c r="E2850" s="8" t="str">
        <f t="shared" si="352"/>
        <v>男</v>
      </c>
    </row>
    <row r="2851" spans="1:5" s="3" customFormat="1" ht="19.5" customHeight="1">
      <c r="A2851" s="8">
        <v>2849</v>
      </c>
      <c r="B2851" s="8" t="str">
        <f>"21902020071409104726006"</f>
        <v>21902020071409104726006</v>
      </c>
      <c r="C2851" s="8" t="s">
        <v>22</v>
      </c>
      <c r="D2851" s="8" t="str">
        <f>"甘江瑶"</f>
        <v>甘江瑶</v>
      </c>
      <c r="E2851" s="8" t="str">
        <f t="shared" si="352"/>
        <v>男</v>
      </c>
    </row>
    <row r="2852" spans="1:5" s="3" customFormat="1" ht="19.5" customHeight="1">
      <c r="A2852" s="8">
        <v>2850</v>
      </c>
      <c r="B2852" s="8" t="str">
        <f>"21902020071409105126008"</f>
        <v>21902020071409105126008</v>
      </c>
      <c r="C2852" s="8" t="s">
        <v>22</v>
      </c>
      <c r="D2852" s="8" t="str">
        <f>"林晶"</f>
        <v>林晶</v>
      </c>
      <c r="E2852" s="8" t="str">
        <f t="shared" si="352"/>
        <v>男</v>
      </c>
    </row>
    <row r="2853" spans="1:5" s="3" customFormat="1" ht="19.5" customHeight="1">
      <c r="A2853" s="8">
        <v>2851</v>
      </c>
      <c r="B2853" s="8" t="str">
        <f>"21902020071409183726057"</f>
        <v>21902020071409183726057</v>
      </c>
      <c r="C2853" s="8" t="s">
        <v>22</v>
      </c>
      <c r="D2853" s="8" t="str">
        <f>"高德"</f>
        <v>高德</v>
      </c>
      <c r="E2853" s="8" t="str">
        <f t="shared" si="352"/>
        <v>男</v>
      </c>
    </row>
    <row r="2854" spans="1:5" s="3" customFormat="1" ht="19.5" customHeight="1">
      <c r="A2854" s="8">
        <v>2852</v>
      </c>
      <c r="B2854" s="8" t="str">
        <f>"21902020071409212226075"</f>
        <v>21902020071409212226075</v>
      </c>
      <c r="C2854" s="8" t="s">
        <v>22</v>
      </c>
      <c r="D2854" s="8" t="str">
        <f>"魏承振"</f>
        <v>魏承振</v>
      </c>
      <c r="E2854" s="8" t="str">
        <f t="shared" si="352"/>
        <v>男</v>
      </c>
    </row>
    <row r="2855" spans="1:5" s="3" customFormat="1" ht="19.5" customHeight="1">
      <c r="A2855" s="8">
        <v>2853</v>
      </c>
      <c r="B2855" s="8" t="str">
        <f>"21902020071409305526115"</f>
        <v>21902020071409305526115</v>
      </c>
      <c r="C2855" s="8" t="s">
        <v>22</v>
      </c>
      <c r="D2855" s="8" t="str">
        <f>"谢健伟"</f>
        <v>谢健伟</v>
      </c>
      <c r="E2855" s="8" t="str">
        <f t="shared" si="352"/>
        <v>男</v>
      </c>
    </row>
    <row r="2856" spans="1:5" s="3" customFormat="1" ht="19.5" customHeight="1">
      <c r="A2856" s="8">
        <v>2854</v>
      </c>
      <c r="B2856" s="8" t="str">
        <f>"21902020071409372826151"</f>
        <v>21902020071409372826151</v>
      </c>
      <c r="C2856" s="8" t="s">
        <v>22</v>
      </c>
      <c r="D2856" s="8" t="str">
        <f>"林仁玲"</f>
        <v>林仁玲</v>
      </c>
      <c r="E2856" s="8" t="str">
        <f aca="true" t="shared" si="353" ref="E2856:E2858">"女"</f>
        <v>女</v>
      </c>
    </row>
    <row r="2857" spans="1:5" s="3" customFormat="1" ht="19.5" customHeight="1">
      <c r="A2857" s="8">
        <v>2855</v>
      </c>
      <c r="B2857" s="8" t="str">
        <f>"21902020071409414326166"</f>
        <v>21902020071409414326166</v>
      </c>
      <c r="C2857" s="8" t="s">
        <v>22</v>
      </c>
      <c r="D2857" s="8" t="str">
        <f>"钟丽桃"</f>
        <v>钟丽桃</v>
      </c>
      <c r="E2857" s="8" t="str">
        <f t="shared" si="353"/>
        <v>女</v>
      </c>
    </row>
    <row r="2858" spans="1:5" s="3" customFormat="1" ht="19.5" customHeight="1">
      <c r="A2858" s="8">
        <v>2856</v>
      </c>
      <c r="B2858" s="8" t="str">
        <f>"21902020071409461226182"</f>
        <v>21902020071409461226182</v>
      </c>
      <c r="C2858" s="8" t="s">
        <v>22</v>
      </c>
      <c r="D2858" s="8" t="str">
        <f>"谢冬月"</f>
        <v>谢冬月</v>
      </c>
      <c r="E2858" s="8" t="str">
        <f t="shared" si="353"/>
        <v>女</v>
      </c>
    </row>
    <row r="2859" spans="1:5" s="3" customFormat="1" ht="19.5" customHeight="1">
      <c r="A2859" s="8">
        <v>2857</v>
      </c>
      <c r="B2859" s="8" t="str">
        <f>"21902020071409491326192"</f>
        <v>21902020071409491326192</v>
      </c>
      <c r="C2859" s="8" t="s">
        <v>22</v>
      </c>
      <c r="D2859" s="8" t="str">
        <f>"陈开恒"</f>
        <v>陈开恒</v>
      </c>
      <c r="E2859" s="8" t="str">
        <f aca="true" t="shared" si="354" ref="E2859:E2861">"男"</f>
        <v>男</v>
      </c>
    </row>
    <row r="2860" spans="1:5" s="3" customFormat="1" ht="19.5" customHeight="1">
      <c r="A2860" s="8">
        <v>2858</v>
      </c>
      <c r="B2860" s="8" t="str">
        <f>"21902020071409504126201"</f>
        <v>21902020071409504126201</v>
      </c>
      <c r="C2860" s="8" t="s">
        <v>22</v>
      </c>
      <c r="D2860" s="8" t="str">
        <f>"曾文博"</f>
        <v>曾文博</v>
      </c>
      <c r="E2860" s="8" t="str">
        <f t="shared" si="354"/>
        <v>男</v>
      </c>
    </row>
    <row r="2861" spans="1:5" s="3" customFormat="1" ht="19.5" customHeight="1">
      <c r="A2861" s="8">
        <v>2859</v>
      </c>
      <c r="B2861" s="8" t="str">
        <f>"21902020071409521926208"</f>
        <v>21902020071409521926208</v>
      </c>
      <c r="C2861" s="8" t="s">
        <v>22</v>
      </c>
      <c r="D2861" s="8" t="str">
        <f>"郑武秀"</f>
        <v>郑武秀</v>
      </c>
      <c r="E2861" s="8" t="str">
        <f t="shared" si="354"/>
        <v>男</v>
      </c>
    </row>
    <row r="2862" spans="1:5" s="3" customFormat="1" ht="19.5" customHeight="1">
      <c r="A2862" s="8">
        <v>2860</v>
      </c>
      <c r="B2862" s="8" t="str">
        <f>"21902020071409531526214"</f>
        <v>21902020071409531526214</v>
      </c>
      <c r="C2862" s="8" t="s">
        <v>22</v>
      </c>
      <c r="D2862" s="8" t="str">
        <f>"李诗川"</f>
        <v>李诗川</v>
      </c>
      <c r="E2862" s="8" t="str">
        <f aca="true" t="shared" si="355" ref="E2862:E2864">"女"</f>
        <v>女</v>
      </c>
    </row>
    <row r="2863" spans="1:5" s="3" customFormat="1" ht="19.5" customHeight="1">
      <c r="A2863" s="8">
        <v>2861</v>
      </c>
      <c r="B2863" s="8" t="str">
        <f>"21902020071410104026293"</f>
        <v>21902020071410104026293</v>
      </c>
      <c r="C2863" s="8" t="s">
        <v>22</v>
      </c>
      <c r="D2863" s="8" t="str">
        <f>"许燕"</f>
        <v>许燕</v>
      </c>
      <c r="E2863" s="8" t="str">
        <f t="shared" si="355"/>
        <v>女</v>
      </c>
    </row>
    <row r="2864" spans="1:5" s="3" customFormat="1" ht="19.5" customHeight="1">
      <c r="A2864" s="8">
        <v>2862</v>
      </c>
      <c r="B2864" s="8" t="str">
        <f>"21902020071410120726300"</f>
        <v>21902020071410120726300</v>
      </c>
      <c r="C2864" s="8" t="s">
        <v>22</v>
      </c>
      <c r="D2864" s="8" t="str">
        <f>"郭红杏"</f>
        <v>郭红杏</v>
      </c>
      <c r="E2864" s="8" t="str">
        <f t="shared" si="355"/>
        <v>女</v>
      </c>
    </row>
    <row r="2865" spans="1:5" s="3" customFormat="1" ht="19.5" customHeight="1">
      <c r="A2865" s="8">
        <v>2863</v>
      </c>
      <c r="B2865" s="8" t="str">
        <f>"21902020071410174326326"</f>
        <v>21902020071410174326326</v>
      </c>
      <c r="C2865" s="8" t="s">
        <v>22</v>
      </c>
      <c r="D2865" s="8" t="str">
        <f>"吴彪"</f>
        <v>吴彪</v>
      </c>
      <c r="E2865" s="8" t="str">
        <f aca="true" t="shared" si="356" ref="E2865:E2870">"男"</f>
        <v>男</v>
      </c>
    </row>
    <row r="2866" spans="1:5" s="3" customFormat="1" ht="19.5" customHeight="1">
      <c r="A2866" s="8">
        <v>2864</v>
      </c>
      <c r="B2866" s="8" t="str">
        <f>"21902020071410183626328"</f>
        <v>21902020071410183626328</v>
      </c>
      <c r="C2866" s="8" t="s">
        <v>22</v>
      </c>
      <c r="D2866" s="8" t="str">
        <f>"林万森"</f>
        <v>林万森</v>
      </c>
      <c r="E2866" s="8" t="str">
        <f t="shared" si="356"/>
        <v>男</v>
      </c>
    </row>
    <row r="2867" spans="1:5" s="3" customFormat="1" ht="19.5" customHeight="1">
      <c r="A2867" s="8">
        <v>2865</v>
      </c>
      <c r="B2867" s="8" t="str">
        <f>"21902020071410225126344"</f>
        <v>21902020071410225126344</v>
      </c>
      <c r="C2867" s="8" t="s">
        <v>22</v>
      </c>
      <c r="D2867" s="8" t="str">
        <f>"邢诒美"</f>
        <v>邢诒美</v>
      </c>
      <c r="E2867" s="8" t="str">
        <f aca="true" t="shared" si="357" ref="E2867:E2872">"女"</f>
        <v>女</v>
      </c>
    </row>
    <row r="2868" spans="1:5" s="3" customFormat="1" ht="19.5" customHeight="1">
      <c r="A2868" s="8">
        <v>2866</v>
      </c>
      <c r="B2868" s="8" t="str">
        <f>"21902020071410332226383"</f>
        <v>21902020071410332226383</v>
      </c>
      <c r="C2868" s="8" t="s">
        <v>22</v>
      </c>
      <c r="D2868" s="8" t="str">
        <f>"黎兴"</f>
        <v>黎兴</v>
      </c>
      <c r="E2868" s="8" t="str">
        <f t="shared" si="356"/>
        <v>男</v>
      </c>
    </row>
    <row r="2869" spans="1:5" s="3" customFormat="1" ht="19.5" customHeight="1">
      <c r="A2869" s="8">
        <v>2867</v>
      </c>
      <c r="B2869" s="8" t="str">
        <f>"21902020071410375126399"</f>
        <v>21902020071410375126399</v>
      </c>
      <c r="C2869" s="8" t="s">
        <v>22</v>
      </c>
      <c r="D2869" s="8" t="str">
        <f>"吴碧江"</f>
        <v>吴碧江</v>
      </c>
      <c r="E2869" s="8" t="str">
        <f t="shared" si="356"/>
        <v>男</v>
      </c>
    </row>
    <row r="2870" spans="1:5" s="3" customFormat="1" ht="19.5" customHeight="1">
      <c r="A2870" s="8">
        <v>2868</v>
      </c>
      <c r="B2870" s="8" t="str">
        <f>"21902020071410381826403"</f>
        <v>21902020071410381826403</v>
      </c>
      <c r="C2870" s="8" t="s">
        <v>22</v>
      </c>
      <c r="D2870" s="8" t="str">
        <f>"陈龙"</f>
        <v>陈龙</v>
      </c>
      <c r="E2870" s="8" t="str">
        <f t="shared" si="356"/>
        <v>男</v>
      </c>
    </row>
    <row r="2871" spans="1:5" s="3" customFormat="1" ht="19.5" customHeight="1">
      <c r="A2871" s="8">
        <v>2869</v>
      </c>
      <c r="B2871" s="8" t="str">
        <f>"21902020071411043126485"</f>
        <v>21902020071411043126485</v>
      </c>
      <c r="C2871" s="8" t="s">
        <v>22</v>
      </c>
      <c r="D2871" s="8" t="str">
        <f>"吴玉燕"</f>
        <v>吴玉燕</v>
      </c>
      <c r="E2871" s="8" t="str">
        <f t="shared" si="357"/>
        <v>女</v>
      </c>
    </row>
    <row r="2872" spans="1:5" s="3" customFormat="1" ht="19.5" customHeight="1">
      <c r="A2872" s="8">
        <v>2870</v>
      </c>
      <c r="B2872" s="8" t="str">
        <f>"21902020071411051126487"</f>
        <v>21902020071411051126487</v>
      </c>
      <c r="C2872" s="8" t="s">
        <v>22</v>
      </c>
      <c r="D2872" s="8" t="str">
        <f>"郑学玲"</f>
        <v>郑学玲</v>
      </c>
      <c r="E2872" s="8" t="str">
        <f t="shared" si="357"/>
        <v>女</v>
      </c>
    </row>
    <row r="2873" spans="1:5" s="3" customFormat="1" ht="19.5" customHeight="1">
      <c r="A2873" s="8">
        <v>2871</v>
      </c>
      <c r="B2873" s="8" t="str">
        <f>"21902020071411053526489"</f>
        <v>21902020071411053526489</v>
      </c>
      <c r="C2873" s="8" t="s">
        <v>22</v>
      </c>
      <c r="D2873" s="8" t="str">
        <f>"羊卓武"</f>
        <v>羊卓武</v>
      </c>
      <c r="E2873" s="8" t="str">
        <f aca="true" t="shared" si="358" ref="E2873:E2880">"男"</f>
        <v>男</v>
      </c>
    </row>
    <row r="2874" spans="1:5" s="3" customFormat="1" ht="19.5" customHeight="1">
      <c r="A2874" s="8">
        <v>2872</v>
      </c>
      <c r="B2874" s="8" t="str">
        <f>"21902020071411111026512"</f>
        <v>21902020071411111026512</v>
      </c>
      <c r="C2874" s="8" t="s">
        <v>22</v>
      </c>
      <c r="D2874" s="8" t="str">
        <f>"李全智"</f>
        <v>李全智</v>
      </c>
      <c r="E2874" s="8" t="str">
        <f t="shared" si="358"/>
        <v>男</v>
      </c>
    </row>
    <row r="2875" spans="1:5" s="3" customFormat="1" ht="19.5" customHeight="1">
      <c r="A2875" s="8">
        <v>2873</v>
      </c>
      <c r="B2875" s="8" t="str">
        <f>"21902020071411233426551"</f>
        <v>21902020071411233426551</v>
      </c>
      <c r="C2875" s="8" t="s">
        <v>22</v>
      </c>
      <c r="D2875" s="8" t="str">
        <f>"羊德玲"</f>
        <v>羊德玲</v>
      </c>
      <c r="E2875" s="8" t="str">
        <f>"女"</f>
        <v>女</v>
      </c>
    </row>
    <row r="2876" spans="1:5" s="3" customFormat="1" ht="19.5" customHeight="1">
      <c r="A2876" s="8">
        <v>2874</v>
      </c>
      <c r="B2876" s="8" t="str">
        <f>"21902020071413020426737"</f>
        <v>21902020071413020426737</v>
      </c>
      <c r="C2876" s="8" t="s">
        <v>22</v>
      </c>
      <c r="D2876" s="8" t="str">
        <f>"羊卓任"</f>
        <v>羊卓任</v>
      </c>
      <c r="E2876" s="8" t="str">
        <f t="shared" si="358"/>
        <v>男</v>
      </c>
    </row>
    <row r="2877" spans="1:5" s="3" customFormat="1" ht="19.5" customHeight="1">
      <c r="A2877" s="8">
        <v>2875</v>
      </c>
      <c r="B2877" s="8" t="str">
        <f>"21902020071413111226750"</f>
        <v>21902020071413111226750</v>
      </c>
      <c r="C2877" s="8" t="s">
        <v>22</v>
      </c>
      <c r="D2877" s="8" t="str">
        <f>"赵赞昌"</f>
        <v>赵赞昌</v>
      </c>
      <c r="E2877" s="8" t="str">
        <f t="shared" si="358"/>
        <v>男</v>
      </c>
    </row>
    <row r="2878" spans="1:5" s="3" customFormat="1" ht="19.5" customHeight="1">
      <c r="A2878" s="8">
        <v>2876</v>
      </c>
      <c r="B2878" s="8" t="str">
        <f>"21902020071413325726784"</f>
        <v>21902020071413325726784</v>
      </c>
      <c r="C2878" s="8" t="s">
        <v>22</v>
      </c>
      <c r="D2878" s="8" t="str">
        <f>"谢世杰"</f>
        <v>谢世杰</v>
      </c>
      <c r="E2878" s="8" t="str">
        <f t="shared" si="358"/>
        <v>男</v>
      </c>
    </row>
    <row r="2879" spans="1:5" s="3" customFormat="1" ht="19.5" customHeight="1">
      <c r="A2879" s="8">
        <v>2877</v>
      </c>
      <c r="B2879" s="8" t="str">
        <f>"21902020071414271626848"</f>
        <v>21902020071414271626848</v>
      </c>
      <c r="C2879" s="8" t="s">
        <v>22</v>
      </c>
      <c r="D2879" s="8" t="str">
        <f>"吴有信"</f>
        <v>吴有信</v>
      </c>
      <c r="E2879" s="8" t="str">
        <f t="shared" si="358"/>
        <v>男</v>
      </c>
    </row>
    <row r="2880" spans="1:5" s="3" customFormat="1" ht="19.5" customHeight="1">
      <c r="A2880" s="8">
        <v>2878</v>
      </c>
      <c r="B2880" s="8" t="str">
        <f>"21902020071414294626852"</f>
        <v>21902020071414294626852</v>
      </c>
      <c r="C2880" s="8" t="s">
        <v>22</v>
      </c>
      <c r="D2880" s="8" t="str">
        <f>"赵金辉"</f>
        <v>赵金辉</v>
      </c>
      <c r="E2880" s="8" t="str">
        <f t="shared" si="358"/>
        <v>男</v>
      </c>
    </row>
    <row r="2881" spans="1:5" s="3" customFormat="1" ht="19.5" customHeight="1">
      <c r="A2881" s="8">
        <v>2879</v>
      </c>
      <c r="B2881" s="8" t="str">
        <f>"21902020071415395926976"</f>
        <v>21902020071415395926976</v>
      </c>
      <c r="C2881" s="8" t="s">
        <v>22</v>
      </c>
      <c r="D2881" s="8" t="str">
        <f>"赵多萍"</f>
        <v>赵多萍</v>
      </c>
      <c r="E2881" s="8" t="str">
        <f aca="true" t="shared" si="359" ref="E2881:E2883">"女"</f>
        <v>女</v>
      </c>
    </row>
    <row r="2882" spans="1:5" s="3" customFormat="1" ht="19.5" customHeight="1">
      <c r="A2882" s="8">
        <v>2880</v>
      </c>
      <c r="B2882" s="8" t="str">
        <f>"21902020071415500826989"</f>
        <v>21902020071415500826989</v>
      </c>
      <c r="C2882" s="8" t="s">
        <v>22</v>
      </c>
      <c r="D2882" s="8" t="str">
        <f>"朱巽凤"</f>
        <v>朱巽凤</v>
      </c>
      <c r="E2882" s="8" t="str">
        <f t="shared" si="359"/>
        <v>女</v>
      </c>
    </row>
    <row r="2883" spans="1:5" s="3" customFormat="1" ht="19.5" customHeight="1">
      <c r="A2883" s="8">
        <v>2881</v>
      </c>
      <c r="B2883" s="8" t="str">
        <f>"21902020071415523626992"</f>
        <v>21902020071415523626992</v>
      </c>
      <c r="C2883" s="8" t="s">
        <v>22</v>
      </c>
      <c r="D2883" s="8" t="str">
        <f>"李秋萍"</f>
        <v>李秋萍</v>
      </c>
      <c r="E2883" s="8" t="str">
        <f t="shared" si="359"/>
        <v>女</v>
      </c>
    </row>
    <row r="2884" spans="1:5" s="3" customFormat="1" ht="19.5" customHeight="1">
      <c r="A2884" s="8">
        <v>2882</v>
      </c>
      <c r="B2884" s="8" t="str">
        <f>"21902020071416095427023"</f>
        <v>21902020071416095427023</v>
      </c>
      <c r="C2884" s="8" t="s">
        <v>22</v>
      </c>
      <c r="D2884" s="8" t="str">
        <f>"王维坚"</f>
        <v>王维坚</v>
      </c>
      <c r="E2884" s="8" t="str">
        <f aca="true" t="shared" si="360" ref="E2884:E2891">"男"</f>
        <v>男</v>
      </c>
    </row>
    <row r="2885" spans="1:5" s="3" customFormat="1" ht="19.5" customHeight="1">
      <c r="A2885" s="8">
        <v>2883</v>
      </c>
      <c r="B2885" s="8" t="str">
        <f>"21902020071416101027025"</f>
        <v>21902020071416101027025</v>
      </c>
      <c r="C2885" s="8" t="s">
        <v>22</v>
      </c>
      <c r="D2885" s="8" t="str">
        <f>"郑永发"</f>
        <v>郑永发</v>
      </c>
      <c r="E2885" s="8" t="str">
        <f t="shared" si="360"/>
        <v>男</v>
      </c>
    </row>
    <row r="2886" spans="1:5" s="3" customFormat="1" ht="19.5" customHeight="1">
      <c r="A2886" s="8">
        <v>2884</v>
      </c>
      <c r="B2886" s="8" t="str">
        <f>"21902020071416141627030"</f>
        <v>21902020071416141627030</v>
      </c>
      <c r="C2886" s="8" t="s">
        <v>22</v>
      </c>
      <c r="D2886" s="8" t="str">
        <f>"陈华玲"</f>
        <v>陈华玲</v>
      </c>
      <c r="E2886" s="8" t="str">
        <f>"女"</f>
        <v>女</v>
      </c>
    </row>
    <row r="2887" spans="1:5" s="3" customFormat="1" ht="19.5" customHeight="1">
      <c r="A2887" s="8">
        <v>2885</v>
      </c>
      <c r="B2887" s="8" t="str">
        <f>"21902020071416525927112"</f>
        <v>21902020071416525927112</v>
      </c>
      <c r="C2887" s="8" t="s">
        <v>22</v>
      </c>
      <c r="D2887" s="8" t="str">
        <f>"王廷美"</f>
        <v>王廷美</v>
      </c>
      <c r="E2887" s="8" t="str">
        <f>"女"</f>
        <v>女</v>
      </c>
    </row>
    <row r="2888" spans="1:5" s="3" customFormat="1" ht="19.5" customHeight="1">
      <c r="A2888" s="8">
        <v>2886</v>
      </c>
      <c r="B2888" s="8" t="str">
        <f>"21902020071416571127117"</f>
        <v>21902020071416571127117</v>
      </c>
      <c r="C2888" s="8" t="s">
        <v>22</v>
      </c>
      <c r="D2888" s="8" t="str">
        <f>"吴明锦"</f>
        <v>吴明锦</v>
      </c>
      <c r="E2888" s="8" t="str">
        <f t="shared" si="360"/>
        <v>男</v>
      </c>
    </row>
    <row r="2889" spans="1:5" s="3" customFormat="1" ht="19.5" customHeight="1">
      <c r="A2889" s="8">
        <v>2887</v>
      </c>
      <c r="B2889" s="8" t="str">
        <f>"21902020071417070127139"</f>
        <v>21902020071417070127139</v>
      </c>
      <c r="C2889" s="8" t="s">
        <v>22</v>
      </c>
      <c r="D2889" s="8" t="str">
        <f>"陆有旭"</f>
        <v>陆有旭</v>
      </c>
      <c r="E2889" s="8" t="str">
        <f t="shared" si="360"/>
        <v>男</v>
      </c>
    </row>
    <row r="2890" spans="1:5" s="3" customFormat="1" ht="19.5" customHeight="1">
      <c r="A2890" s="8">
        <v>2888</v>
      </c>
      <c r="B2890" s="8" t="str">
        <f>"21902020071417271127167"</f>
        <v>21902020071417271127167</v>
      </c>
      <c r="C2890" s="8" t="s">
        <v>22</v>
      </c>
      <c r="D2890" s="8" t="str">
        <f>"李步经"</f>
        <v>李步经</v>
      </c>
      <c r="E2890" s="8" t="str">
        <f t="shared" si="360"/>
        <v>男</v>
      </c>
    </row>
    <row r="2891" spans="1:5" s="3" customFormat="1" ht="19.5" customHeight="1">
      <c r="A2891" s="8">
        <v>2889</v>
      </c>
      <c r="B2891" s="8" t="str">
        <f>"21902020071417424827191"</f>
        <v>21902020071417424827191</v>
      </c>
      <c r="C2891" s="8" t="s">
        <v>22</v>
      </c>
      <c r="D2891" s="8" t="str">
        <f>"李秋海"</f>
        <v>李秋海</v>
      </c>
      <c r="E2891" s="8" t="str">
        <f t="shared" si="360"/>
        <v>男</v>
      </c>
    </row>
    <row r="2892" spans="1:5" s="3" customFormat="1" ht="19.5" customHeight="1">
      <c r="A2892" s="8">
        <v>2890</v>
      </c>
      <c r="B2892" s="8" t="str">
        <f>"21902020071418384127260"</f>
        <v>21902020071418384127260</v>
      </c>
      <c r="C2892" s="8" t="s">
        <v>22</v>
      </c>
      <c r="D2892" s="8" t="str">
        <f>"林云"</f>
        <v>林云</v>
      </c>
      <c r="E2892" s="8" t="str">
        <f aca="true" t="shared" si="361" ref="E2892:E2896">"女"</f>
        <v>女</v>
      </c>
    </row>
    <row r="2893" spans="1:5" s="3" customFormat="1" ht="19.5" customHeight="1">
      <c r="A2893" s="8">
        <v>2891</v>
      </c>
      <c r="B2893" s="8" t="str">
        <f>"21902020071418393827262"</f>
        <v>21902020071418393827262</v>
      </c>
      <c r="C2893" s="8" t="s">
        <v>22</v>
      </c>
      <c r="D2893" s="8" t="str">
        <f>"唐文博"</f>
        <v>唐文博</v>
      </c>
      <c r="E2893" s="8" t="str">
        <f aca="true" t="shared" si="362" ref="E2893:E2899">"男"</f>
        <v>男</v>
      </c>
    </row>
    <row r="2894" spans="1:5" s="3" customFormat="1" ht="19.5" customHeight="1">
      <c r="A2894" s="8">
        <v>2892</v>
      </c>
      <c r="B2894" s="8" t="str">
        <f>"21902020071418505327283"</f>
        <v>21902020071418505327283</v>
      </c>
      <c r="C2894" s="8" t="s">
        <v>22</v>
      </c>
      <c r="D2894" s="8" t="str">
        <f>"王梦戈"</f>
        <v>王梦戈</v>
      </c>
      <c r="E2894" s="8" t="str">
        <f t="shared" si="362"/>
        <v>男</v>
      </c>
    </row>
    <row r="2895" spans="1:5" s="3" customFormat="1" ht="19.5" customHeight="1">
      <c r="A2895" s="8">
        <v>2893</v>
      </c>
      <c r="B2895" s="8" t="str">
        <f>"21902020071418524627285"</f>
        <v>21902020071418524627285</v>
      </c>
      <c r="C2895" s="8" t="s">
        <v>22</v>
      </c>
      <c r="D2895" s="8" t="str">
        <f>"何姑美"</f>
        <v>何姑美</v>
      </c>
      <c r="E2895" s="8" t="str">
        <f t="shared" si="361"/>
        <v>女</v>
      </c>
    </row>
    <row r="2896" spans="1:5" s="3" customFormat="1" ht="19.5" customHeight="1">
      <c r="A2896" s="8">
        <v>2894</v>
      </c>
      <c r="B2896" s="8" t="str">
        <f>"21902020071419045927303"</f>
        <v>21902020071419045927303</v>
      </c>
      <c r="C2896" s="8" t="s">
        <v>22</v>
      </c>
      <c r="D2896" s="8" t="str">
        <f>"何秀玲"</f>
        <v>何秀玲</v>
      </c>
      <c r="E2896" s="8" t="str">
        <f t="shared" si="361"/>
        <v>女</v>
      </c>
    </row>
    <row r="2897" spans="1:5" s="3" customFormat="1" ht="19.5" customHeight="1">
      <c r="A2897" s="8">
        <v>2895</v>
      </c>
      <c r="B2897" s="8" t="str">
        <f>"21902020071419084427313"</f>
        <v>21902020071419084427313</v>
      </c>
      <c r="C2897" s="8" t="s">
        <v>22</v>
      </c>
      <c r="D2897" s="8" t="str">
        <f>"蒙冠文"</f>
        <v>蒙冠文</v>
      </c>
      <c r="E2897" s="8" t="str">
        <f t="shared" si="362"/>
        <v>男</v>
      </c>
    </row>
    <row r="2898" spans="1:5" s="3" customFormat="1" ht="19.5" customHeight="1">
      <c r="A2898" s="8">
        <v>2896</v>
      </c>
      <c r="B2898" s="8" t="str">
        <f>"21902020071419115527316"</f>
        <v>21902020071419115527316</v>
      </c>
      <c r="C2898" s="8" t="s">
        <v>22</v>
      </c>
      <c r="D2898" s="8" t="str">
        <f>"林达"</f>
        <v>林达</v>
      </c>
      <c r="E2898" s="8" t="str">
        <f t="shared" si="362"/>
        <v>男</v>
      </c>
    </row>
    <row r="2899" spans="1:5" s="3" customFormat="1" ht="19.5" customHeight="1">
      <c r="A2899" s="8">
        <v>2897</v>
      </c>
      <c r="B2899" s="8" t="str">
        <f>"21902020071420374827406"</f>
        <v>21902020071420374827406</v>
      </c>
      <c r="C2899" s="8" t="s">
        <v>22</v>
      </c>
      <c r="D2899" s="8" t="str">
        <f>"赵贞维"</f>
        <v>赵贞维</v>
      </c>
      <c r="E2899" s="8" t="str">
        <f t="shared" si="362"/>
        <v>男</v>
      </c>
    </row>
    <row r="2900" spans="1:5" s="3" customFormat="1" ht="19.5" customHeight="1">
      <c r="A2900" s="8">
        <v>2898</v>
      </c>
      <c r="B2900" s="8" t="str">
        <f>"21902020071421024327439"</f>
        <v>21902020071421024327439</v>
      </c>
      <c r="C2900" s="8" t="s">
        <v>22</v>
      </c>
      <c r="D2900" s="8" t="str">
        <f>"何振柳"</f>
        <v>何振柳</v>
      </c>
      <c r="E2900" s="8" t="str">
        <f aca="true" t="shared" si="363" ref="E2900:E2903">"女"</f>
        <v>女</v>
      </c>
    </row>
    <row r="2901" spans="1:5" s="3" customFormat="1" ht="19.5" customHeight="1">
      <c r="A2901" s="8">
        <v>2899</v>
      </c>
      <c r="B2901" s="8" t="str">
        <f>"21902020071421120227454"</f>
        <v>21902020071421120227454</v>
      </c>
      <c r="C2901" s="8" t="s">
        <v>22</v>
      </c>
      <c r="D2901" s="8" t="str">
        <f>"郑海丽"</f>
        <v>郑海丽</v>
      </c>
      <c r="E2901" s="8" t="str">
        <f t="shared" si="363"/>
        <v>女</v>
      </c>
    </row>
    <row r="2902" spans="1:5" s="3" customFormat="1" ht="19.5" customHeight="1">
      <c r="A2902" s="8">
        <v>2900</v>
      </c>
      <c r="B2902" s="8" t="str">
        <f>"21902020071422082127510"</f>
        <v>21902020071422082127510</v>
      </c>
      <c r="C2902" s="8" t="s">
        <v>22</v>
      </c>
      <c r="D2902" s="8" t="str">
        <f>"董平德"</f>
        <v>董平德</v>
      </c>
      <c r="E2902" s="8" t="str">
        <f aca="true" t="shared" si="364" ref="E2902:E2905">"男"</f>
        <v>男</v>
      </c>
    </row>
    <row r="2903" spans="1:5" s="3" customFormat="1" ht="19.5" customHeight="1">
      <c r="A2903" s="8">
        <v>2901</v>
      </c>
      <c r="B2903" s="8" t="str">
        <f>"21902020071422394227560"</f>
        <v>21902020071422394227560</v>
      </c>
      <c r="C2903" s="8" t="s">
        <v>22</v>
      </c>
      <c r="D2903" s="8" t="str">
        <f>"羊春月"</f>
        <v>羊春月</v>
      </c>
      <c r="E2903" s="8" t="str">
        <f t="shared" si="363"/>
        <v>女</v>
      </c>
    </row>
    <row r="2904" spans="1:5" s="3" customFormat="1" ht="19.5" customHeight="1">
      <c r="A2904" s="8">
        <v>2902</v>
      </c>
      <c r="B2904" s="8" t="str">
        <f>"21902020071500160827641"</f>
        <v>21902020071500160827641</v>
      </c>
      <c r="C2904" s="8" t="s">
        <v>22</v>
      </c>
      <c r="D2904" s="8" t="str">
        <f>"王为英"</f>
        <v>王为英</v>
      </c>
      <c r="E2904" s="8" t="str">
        <f t="shared" si="364"/>
        <v>男</v>
      </c>
    </row>
    <row r="2905" spans="1:5" s="3" customFormat="1" ht="19.5" customHeight="1">
      <c r="A2905" s="8">
        <v>2903</v>
      </c>
      <c r="B2905" s="8" t="str">
        <f>"21902020071500191027645"</f>
        <v>21902020071500191027645</v>
      </c>
      <c r="C2905" s="8" t="s">
        <v>22</v>
      </c>
      <c r="D2905" s="8" t="str">
        <f>"吴兆煌"</f>
        <v>吴兆煌</v>
      </c>
      <c r="E2905" s="8" t="str">
        <f t="shared" si="364"/>
        <v>男</v>
      </c>
    </row>
    <row r="2906" spans="1:5" s="3" customFormat="1" ht="19.5" customHeight="1">
      <c r="A2906" s="8">
        <v>2904</v>
      </c>
      <c r="B2906" s="8" t="str">
        <f>"21902020071508550627710"</f>
        <v>21902020071508550627710</v>
      </c>
      <c r="C2906" s="8" t="s">
        <v>22</v>
      </c>
      <c r="D2906" s="8" t="str">
        <f>"陆文妆"</f>
        <v>陆文妆</v>
      </c>
      <c r="E2906" s="8" t="str">
        <f aca="true" t="shared" si="365" ref="E2906:E2912">"女"</f>
        <v>女</v>
      </c>
    </row>
    <row r="2907" spans="1:5" s="3" customFormat="1" ht="19.5" customHeight="1">
      <c r="A2907" s="8">
        <v>2905</v>
      </c>
      <c r="B2907" s="8" t="str">
        <f>"21902020071509054327739"</f>
        <v>21902020071509054327739</v>
      </c>
      <c r="C2907" s="8" t="s">
        <v>22</v>
      </c>
      <c r="D2907" s="8" t="str">
        <f>"徐敏芳"</f>
        <v>徐敏芳</v>
      </c>
      <c r="E2907" s="8" t="str">
        <f t="shared" si="365"/>
        <v>女</v>
      </c>
    </row>
    <row r="2908" spans="1:5" s="3" customFormat="1" ht="19.5" customHeight="1">
      <c r="A2908" s="8">
        <v>2906</v>
      </c>
      <c r="B2908" s="8" t="str">
        <f>"21902020071509162927761"</f>
        <v>21902020071509162927761</v>
      </c>
      <c r="C2908" s="8" t="s">
        <v>22</v>
      </c>
      <c r="D2908" s="8" t="str">
        <f>"李绍发"</f>
        <v>李绍发</v>
      </c>
      <c r="E2908" s="8" t="str">
        <f aca="true" t="shared" si="366" ref="E2908:E2913">"男"</f>
        <v>男</v>
      </c>
    </row>
    <row r="2909" spans="1:5" s="3" customFormat="1" ht="19.5" customHeight="1">
      <c r="A2909" s="8">
        <v>2907</v>
      </c>
      <c r="B2909" s="8" t="str">
        <f>"21902020071509312727785"</f>
        <v>21902020071509312727785</v>
      </c>
      <c r="C2909" s="8" t="s">
        <v>22</v>
      </c>
      <c r="D2909" s="8" t="str">
        <f>"周文锐"</f>
        <v>周文锐</v>
      </c>
      <c r="E2909" s="8" t="str">
        <f t="shared" si="366"/>
        <v>男</v>
      </c>
    </row>
    <row r="2910" spans="1:5" s="3" customFormat="1" ht="19.5" customHeight="1">
      <c r="A2910" s="8">
        <v>2908</v>
      </c>
      <c r="B2910" s="8" t="str">
        <f>"21902020071509405027795"</f>
        <v>21902020071509405027795</v>
      </c>
      <c r="C2910" s="8" t="s">
        <v>22</v>
      </c>
      <c r="D2910" s="8" t="str">
        <f>"陈婆文"</f>
        <v>陈婆文</v>
      </c>
      <c r="E2910" s="8" t="str">
        <f t="shared" si="365"/>
        <v>女</v>
      </c>
    </row>
    <row r="2911" spans="1:5" s="3" customFormat="1" ht="19.5" customHeight="1">
      <c r="A2911" s="8">
        <v>2909</v>
      </c>
      <c r="B2911" s="8" t="str">
        <f>"21902020071510055027833"</f>
        <v>21902020071510055027833</v>
      </c>
      <c r="C2911" s="8" t="s">
        <v>22</v>
      </c>
      <c r="D2911" s="8" t="str">
        <f>"谢元菊"</f>
        <v>谢元菊</v>
      </c>
      <c r="E2911" s="8" t="str">
        <f t="shared" si="365"/>
        <v>女</v>
      </c>
    </row>
    <row r="2912" spans="1:5" s="3" customFormat="1" ht="19.5" customHeight="1">
      <c r="A2912" s="8">
        <v>2910</v>
      </c>
      <c r="B2912" s="8" t="str">
        <f>"21902020071510101027839"</f>
        <v>21902020071510101027839</v>
      </c>
      <c r="C2912" s="8" t="s">
        <v>22</v>
      </c>
      <c r="D2912" s="8" t="str">
        <f>"丁慧兰"</f>
        <v>丁慧兰</v>
      </c>
      <c r="E2912" s="8" t="str">
        <f t="shared" si="365"/>
        <v>女</v>
      </c>
    </row>
    <row r="2913" spans="1:5" s="3" customFormat="1" ht="19.5" customHeight="1">
      <c r="A2913" s="8">
        <v>2911</v>
      </c>
      <c r="B2913" s="8" t="str">
        <f>"21902020071510191727855"</f>
        <v>21902020071510191727855</v>
      </c>
      <c r="C2913" s="8" t="s">
        <v>22</v>
      </c>
      <c r="D2913" s="8" t="str">
        <f>"陈敏卿"</f>
        <v>陈敏卿</v>
      </c>
      <c r="E2913" s="8" t="str">
        <f t="shared" si="366"/>
        <v>男</v>
      </c>
    </row>
    <row r="2914" spans="1:5" s="3" customFormat="1" ht="19.5" customHeight="1">
      <c r="A2914" s="8">
        <v>2912</v>
      </c>
      <c r="B2914" s="8" t="str">
        <f>"21902020071510244527862"</f>
        <v>21902020071510244527862</v>
      </c>
      <c r="C2914" s="8" t="s">
        <v>22</v>
      </c>
      <c r="D2914" s="8" t="str">
        <f>"李春雨"</f>
        <v>李春雨</v>
      </c>
      <c r="E2914" s="8" t="str">
        <f aca="true" t="shared" si="367" ref="E2914:E2916">"女"</f>
        <v>女</v>
      </c>
    </row>
    <row r="2915" spans="1:5" s="3" customFormat="1" ht="19.5" customHeight="1">
      <c r="A2915" s="8">
        <v>2913</v>
      </c>
      <c r="B2915" s="8" t="str">
        <f>"21902020071510383627887"</f>
        <v>21902020071510383627887</v>
      </c>
      <c r="C2915" s="8" t="s">
        <v>22</v>
      </c>
      <c r="D2915" s="8" t="str">
        <f>"唐明焕"</f>
        <v>唐明焕</v>
      </c>
      <c r="E2915" s="8" t="str">
        <f t="shared" si="367"/>
        <v>女</v>
      </c>
    </row>
    <row r="2916" spans="1:5" s="3" customFormat="1" ht="19.5" customHeight="1">
      <c r="A2916" s="8">
        <v>2914</v>
      </c>
      <c r="B2916" s="8" t="str">
        <f>"21902020071511533227996"</f>
        <v>21902020071511533227996</v>
      </c>
      <c r="C2916" s="8" t="s">
        <v>22</v>
      </c>
      <c r="D2916" s="8" t="str">
        <f>"文俊瑛"</f>
        <v>文俊瑛</v>
      </c>
      <c r="E2916" s="8" t="str">
        <f t="shared" si="367"/>
        <v>女</v>
      </c>
    </row>
    <row r="2917" spans="1:5" s="3" customFormat="1" ht="19.5" customHeight="1">
      <c r="A2917" s="8">
        <v>2915</v>
      </c>
      <c r="B2917" s="8" t="str">
        <f>"21902020071514485528139"</f>
        <v>21902020071514485528139</v>
      </c>
      <c r="C2917" s="8" t="s">
        <v>22</v>
      </c>
      <c r="D2917" s="8" t="str">
        <f>"胡凯"</f>
        <v>胡凯</v>
      </c>
      <c r="E2917" s="8" t="str">
        <f aca="true" t="shared" si="368" ref="E2917:E2922">"男"</f>
        <v>男</v>
      </c>
    </row>
    <row r="2918" spans="1:5" s="3" customFormat="1" ht="19.5" customHeight="1">
      <c r="A2918" s="8">
        <v>2916</v>
      </c>
      <c r="B2918" s="8" t="str">
        <f>"21902020071514563028145"</f>
        <v>21902020071514563028145</v>
      </c>
      <c r="C2918" s="8" t="s">
        <v>22</v>
      </c>
      <c r="D2918" s="8" t="str">
        <f>"张帝妹"</f>
        <v>张帝妹</v>
      </c>
      <c r="E2918" s="8" t="str">
        <f aca="true" t="shared" si="369" ref="E2918:E2923">"女"</f>
        <v>女</v>
      </c>
    </row>
    <row r="2919" spans="1:5" s="3" customFormat="1" ht="19.5" customHeight="1">
      <c r="A2919" s="8">
        <v>2917</v>
      </c>
      <c r="B2919" s="8" t="str">
        <f>"21902020071515574728212"</f>
        <v>21902020071515574728212</v>
      </c>
      <c r="C2919" s="8" t="s">
        <v>22</v>
      </c>
      <c r="D2919" s="8" t="str">
        <f>"李正璜"</f>
        <v>李正璜</v>
      </c>
      <c r="E2919" s="8" t="str">
        <f t="shared" si="368"/>
        <v>男</v>
      </c>
    </row>
    <row r="2920" spans="1:5" s="3" customFormat="1" ht="19.5" customHeight="1">
      <c r="A2920" s="8">
        <v>2918</v>
      </c>
      <c r="B2920" s="8" t="str">
        <f>"21902020071516120828235"</f>
        <v>21902020071516120828235</v>
      </c>
      <c r="C2920" s="8" t="s">
        <v>22</v>
      </c>
      <c r="D2920" s="8" t="str">
        <f>"钟斯琦"</f>
        <v>钟斯琦</v>
      </c>
      <c r="E2920" s="8" t="str">
        <f t="shared" si="369"/>
        <v>女</v>
      </c>
    </row>
    <row r="2921" spans="1:5" s="3" customFormat="1" ht="19.5" customHeight="1">
      <c r="A2921" s="8">
        <v>2919</v>
      </c>
      <c r="B2921" s="8" t="str">
        <f>"21902020071516382228263"</f>
        <v>21902020071516382228263</v>
      </c>
      <c r="C2921" s="8" t="s">
        <v>22</v>
      </c>
      <c r="D2921" s="8" t="str">
        <f>"黄志雄"</f>
        <v>黄志雄</v>
      </c>
      <c r="E2921" s="8" t="str">
        <f t="shared" si="368"/>
        <v>男</v>
      </c>
    </row>
    <row r="2922" spans="1:5" s="3" customFormat="1" ht="19.5" customHeight="1">
      <c r="A2922" s="8">
        <v>2920</v>
      </c>
      <c r="B2922" s="8" t="str">
        <f>"21902020071518050028358"</f>
        <v>21902020071518050028358</v>
      </c>
      <c r="C2922" s="8" t="s">
        <v>22</v>
      </c>
      <c r="D2922" s="8" t="str">
        <f>"羊锦登"</f>
        <v>羊锦登</v>
      </c>
      <c r="E2922" s="8" t="str">
        <f t="shared" si="368"/>
        <v>男</v>
      </c>
    </row>
    <row r="2923" spans="1:5" s="3" customFormat="1" ht="19.5" customHeight="1">
      <c r="A2923" s="8">
        <v>2921</v>
      </c>
      <c r="B2923" s="8" t="str">
        <f>"21902020071518180428370"</f>
        <v>21902020071518180428370</v>
      </c>
      <c r="C2923" s="8" t="s">
        <v>22</v>
      </c>
      <c r="D2923" s="8" t="str">
        <f>"朱金霞"</f>
        <v>朱金霞</v>
      </c>
      <c r="E2923" s="8" t="str">
        <f t="shared" si="369"/>
        <v>女</v>
      </c>
    </row>
    <row r="2924" spans="1:5" s="3" customFormat="1" ht="19.5" customHeight="1">
      <c r="A2924" s="8">
        <v>2922</v>
      </c>
      <c r="B2924" s="8" t="str">
        <f>"21902020071519502828435"</f>
        <v>21902020071519502828435</v>
      </c>
      <c r="C2924" s="8" t="s">
        <v>22</v>
      </c>
      <c r="D2924" s="8" t="str">
        <f>"林善果"</f>
        <v>林善果</v>
      </c>
      <c r="E2924" s="8" t="str">
        <f aca="true" t="shared" si="370" ref="E2924:E2931">"男"</f>
        <v>男</v>
      </c>
    </row>
    <row r="2925" spans="1:5" s="3" customFormat="1" ht="19.5" customHeight="1">
      <c r="A2925" s="8">
        <v>2923</v>
      </c>
      <c r="B2925" s="8" t="str">
        <f>"21902020071520021428446"</f>
        <v>21902020071520021428446</v>
      </c>
      <c r="C2925" s="8" t="s">
        <v>22</v>
      </c>
      <c r="D2925" s="8" t="str">
        <f>"梁春美"</f>
        <v>梁春美</v>
      </c>
      <c r="E2925" s="8" t="str">
        <f aca="true" t="shared" si="371" ref="E2925:E2927">"女"</f>
        <v>女</v>
      </c>
    </row>
    <row r="2926" spans="1:5" s="3" customFormat="1" ht="19.5" customHeight="1">
      <c r="A2926" s="8">
        <v>2924</v>
      </c>
      <c r="B2926" s="8" t="str">
        <f>"21902020071520555328491"</f>
        <v>21902020071520555328491</v>
      </c>
      <c r="C2926" s="8" t="s">
        <v>22</v>
      </c>
      <c r="D2926" s="8" t="str">
        <f>"薛婆香"</f>
        <v>薛婆香</v>
      </c>
      <c r="E2926" s="8" t="str">
        <f t="shared" si="371"/>
        <v>女</v>
      </c>
    </row>
    <row r="2927" spans="1:5" s="3" customFormat="1" ht="19.5" customHeight="1">
      <c r="A2927" s="8">
        <v>2925</v>
      </c>
      <c r="B2927" s="8" t="str">
        <f>"21902020071521485728533"</f>
        <v>21902020071521485728533</v>
      </c>
      <c r="C2927" s="8" t="s">
        <v>22</v>
      </c>
      <c r="D2927" s="8" t="str">
        <f>"杨丽霞"</f>
        <v>杨丽霞</v>
      </c>
      <c r="E2927" s="8" t="str">
        <f t="shared" si="371"/>
        <v>女</v>
      </c>
    </row>
    <row r="2928" spans="1:5" s="3" customFormat="1" ht="19.5" customHeight="1">
      <c r="A2928" s="8">
        <v>2926</v>
      </c>
      <c r="B2928" s="8" t="str">
        <f>"21902020071522013428546"</f>
        <v>21902020071522013428546</v>
      </c>
      <c r="C2928" s="8" t="s">
        <v>22</v>
      </c>
      <c r="D2928" s="8" t="str">
        <f>"吴东博"</f>
        <v>吴东博</v>
      </c>
      <c r="E2928" s="8" t="str">
        <f t="shared" si="370"/>
        <v>男</v>
      </c>
    </row>
    <row r="2929" spans="1:5" s="3" customFormat="1" ht="19.5" customHeight="1">
      <c r="A2929" s="8">
        <v>2927</v>
      </c>
      <c r="B2929" s="8" t="str">
        <f>"21902020071522085028554"</f>
        <v>21902020071522085028554</v>
      </c>
      <c r="C2929" s="8" t="s">
        <v>22</v>
      </c>
      <c r="D2929" s="8" t="str">
        <f>"吴礼中"</f>
        <v>吴礼中</v>
      </c>
      <c r="E2929" s="8" t="str">
        <f t="shared" si="370"/>
        <v>男</v>
      </c>
    </row>
    <row r="2930" spans="1:5" s="3" customFormat="1" ht="19.5" customHeight="1">
      <c r="A2930" s="8">
        <v>2928</v>
      </c>
      <c r="B2930" s="8" t="str">
        <f>"21902020071523321628624"</f>
        <v>21902020071523321628624</v>
      </c>
      <c r="C2930" s="8" t="s">
        <v>22</v>
      </c>
      <c r="D2930" s="8" t="str">
        <f>"吴小虎"</f>
        <v>吴小虎</v>
      </c>
      <c r="E2930" s="8" t="str">
        <f t="shared" si="370"/>
        <v>男</v>
      </c>
    </row>
    <row r="2931" spans="1:5" s="3" customFormat="1" ht="19.5" customHeight="1">
      <c r="A2931" s="8">
        <v>2929</v>
      </c>
      <c r="B2931" s="8" t="str">
        <f>"21902020071600020628639"</f>
        <v>21902020071600020628639</v>
      </c>
      <c r="C2931" s="8" t="s">
        <v>22</v>
      </c>
      <c r="D2931" s="8" t="str">
        <f>"唐基林"</f>
        <v>唐基林</v>
      </c>
      <c r="E2931" s="8" t="str">
        <f t="shared" si="370"/>
        <v>男</v>
      </c>
    </row>
    <row r="2932" spans="1:5" s="3" customFormat="1" ht="19.5" customHeight="1">
      <c r="A2932" s="8">
        <v>2930</v>
      </c>
      <c r="B2932" s="8" t="str">
        <f>"21902020071606094428665"</f>
        <v>21902020071606094428665</v>
      </c>
      <c r="C2932" s="8" t="s">
        <v>22</v>
      </c>
      <c r="D2932" s="8" t="str">
        <f>"钟海金"</f>
        <v>钟海金</v>
      </c>
      <c r="E2932" s="8" t="str">
        <f aca="true" t="shared" si="372" ref="E2932:E2936">"女"</f>
        <v>女</v>
      </c>
    </row>
    <row r="2933" spans="1:5" s="3" customFormat="1" ht="19.5" customHeight="1">
      <c r="A2933" s="8">
        <v>2931</v>
      </c>
      <c r="B2933" s="8" t="str">
        <f>"21902020071608424928687"</f>
        <v>21902020071608424928687</v>
      </c>
      <c r="C2933" s="8" t="s">
        <v>22</v>
      </c>
      <c r="D2933" s="8" t="str">
        <f>"赵秀发"</f>
        <v>赵秀发</v>
      </c>
      <c r="E2933" s="8" t="str">
        <f aca="true" t="shared" si="373" ref="E2933:E2937">"男"</f>
        <v>男</v>
      </c>
    </row>
    <row r="2934" spans="1:5" s="3" customFormat="1" ht="19.5" customHeight="1">
      <c r="A2934" s="8">
        <v>2932</v>
      </c>
      <c r="B2934" s="8" t="str">
        <f>"21902020071608435428688"</f>
        <v>21902020071608435428688</v>
      </c>
      <c r="C2934" s="8" t="s">
        <v>22</v>
      </c>
      <c r="D2934" s="8" t="str">
        <f>"李石乾"</f>
        <v>李石乾</v>
      </c>
      <c r="E2934" s="8" t="str">
        <f t="shared" si="372"/>
        <v>女</v>
      </c>
    </row>
    <row r="2935" spans="1:5" s="3" customFormat="1" ht="19.5" customHeight="1">
      <c r="A2935" s="8">
        <v>2933</v>
      </c>
      <c r="B2935" s="8" t="str">
        <f>"21902020071609283128724"</f>
        <v>21902020071609283128724</v>
      </c>
      <c r="C2935" s="8" t="s">
        <v>22</v>
      </c>
      <c r="D2935" s="8" t="str">
        <f>"朱喜元"</f>
        <v>朱喜元</v>
      </c>
      <c r="E2935" s="8" t="str">
        <f t="shared" si="373"/>
        <v>男</v>
      </c>
    </row>
    <row r="2936" spans="1:5" s="3" customFormat="1" ht="19.5" customHeight="1">
      <c r="A2936" s="8">
        <v>2934</v>
      </c>
      <c r="B2936" s="8" t="str">
        <f>"21902020071609381128739"</f>
        <v>21902020071609381128739</v>
      </c>
      <c r="C2936" s="8" t="s">
        <v>22</v>
      </c>
      <c r="D2936" s="8" t="str">
        <f>"郑开月"</f>
        <v>郑开月</v>
      </c>
      <c r="E2936" s="8" t="str">
        <f t="shared" si="372"/>
        <v>女</v>
      </c>
    </row>
    <row r="2937" spans="1:5" s="3" customFormat="1" ht="19.5" customHeight="1">
      <c r="A2937" s="8">
        <v>2935</v>
      </c>
      <c r="B2937" s="8" t="str">
        <f>"21902020071610184228765"</f>
        <v>21902020071610184228765</v>
      </c>
      <c r="C2937" s="8" t="s">
        <v>22</v>
      </c>
      <c r="D2937" s="8" t="str">
        <f>"孙卓玉"</f>
        <v>孙卓玉</v>
      </c>
      <c r="E2937" s="8" t="str">
        <f t="shared" si="373"/>
        <v>男</v>
      </c>
    </row>
    <row r="2938" spans="1:5" s="3" customFormat="1" ht="19.5" customHeight="1">
      <c r="A2938" s="8">
        <v>2936</v>
      </c>
      <c r="B2938" s="8" t="str">
        <f>"21902020071610262628770"</f>
        <v>21902020071610262628770</v>
      </c>
      <c r="C2938" s="8" t="s">
        <v>22</v>
      </c>
      <c r="D2938" s="8" t="str">
        <f>"林琼丽"</f>
        <v>林琼丽</v>
      </c>
      <c r="E2938" s="8" t="str">
        <f aca="true" t="shared" si="374" ref="E2938:E2940">"女"</f>
        <v>女</v>
      </c>
    </row>
    <row r="2939" spans="1:5" s="3" customFormat="1" ht="19.5" customHeight="1">
      <c r="A2939" s="8">
        <v>2937</v>
      </c>
      <c r="B2939" s="8" t="str">
        <f>"21902020071610371328779"</f>
        <v>21902020071610371328779</v>
      </c>
      <c r="C2939" s="8" t="s">
        <v>22</v>
      </c>
      <c r="D2939" s="8" t="str">
        <f>"古月杉"</f>
        <v>古月杉</v>
      </c>
      <c r="E2939" s="8" t="str">
        <f t="shared" si="374"/>
        <v>女</v>
      </c>
    </row>
    <row r="2940" spans="1:5" s="3" customFormat="1" ht="19.5" customHeight="1">
      <c r="A2940" s="8">
        <v>2938</v>
      </c>
      <c r="B2940" s="8" t="str">
        <f>"21902020071610405428786"</f>
        <v>21902020071610405428786</v>
      </c>
      <c r="C2940" s="8" t="s">
        <v>22</v>
      </c>
      <c r="D2940" s="8" t="str">
        <f>"徐秋花"</f>
        <v>徐秋花</v>
      </c>
      <c r="E2940" s="8" t="str">
        <f t="shared" si="374"/>
        <v>女</v>
      </c>
    </row>
    <row r="2941" spans="1:5" s="3" customFormat="1" ht="19.5" customHeight="1">
      <c r="A2941" s="8">
        <v>2939</v>
      </c>
      <c r="B2941" s="8" t="str">
        <f>"21902020071611290628839"</f>
        <v>21902020071611290628839</v>
      </c>
      <c r="C2941" s="8" t="s">
        <v>22</v>
      </c>
      <c r="D2941" s="8" t="str">
        <f>"李金鹏"</f>
        <v>李金鹏</v>
      </c>
      <c r="E2941" s="8" t="str">
        <f aca="true" t="shared" si="375" ref="E2941:E2943">"男"</f>
        <v>男</v>
      </c>
    </row>
    <row r="2942" spans="1:5" s="3" customFormat="1" ht="19.5" customHeight="1">
      <c r="A2942" s="8">
        <v>2940</v>
      </c>
      <c r="B2942" s="8" t="str">
        <f>"21902020071611462928851"</f>
        <v>21902020071611462928851</v>
      </c>
      <c r="C2942" s="8" t="s">
        <v>22</v>
      </c>
      <c r="D2942" s="8" t="str">
        <f>"吴开泽"</f>
        <v>吴开泽</v>
      </c>
      <c r="E2942" s="8" t="str">
        <f t="shared" si="375"/>
        <v>男</v>
      </c>
    </row>
    <row r="2943" spans="1:5" s="3" customFormat="1" ht="19.5" customHeight="1">
      <c r="A2943" s="8">
        <v>2941</v>
      </c>
      <c r="B2943" s="8" t="str">
        <f>"21902020071611535228861"</f>
        <v>21902020071611535228861</v>
      </c>
      <c r="C2943" s="8" t="s">
        <v>22</v>
      </c>
      <c r="D2943" s="8" t="str">
        <f>"余学华"</f>
        <v>余学华</v>
      </c>
      <c r="E2943" s="8" t="str">
        <f t="shared" si="375"/>
        <v>男</v>
      </c>
    </row>
    <row r="2944" spans="1:5" s="3" customFormat="1" ht="19.5" customHeight="1">
      <c r="A2944" s="8">
        <v>2942</v>
      </c>
      <c r="B2944" s="8" t="str">
        <f>"21902020071613064328908"</f>
        <v>21902020071613064328908</v>
      </c>
      <c r="C2944" s="8" t="s">
        <v>22</v>
      </c>
      <c r="D2944" s="8" t="str">
        <f>"钟佳颖"</f>
        <v>钟佳颖</v>
      </c>
      <c r="E2944" s="8" t="str">
        <f>"女"</f>
        <v>女</v>
      </c>
    </row>
    <row r="2945" spans="1:5" s="3" customFormat="1" ht="19.5" customHeight="1">
      <c r="A2945" s="8">
        <v>2943</v>
      </c>
      <c r="B2945" s="8" t="str">
        <f>"21902020071613484628927"</f>
        <v>21902020071613484628927</v>
      </c>
      <c r="C2945" s="8" t="s">
        <v>22</v>
      </c>
      <c r="D2945" s="8" t="str">
        <f>"陈博俊"</f>
        <v>陈博俊</v>
      </c>
      <c r="E2945" s="8" t="str">
        <f aca="true" t="shared" si="376" ref="E2945:E2950">"男"</f>
        <v>男</v>
      </c>
    </row>
    <row r="2946" spans="1:5" s="3" customFormat="1" ht="19.5" customHeight="1">
      <c r="A2946" s="8">
        <v>2944</v>
      </c>
      <c r="B2946" s="8" t="str">
        <f>"21902020071615072728975"</f>
        <v>21902020071615072728975</v>
      </c>
      <c r="C2946" s="8" t="s">
        <v>22</v>
      </c>
      <c r="D2946" s="8" t="str">
        <f>"李挺江"</f>
        <v>李挺江</v>
      </c>
      <c r="E2946" s="8" t="str">
        <f t="shared" si="376"/>
        <v>男</v>
      </c>
    </row>
    <row r="2947" spans="1:5" s="3" customFormat="1" ht="19.5" customHeight="1">
      <c r="A2947" s="8">
        <v>2945</v>
      </c>
      <c r="B2947" s="8" t="str">
        <f>"21902020071615353529003"</f>
        <v>21902020071615353529003</v>
      </c>
      <c r="C2947" s="8" t="s">
        <v>22</v>
      </c>
      <c r="D2947" s="8" t="str">
        <f>"郑志丰"</f>
        <v>郑志丰</v>
      </c>
      <c r="E2947" s="8" t="str">
        <f t="shared" si="376"/>
        <v>男</v>
      </c>
    </row>
    <row r="2948" spans="1:5" s="3" customFormat="1" ht="19.5" customHeight="1">
      <c r="A2948" s="8">
        <v>2946</v>
      </c>
      <c r="B2948" s="8" t="str">
        <f>"21902020071616254429054"</f>
        <v>21902020071616254429054</v>
      </c>
      <c r="C2948" s="8" t="s">
        <v>22</v>
      </c>
      <c r="D2948" s="8" t="str">
        <f>"梁冠"</f>
        <v>梁冠</v>
      </c>
      <c r="E2948" s="8" t="str">
        <f t="shared" si="376"/>
        <v>男</v>
      </c>
    </row>
    <row r="2949" spans="1:5" s="3" customFormat="1" ht="19.5" customHeight="1">
      <c r="A2949" s="8">
        <v>2947</v>
      </c>
      <c r="B2949" s="8" t="str">
        <f>"21902020071616503229074"</f>
        <v>21902020071616503229074</v>
      </c>
      <c r="C2949" s="8" t="s">
        <v>22</v>
      </c>
      <c r="D2949" s="8" t="str">
        <f>"邓寿清"</f>
        <v>邓寿清</v>
      </c>
      <c r="E2949" s="8" t="str">
        <f t="shared" si="376"/>
        <v>男</v>
      </c>
    </row>
    <row r="2950" spans="1:5" s="3" customFormat="1" ht="19.5" customHeight="1">
      <c r="A2950" s="8">
        <v>2948</v>
      </c>
      <c r="B2950" s="8" t="str">
        <f>"21902020071616534329077"</f>
        <v>21902020071616534329077</v>
      </c>
      <c r="C2950" s="8" t="s">
        <v>22</v>
      </c>
      <c r="D2950" s="8" t="str">
        <f>"苏富贤"</f>
        <v>苏富贤</v>
      </c>
      <c r="E2950" s="8" t="str">
        <f t="shared" si="376"/>
        <v>男</v>
      </c>
    </row>
    <row r="2951" spans="1:5" s="3" customFormat="1" ht="19.5" customHeight="1">
      <c r="A2951" s="8">
        <v>2949</v>
      </c>
      <c r="B2951" s="8" t="str">
        <f>"21902020071616582429084"</f>
        <v>21902020071616582429084</v>
      </c>
      <c r="C2951" s="8" t="s">
        <v>22</v>
      </c>
      <c r="D2951" s="8" t="str">
        <f>"王美霞"</f>
        <v>王美霞</v>
      </c>
      <c r="E2951" s="8" t="str">
        <f aca="true" t="shared" si="377" ref="E2951:E2953">"女"</f>
        <v>女</v>
      </c>
    </row>
    <row r="2952" spans="1:5" s="3" customFormat="1" ht="19.5" customHeight="1">
      <c r="A2952" s="8">
        <v>2950</v>
      </c>
      <c r="B2952" s="8" t="str">
        <f>"21902020071617174929098"</f>
        <v>21902020071617174929098</v>
      </c>
      <c r="C2952" s="8" t="s">
        <v>22</v>
      </c>
      <c r="D2952" s="8" t="str">
        <f>"朱万英"</f>
        <v>朱万英</v>
      </c>
      <c r="E2952" s="8" t="str">
        <f t="shared" si="377"/>
        <v>女</v>
      </c>
    </row>
    <row r="2953" spans="1:5" s="3" customFormat="1" ht="19.5" customHeight="1">
      <c r="A2953" s="8">
        <v>2951</v>
      </c>
      <c r="B2953" s="8" t="str">
        <f>"21902020071619145929162"</f>
        <v>21902020071619145929162</v>
      </c>
      <c r="C2953" s="8" t="s">
        <v>22</v>
      </c>
      <c r="D2953" s="8" t="str">
        <f>"吴海灵"</f>
        <v>吴海灵</v>
      </c>
      <c r="E2953" s="8" t="str">
        <f t="shared" si="377"/>
        <v>女</v>
      </c>
    </row>
    <row r="2954" spans="1:5" s="3" customFormat="1" ht="19.5" customHeight="1">
      <c r="A2954" s="8">
        <v>2952</v>
      </c>
      <c r="B2954" s="8" t="str">
        <f>"21902020071701262529310"</f>
        <v>21902020071701262529310</v>
      </c>
      <c r="C2954" s="8" t="s">
        <v>22</v>
      </c>
      <c r="D2954" s="8" t="str">
        <f>"曾圣强"</f>
        <v>曾圣强</v>
      </c>
      <c r="E2954" s="8" t="str">
        <f>"男"</f>
        <v>男</v>
      </c>
    </row>
    <row r="2955" spans="1:5" s="3" customFormat="1" ht="19.5" customHeight="1">
      <c r="A2955" s="8">
        <v>2953</v>
      </c>
      <c r="B2955" s="8" t="str">
        <f>"21902020071707413029319"</f>
        <v>21902020071707413029319</v>
      </c>
      <c r="C2955" s="8" t="s">
        <v>22</v>
      </c>
      <c r="D2955" s="8" t="str">
        <f>"赵凤菊"</f>
        <v>赵凤菊</v>
      </c>
      <c r="E2955" s="8" t="str">
        <f aca="true" t="shared" si="378" ref="E2955:E2962">"女"</f>
        <v>女</v>
      </c>
    </row>
    <row r="2956" spans="1:5" s="3" customFormat="1" ht="19.5" customHeight="1">
      <c r="A2956" s="8">
        <v>2954</v>
      </c>
      <c r="B2956" s="8" t="str">
        <f>"21902020071708235429329"</f>
        <v>21902020071708235429329</v>
      </c>
      <c r="C2956" s="8" t="s">
        <v>22</v>
      </c>
      <c r="D2956" s="8" t="str">
        <f>"梁金丽"</f>
        <v>梁金丽</v>
      </c>
      <c r="E2956" s="8" t="str">
        <f t="shared" si="378"/>
        <v>女</v>
      </c>
    </row>
    <row r="2957" spans="1:5" s="3" customFormat="1" ht="19.5" customHeight="1">
      <c r="A2957" s="8">
        <v>2955</v>
      </c>
      <c r="B2957" s="8" t="str">
        <f>"21902020071709445029377"</f>
        <v>21902020071709445029377</v>
      </c>
      <c r="C2957" s="8" t="s">
        <v>22</v>
      </c>
      <c r="D2957" s="8" t="str">
        <f>"薛月翠"</f>
        <v>薛月翠</v>
      </c>
      <c r="E2957" s="8" t="str">
        <f t="shared" si="378"/>
        <v>女</v>
      </c>
    </row>
    <row r="2958" spans="1:5" s="3" customFormat="1" ht="19.5" customHeight="1">
      <c r="A2958" s="8">
        <v>2956</v>
      </c>
      <c r="B2958" s="8" t="str">
        <f>"21902020071710523029424"</f>
        <v>21902020071710523029424</v>
      </c>
      <c r="C2958" s="8" t="s">
        <v>22</v>
      </c>
      <c r="D2958" s="8" t="str">
        <f>"林前善"</f>
        <v>林前善</v>
      </c>
      <c r="E2958" s="8" t="str">
        <f t="shared" si="378"/>
        <v>女</v>
      </c>
    </row>
    <row r="2959" spans="1:5" s="3" customFormat="1" ht="19.5" customHeight="1">
      <c r="A2959" s="8">
        <v>2957</v>
      </c>
      <c r="B2959" s="8" t="str">
        <f>"21902020071710572529430"</f>
        <v>21902020071710572529430</v>
      </c>
      <c r="C2959" s="8" t="s">
        <v>22</v>
      </c>
      <c r="D2959" s="8" t="str">
        <f>"万恒娴"</f>
        <v>万恒娴</v>
      </c>
      <c r="E2959" s="8" t="str">
        <f t="shared" si="378"/>
        <v>女</v>
      </c>
    </row>
    <row r="2960" spans="1:5" s="3" customFormat="1" ht="19.5" customHeight="1">
      <c r="A2960" s="8">
        <v>2958</v>
      </c>
      <c r="B2960" s="8" t="str">
        <f>"21902020071712404029500"</f>
        <v>21902020071712404029500</v>
      </c>
      <c r="C2960" s="8" t="s">
        <v>22</v>
      </c>
      <c r="D2960" s="8" t="str">
        <f>"麦浩丽"</f>
        <v>麦浩丽</v>
      </c>
      <c r="E2960" s="8" t="str">
        <f t="shared" si="378"/>
        <v>女</v>
      </c>
    </row>
    <row r="2961" spans="1:5" s="3" customFormat="1" ht="19.5" customHeight="1">
      <c r="A2961" s="8">
        <v>2959</v>
      </c>
      <c r="B2961" s="8" t="str">
        <f>"21902020071714231529547"</f>
        <v>21902020071714231529547</v>
      </c>
      <c r="C2961" s="8" t="s">
        <v>22</v>
      </c>
      <c r="D2961" s="8" t="str">
        <f>"何宝玲"</f>
        <v>何宝玲</v>
      </c>
      <c r="E2961" s="8" t="str">
        <f t="shared" si="378"/>
        <v>女</v>
      </c>
    </row>
    <row r="2962" spans="1:5" s="3" customFormat="1" ht="19.5" customHeight="1">
      <c r="A2962" s="8">
        <v>2960</v>
      </c>
      <c r="B2962" s="8" t="str">
        <f>"21902020071714432329561"</f>
        <v>21902020071714432329561</v>
      </c>
      <c r="C2962" s="8" t="s">
        <v>22</v>
      </c>
      <c r="D2962" s="8" t="str">
        <f>"许文婷"</f>
        <v>许文婷</v>
      </c>
      <c r="E2962" s="8" t="str">
        <f t="shared" si="378"/>
        <v>女</v>
      </c>
    </row>
    <row r="2963" spans="1:5" s="3" customFormat="1" ht="19.5" customHeight="1">
      <c r="A2963" s="8">
        <v>2961</v>
      </c>
      <c r="B2963" s="8" t="str">
        <f>"21902020071716264029640"</f>
        <v>21902020071716264029640</v>
      </c>
      <c r="C2963" s="8" t="s">
        <v>22</v>
      </c>
      <c r="D2963" s="8" t="str">
        <f>"谢群达"</f>
        <v>谢群达</v>
      </c>
      <c r="E2963" s="8" t="str">
        <f aca="true" t="shared" si="379" ref="E2963:E2965">"男"</f>
        <v>男</v>
      </c>
    </row>
    <row r="2964" spans="1:5" s="3" customFormat="1" ht="19.5" customHeight="1">
      <c r="A2964" s="8">
        <v>2962</v>
      </c>
      <c r="B2964" s="8" t="str">
        <f>"21902020071812241329887"</f>
        <v>21902020071812241329887</v>
      </c>
      <c r="C2964" s="8" t="s">
        <v>22</v>
      </c>
      <c r="D2964" s="8" t="str">
        <f>"李科"</f>
        <v>李科</v>
      </c>
      <c r="E2964" s="8" t="str">
        <f t="shared" si="379"/>
        <v>男</v>
      </c>
    </row>
    <row r="2965" spans="1:5" s="3" customFormat="1" ht="19.5" customHeight="1">
      <c r="A2965" s="8">
        <v>2963</v>
      </c>
      <c r="B2965" s="8" t="str">
        <f>"21902020071813363129915"</f>
        <v>21902020071813363129915</v>
      </c>
      <c r="C2965" s="8" t="s">
        <v>22</v>
      </c>
      <c r="D2965" s="8" t="str">
        <f>"吴万国"</f>
        <v>吴万国</v>
      </c>
      <c r="E2965" s="8" t="str">
        <f t="shared" si="379"/>
        <v>男</v>
      </c>
    </row>
    <row r="2966" spans="1:5" s="3" customFormat="1" ht="19.5" customHeight="1">
      <c r="A2966" s="8">
        <v>2964</v>
      </c>
      <c r="B2966" s="8" t="str">
        <f>"21902020071814133729926"</f>
        <v>21902020071814133729926</v>
      </c>
      <c r="C2966" s="8" t="s">
        <v>22</v>
      </c>
      <c r="D2966" s="8" t="str">
        <f>"林建柳"</f>
        <v>林建柳</v>
      </c>
      <c r="E2966" s="8" t="str">
        <f aca="true" t="shared" si="380" ref="E2966:E2969">"女"</f>
        <v>女</v>
      </c>
    </row>
    <row r="2967" spans="1:5" s="3" customFormat="1" ht="19.5" customHeight="1">
      <c r="A2967" s="8">
        <v>2965</v>
      </c>
      <c r="B2967" s="8" t="str">
        <f>"21902020071818174729994"</f>
        <v>21902020071818174729994</v>
      </c>
      <c r="C2967" s="8" t="s">
        <v>22</v>
      </c>
      <c r="D2967" s="8" t="str">
        <f>"符菊梅"</f>
        <v>符菊梅</v>
      </c>
      <c r="E2967" s="8" t="str">
        <f t="shared" si="380"/>
        <v>女</v>
      </c>
    </row>
    <row r="2968" spans="1:5" s="3" customFormat="1" ht="19.5" customHeight="1">
      <c r="A2968" s="8">
        <v>2966</v>
      </c>
      <c r="B2968" s="8" t="str">
        <f>"21902020071819381830018"</f>
        <v>21902020071819381830018</v>
      </c>
      <c r="C2968" s="8" t="s">
        <v>22</v>
      </c>
      <c r="D2968" s="8" t="str">
        <f>"陈金宁"</f>
        <v>陈金宁</v>
      </c>
      <c r="E2968" s="8" t="str">
        <f aca="true" t="shared" si="381" ref="E2968:E2971">"男"</f>
        <v>男</v>
      </c>
    </row>
    <row r="2969" spans="1:5" s="3" customFormat="1" ht="19.5" customHeight="1">
      <c r="A2969" s="8">
        <v>2967</v>
      </c>
      <c r="B2969" s="8" t="str">
        <f>"21902020071909270930102"</f>
        <v>21902020071909270930102</v>
      </c>
      <c r="C2969" s="8" t="s">
        <v>22</v>
      </c>
      <c r="D2969" s="8" t="str">
        <f>"郑学艳"</f>
        <v>郑学艳</v>
      </c>
      <c r="E2969" s="8" t="str">
        <f t="shared" si="380"/>
        <v>女</v>
      </c>
    </row>
    <row r="2970" spans="1:5" s="3" customFormat="1" ht="19.5" customHeight="1">
      <c r="A2970" s="8">
        <v>2968</v>
      </c>
      <c r="B2970" s="8" t="str">
        <f>"21902020071911290630141"</f>
        <v>21902020071911290630141</v>
      </c>
      <c r="C2970" s="8" t="s">
        <v>22</v>
      </c>
      <c r="D2970" s="8" t="str">
        <f>"钟以彬"</f>
        <v>钟以彬</v>
      </c>
      <c r="E2970" s="8" t="str">
        <f t="shared" si="381"/>
        <v>男</v>
      </c>
    </row>
    <row r="2971" spans="1:5" s="3" customFormat="1" ht="19.5" customHeight="1">
      <c r="A2971" s="8">
        <v>2969</v>
      </c>
      <c r="B2971" s="8" t="str">
        <f>"21902020071919054930307"</f>
        <v>21902020071919054930307</v>
      </c>
      <c r="C2971" s="8" t="s">
        <v>22</v>
      </c>
      <c r="D2971" s="8" t="str">
        <f>"何有岗"</f>
        <v>何有岗</v>
      </c>
      <c r="E2971" s="8" t="str">
        <f t="shared" si="381"/>
        <v>男</v>
      </c>
    </row>
    <row r="2972" spans="1:5" s="3" customFormat="1" ht="19.5" customHeight="1">
      <c r="A2972" s="8">
        <v>2970</v>
      </c>
      <c r="B2972" s="8" t="str">
        <f>"21902020072008542430448"</f>
        <v>21902020072008542430448</v>
      </c>
      <c r="C2972" s="8" t="s">
        <v>22</v>
      </c>
      <c r="D2972" s="8" t="str">
        <f>"余建翠"</f>
        <v>余建翠</v>
      </c>
      <c r="E2972" s="8" t="str">
        <f aca="true" t="shared" si="382" ref="E2972:E2975">"女"</f>
        <v>女</v>
      </c>
    </row>
    <row r="2973" spans="1:5" s="3" customFormat="1" ht="19.5" customHeight="1">
      <c r="A2973" s="8">
        <v>2971</v>
      </c>
      <c r="B2973" s="8" t="str">
        <f>"21902020072012321230613"</f>
        <v>21902020072012321230613</v>
      </c>
      <c r="C2973" s="8" t="s">
        <v>22</v>
      </c>
      <c r="D2973" s="8" t="str">
        <f>"吴正丽"</f>
        <v>吴正丽</v>
      </c>
      <c r="E2973" s="8" t="str">
        <f t="shared" si="382"/>
        <v>女</v>
      </c>
    </row>
    <row r="2974" spans="1:5" s="3" customFormat="1" ht="19.5" customHeight="1">
      <c r="A2974" s="8">
        <v>2972</v>
      </c>
      <c r="B2974" s="8" t="str">
        <f>"21902020072013221730650"</f>
        <v>21902020072013221730650</v>
      </c>
      <c r="C2974" s="8" t="s">
        <v>22</v>
      </c>
      <c r="D2974" s="8" t="str">
        <f>"叶汉然"</f>
        <v>叶汉然</v>
      </c>
      <c r="E2974" s="8" t="str">
        <f aca="true" t="shared" si="383" ref="E2974:E2979">"男"</f>
        <v>男</v>
      </c>
    </row>
    <row r="2975" spans="1:5" s="3" customFormat="1" ht="19.5" customHeight="1">
      <c r="A2975" s="8">
        <v>2973</v>
      </c>
      <c r="B2975" s="8" t="str">
        <f>"21902020072015102630718"</f>
        <v>21902020072015102630718</v>
      </c>
      <c r="C2975" s="8" t="s">
        <v>22</v>
      </c>
      <c r="D2975" s="8" t="str">
        <f>"李芳"</f>
        <v>李芳</v>
      </c>
      <c r="E2975" s="8" t="str">
        <f t="shared" si="382"/>
        <v>女</v>
      </c>
    </row>
    <row r="2976" spans="1:5" s="3" customFormat="1" ht="19.5" customHeight="1">
      <c r="A2976" s="8">
        <v>2974</v>
      </c>
      <c r="B2976" s="8" t="str">
        <f>"21902020071409181626054"</f>
        <v>21902020071409181626054</v>
      </c>
      <c r="C2976" s="8" t="s">
        <v>23</v>
      </c>
      <c r="D2976" s="8" t="str">
        <f>"赵华志"</f>
        <v>赵华志</v>
      </c>
      <c r="E2976" s="8" t="str">
        <f t="shared" si="383"/>
        <v>男</v>
      </c>
    </row>
    <row r="2977" spans="1:5" s="3" customFormat="1" ht="19.5" customHeight="1">
      <c r="A2977" s="8">
        <v>2975</v>
      </c>
      <c r="B2977" s="8" t="str">
        <f>"21902020071409220626080"</f>
        <v>21902020071409220626080</v>
      </c>
      <c r="C2977" s="8" t="s">
        <v>23</v>
      </c>
      <c r="D2977" s="8" t="str">
        <f>"林卓光"</f>
        <v>林卓光</v>
      </c>
      <c r="E2977" s="8" t="str">
        <f t="shared" si="383"/>
        <v>男</v>
      </c>
    </row>
    <row r="2978" spans="1:5" s="3" customFormat="1" ht="19.5" customHeight="1">
      <c r="A2978" s="8">
        <v>2976</v>
      </c>
      <c r="B2978" s="8" t="str">
        <f>"21902020071410440826422"</f>
        <v>21902020071410440826422</v>
      </c>
      <c r="C2978" s="8" t="s">
        <v>23</v>
      </c>
      <c r="D2978" s="8" t="str">
        <f>"吴健宁"</f>
        <v>吴健宁</v>
      </c>
      <c r="E2978" s="8" t="str">
        <f t="shared" si="383"/>
        <v>男</v>
      </c>
    </row>
    <row r="2979" spans="1:5" s="3" customFormat="1" ht="19.5" customHeight="1">
      <c r="A2979" s="8">
        <v>2977</v>
      </c>
      <c r="B2979" s="8" t="str">
        <f>"21902020071411370126576"</f>
        <v>21902020071411370126576</v>
      </c>
      <c r="C2979" s="8" t="s">
        <v>23</v>
      </c>
      <c r="D2979" s="8" t="str">
        <f>"吴壮贤"</f>
        <v>吴壮贤</v>
      </c>
      <c r="E2979" s="8" t="str">
        <f t="shared" si="383"/>
        <v>男</v>
      </c>
    </row>
    <row r="2980" spans="1:5" s="3" customFormat="1" ht="19.5" customHeight="1">
      <c r="A2980" s="8">
        <v>2978</v>
      </c>
      <c r="B2980" s="8" t="str">
        <f>"21902020071411431826575"</f>
        <v>21902020071411431826575</v>
      </c>
      <c r="C2980" s="8" t="s">
        <v>23</v>
      </c>
      <c r="D2980" s="8" t="str">
        <f>"陈娟"</f>
        <v>陈娟</v>
      </c>
      <c r="E2980" s="8" t="str">
        <f aca="true" t="shared" si="384" ref="E2980:E2984">"女"</f>
        <v>女</v>
      </c>
    </row>
    <row r="2981" spans="1:5" s="3" customFormat="1" ht="19.5" customHeight="1">
      <c r="A2981" s="8">
        <v>2979</v>
      </c>
      <c r="B2981" s="8" t="str">
        <f>"21902020071412590926731"</f>
        <v>21902020071412590926731</v>
      </c>
      <c r="C2981" s="8" t="s">
        <v>23</v>
      </c>
      <c r="D2981" s="8" t="str">
        <f>"李武"</f>
        <v>李武</v>
      </c>
      <c r="E2981" s="8" t="str">
        <f aca="true" t="shared" si="385" ref="E2981:E2987">"男"</f>
        <v>男</v>
      </c>
    </row>
    <row r="2982" spans="1:5" s="3" customFormat="1" ht="19.5" customHeight="1">
      <c r="A2982" s="8">
        <v>2980</v>
      </c>
      <c r="B2982" s="8" t="str">
        <f>"21902020071414302326855"</f>
        <v>21902020071414302326855</v>
      </c>
      <c r="C2982" s="8" t="s">
        <v>23</v>
      </c>
      <c r="D2982" s="8" t="str">
        <f>"林造欢"</f>
        <v>林造欢</v>
      </c>
      <c r="E2982" s="8" t="str">
        <f t="shared" si="384"/>
        <v>女</v>
      </c>
    </row>
    <row r="2983" spans="1:5" s="3" customFormat="1" ht="19.5" customHeight="1">
      <c r="A2983" s="8">
        <v>2981</v>
      </c>
      <c r="B2983" s="8" t="str">
        <f>"21902020071416084627022"</f>
        <v>21902020071416084627022</v>
      </c>
      <c r="C2983" s="8" t="s">
        <v>23</v>
      </c>
      <c r="D2983" s="8" t="str">
        <f>"林丽祺"</f>
        <v>林丽祺</v>
      </c>
      <c r="E2983" s="8" t="str">
        <f t="shared" si="384"/>
        <v>女</v>
      </c>
    </row>
    <row r="2984" spans="1:5" s="3" customFormat="1" ht="19.5" customHeight="1">
      <c r="A2984" s="8">
        <v>2982</v>
      </c>
      <c r="B2984" s="8" t="str">
        <f>"21902020071416212727044"</f>
        <v>21902020071416212727044</v>
      </c>
      <c r="C2984" s="8" t="s">
        <v>23</v>
      </c>
      <c r="D2984" s="8" t="str">
        <f>"黎雄姣"</f>
        <v>黎雄姣</v>
      </c>
      <c r="E2984" s="8" t="str">
        <f t="shared" si="384"/>
        <v>女</v>
      </c>
    </row>
    <row r="2985" spans="1:5" s="3" customFormat="1" ht="19.5" customHeight="1">
      <c r="A2985" s="8">
        <v>2983</v>
      </c>
      <c r="B2985" s="8" t="str">
        <f>"21902020071416355227078"</f>
        <v>21902020071416355227078</v>
      </c>
      <c r="C2985" s="8" t="s">
        <v>23</v>
      </c>
      <c r="D2985" s="8" t="str">
        <f>"谢和延"</f>
        <v>谢和延</v>
      </c>
      <c r="E2985" s="8" t="str">
        <f t="shared" si="385"/>
        <v>男</v>
      </c>
    </row>
    <row r="2986" spans="1:5" s="3" customFormat="1" ht="19.5" customHeight="1">
      <c r="A2986" s="8">
        <v>2984</v>
      </c>
      <c r="B2986" s="8" t="str">
        <f>"21902020071416530927113"</f>
        <v>21902020071416530927113</v>
      </c>
      <c r="C2986" s="8" t="s">
        <v>23</v>
      </c>
      <c r="D2986" s="8" t="str">
        <f>"吴浩东"</f>
        <v>吴浩东</v>
      </c>
      <c r="E2986" s="8" t="str">
        <f t="shared" si="385"/>
        <v>男</v>
      </c>
    </row>
    <row r="2987" spans="1:5" s="3" customFormat="1" ht="19.5" customHeight="1">
      <c r="A2987" s="8">
        <v>2985</v>
      </c>
      <c r="B2987" s="8" t="str">
        <f>"21902020071421021027436"</f>
        <v>21902020071421021027436</v>
      </c>
      <c r="C2987" s="8" t="s">
        <v>23</v>
      </c>
      <c r="D2987" s="8" t="str">
        <f>"张盛强"</f>
        <v>张盛强</v>
      </c>
      <c r="E2987" s="8" t="str">
        <f t="shared" si="385"/>
        <v>男</v>
      </c>
    </row>
    <row r="2988" spans="1:5" s="3" customFormat="1" ht="19.5" customHeight="1">
      <c r="A2988" s="8">
        <v>2986</v>
      </c>
      <c r="B2988" s="8" t="str">
        <f>"21902020071422213027531"</f>
        <v>21902020071422213027531</v>
      </c>
      <c r="C2988" s="8" t="s">
        <v>23</v>
      </c>
      <c r="D2988" s="8" t="str">
        <f>"洪有春"</f>
        <v>洪有春</v>
      </c>
      <c r="E2988" s="8" t="str">
        <f aca="true" t="shared" si="386" ref="E2988:E2991">"女"</f>
        <v>女</v>
      </c>
    </row>
    <row r="2989" spans="1:5" s="3" customFormat="1" ht="19.5" customHeight="1">
      <c r="A2989" s="8">
        <v>2987</v>
      </c>
      <c r="B2989" s="8" t="str">
        <f>"21902020071422355827556"</f>
        <v>21902020071422355827556</v>
      </c>
      <c r="C2989" s="8" t="s">
        <v>23</v>
      </c>
      <c r="D2989" s="8" t="str">
        <f>"林明妃"</f>
        <v>林明妃</v>
      </c>
      <c r="E2989" s="8" t="str">
        <f t="shared" si="386"/>
        <v>女</v>
      </c>
    </row>
    <row r="2990" spans="1:5" s="3" customFormat="1" ht="19.5" customHeight="1">
      <c r="A2990" s="8">
        <v>2988</v>
      </c>
      <c r="B2990" s="8" t="str">
        <f>"21902020071423490627628"</f>
        <v>21902020071423490627628</v>
      </c>
      <c r="C2990" s="8" t="s">
        <v>23</v>
      </c>
      <c r="D2990" s="8" t="str">
        <f>"刘瑞府"</f>
        <v>刘瑞府</v>
      </c>
      <c r="E2990" s="8" t="str">
        <f aca="true" t="shared" si="387" ref="E2990:E2993">"男"</f>
        <v>男</v>
      </c>
    </row>
    <row r="2991" spans="1:5" s="3" customFormat="1" ht="19.5" customHeight="1">
      <c r="A2991" s="8">
        <v>2989</v>
      </c>
      <c r="B2991" s="8" t="str">
        <f>"21902020071500480227649"</f>
        <v>21902020071500480227649</v>
      </c>
      <c r="C2991" s="8" t="s">
        <v>23</v>
      </c>
      <c r="D2991" s="8" t="str">
        <f>"罗梦熙"</f>
        <v>罗梦熙</v>
      </c>
      <c r="E2991" s="8" t="str">
        <f t="shared" si="386"/>
        <v>女</v>
      </c>
    </row>
    <row r="2992" spans="1:5" s="3" customFormat="1" ht="19.5" customHeight="1">
      <c r="A2992" s="8">
        <v>2990</v>
      </c>
      <c r="B2992" s="8" t="str">
        <f>"21902020071509460327808"</f>
        <v>21902020071509460327808</v>
      </c>
      <c r="C2992" s="8" t="s">
        <v>23</v>
      </c>
      <c r="D2992" s="8" t="str">
        <f>"牛学成"</f>
        <v>牛学成</v>
      </c>
      <c r="E2992" s="8" t="str">
        <f t="shared" si="387"/>
        <v>男</v>
      </c>
    </row>
    <row r="2993" spans="1:5" s="3" customFormat="1" ht="19.5" customHeight="1">
      <c r="A2993" s="8">
        <v>2991</v>
      </c>
      <c r="B2993" s="8" t="str">
        <f>"21902020071511041327928"</f>
        <v>21902020071511041327928</v>
      </c>
      <c r="C2993" s="8" t="s">
        <v>23</v>
      </c>
      <c r="D2993" s="8" t="str">
        <f>"朱衍卿"</f>
        <v>朱衍卿</v>
      </c>
      <c r="E2993" s="8" t="str">
        <f t="shared" si="387"/>
        <v>男</v>
      </c>
    </row>
    <row r="2994" spans="1:5" s="3" customFormat="1" ht="19.5" customHeight="1">
      <c r="A2994" s="8">
        <v>2992</v>
      </c>
      <c r="B2994" s="8" t="str">
        <f>"21902020071514435428133"</f>
        <v>21902020071514435428133</v>
      </c>
      <c r="C2994" s="8" t="s">
        <v>23</v>
      </c>
      <c r="D2994" s="8" t="str">
        <f>"刘梅竹"</f>
        <v>刘梅竹</v>
      </c>
      <c r="E2994" s="8" t="str">
        <f>"女"</f>
        <v>女</v>
      </c>
    </row>
    <row r="2995" spans="1:5" s="3" customFormat="1" ht="19.5" customHeight="1">
      <c r="A2995" s="8">
        <v>2993</v>
      </c>
      <c r="B2995" s="8" t="str">
        <f>"21902020071516324928256"</f>
        <v>21902020071516324928256</v>
      </c>
      <c r="C2995" s="8" t="s">
        <v>23</v>
      </c>
      <c r="D2995" s="8" t="str">
        <f>"郑艳艳"</f>
        <v>郑艳艳</v>
      </c>
      <c r="E2995" s="8" t="str">
        <f>"女"</f>
        <v>女</v>
      </c>
    </row>
    <row r="2996" spans="1:5" s="3" customFormat="1" ht="19.5" customHeight="1">
      <c r="A2996" s="8">
        <v>2994</v>
      </c>
      <c r="B2996" s="8" t="str">
        <f>"21902020071516384828264"</f>
        <v>21902020071516384828264</v>
      </c>
      <c r="C2996" s="8" t="s">
        <v>23</v>
      </c>
      <c r="D2996" s="8" t="str">
        <f>"李诗杰"</f>
        <v>李诗杰</v>
      </c>
      <c r="E2996" s="8" t="str">
        <f aca="true" t="shared" si="388" ref="E2996:E2999">"男"</f>
        <v>男</v>
      </c>
    </row>
    <row r="2997" spans="1:5" s="3" customFormat="1" ht="19.5" customHeight="1">
      <c r="A2997" s="8">
        <v>2995</v>
      </c>
      <c r="B2997" s="8" t="str">
        <f>"21902020071516393828265"</f>
        <v>21902020071516393828265</v>
      </c>
      <c r="C2997" s="8" t="s">
        <v>23</v>
      </c>
      <c r="D2997" s="8" t="str">
        <f>"陈炳三"</f>
        <v>陈炳三</v>
      </c>
      <c r="E2997" s="8" t="str">
        <f t="shared" si="388"/>
        <v>男</v>
      </c>
    </row>
    <row r="2998" spans="1:5" s="3" customFormat="1" ht="19.5" customHeight="1">
      <c r="A2998" s="8">
        <v>2996</v>
      </c>
      <c r="B2998" s="8" t="str">
        <f>"21902020071517062828303"</f>
        <v>21902020071517062828303</v>
      </c>
      <c r="C2998" s="8" t="s">
        <v>23</v>
      </c>
      <c r="D2998" s="8" t="str">
        <f>"李磊"</f>
        <v>李磊</v>
      </c>
      <c r="E2998" s="8" t="str">
        <f t="shared" si="388"/>
        <v>男</v>
      </c>
    </row>
    <row r="2999" spans="1:5" s="3" customFormat="1" ht="19.5" customHeight="1">
      <c r="A2999" s="8">
        <v>2997</v>
      </c>
      <c r="B2999" s="8" t="str">
        <f>"21902020071517302128325"</f>
        <v>21902020071517302128325</v>
      </c>
      <c r="C2999" s="8" t="s">
        <v>23</v>
      </c>
      <c r="D2999" s="8" t="str">
        <f>"吴国赞"</f>
        <v>吴国赞</v>
      </c>
      <c r="E2999" s="8" t="str">
        <f t="shared" si="388"/>
        <v>男</v>
      </c>
    </row>
    <row r="3000" spans="1:5" s="3" customFormat="1" ht="19.5" customHeight="1">
      <c r="A3000" s="8">
        <v>2998</v>
      </c>
      <c r="B3000" s="8" t="str">
        <f>"21902020071517474628345"</f>
        <v>21902020071517474628345</v>
      </c>
      <c r="C3000" s="8" t="s">
        <v>23</v>
      </c>
      <c r="D3000" s="8" t="str">
        <f>"郭青莲"</f>
        <v>郭青莲</v>
      </c>
      <c r="E3000" s="8" t="str">
        <f aca="true" t="shared" si="389" ref="E3000:E3003">"女"</f>
        <v>女</v>
      </c>
    </row>
    <row r="3001" spans="1:5" s="3" customFormat="1" ht="19.5" customHeight="1">
      <c r="A3001" s="8">
        <v>2999</v>
      </c>
      <c r="B3001" s="8" t="str">
        <f>"21902020071521423928528"</f>
        <v>21902020071521423928528</v>
      </c>
      <c r="C3001" s="8" t="s">
        <v>23</v>
      </c>
      <c r="D3001" s="8" t="str">
        <f>"彭荣文"</f>
        <v>彭荣文</v>
      </c>
      <c r="E3001" s="8" t="str">
        <f>"男"</f>
        <v>男</v>
      </c>
    </row>
    <row r="3002" spans="1:5" s="3" customFormat="1" ht="19.5" customHeight="1">
      <c r="A3002" s="8">
        <v>3000</v>
      </c>
      <c r="B3002" s="8" t="str">
        <f>"21902020071608482228693"</f>
        <v>21902020071608482228693</v>
      </c>
      <c r="C3002" s="8" t="s">
        <v>23</v>
      </c>
      <c r="D3002" s="8" t="str">
        <f>"吴万惠"</f>
        <v>吴万惠</v>
      </c>
      <c r="E3002" s="8" t="str">
        <f t="shared" si="389"/>
        <v>女</v>
      </c>
    </row>
    <row r="3003" spans="1:5" s="3" customFormat="1" ht="19.5" customHeight="1">
      <c r="A3003" s="8">
        <v>3001</v>
      </c>
      <c r="B3003" s="8" t="str">
        <f>"21902020071608501228695"</f>
        <v>21902020071608501228695</v>
      </c>
      <c r="C3003" s="8" t="s">
        <v>23</v>
      </c>
      <c r="D3003" s="8" t="str">
        <f>"董丽玲"</f>
        <v>董丽玲</v>
      </c>
      <c r="E3003" s="8" t="str">
        <f t="shared" si="389"/>
        <v>女</v>
      </c>
    </row>
    <row r="3004" spans="1:5" s="3" customFormat="1" ht="19.5" customHeight="1">
      <c r="A3004" s="8">
        <v>3002</v>
      </c>
      <c r="B3004" s="8" t="str">
        <f>"21902020071609341028731"</f>
        <v>21902020071609341028731</v>
      </c>
      <c r="C3004" s="8" t="s">
        <v>23</v>
      </c>
      <c r="D3004" s="8" t="str">
        <f>"何益全"</f>
        <v>何益全</v>
      </c>
      <c r="E3004" s="8" t="str">
        <f aca="true" t="shared" si="390" ref="E3004:E3010">"男"</f>
        <v>男</v>
      </c>
    </row>
    <row r="3005" spans="1:5" s="3" customFormat="1" ht="19.5" customHeight="1">
      <c r="A3005" s="8">
        <v>3003</v>
      </c>
      <c r="B3005" s="8" t="str">
        <f>"21902020071611030328808"</f>
        <v>21902020071611030328808</v>
      </c>
      <c r="C3005" s="8" t="s">
        <v>23</v>
      </c>
      <c r="D3005" s="8" t="str">
        <f>"羊春丹"</f>
        <v>羊春丹</v>
      </c>
      <c r="E3005" s="8" t="str">
        <f>"女"</f>
        <v>女</v>
      </c>
    </row>
    <row r="3006" spans="1:5" s="3" customFormat="1" ht="19.5" customHeight="1">
      <c r="A3006" s="8">
        <v>3004</v>
      </c>
      <c r="B3006" s="8" t="str">
        <f>"21902020071611260428837"</f>
        <v>21902020071611260428837</v>
      </c>
      <c r="C3006" s="8" t="s">
        <v>23</v>
      </c>
      <c r="D3006" s="8" t="str">
        <f>"李香"</f>
        <v>李香</v>
      </c>
      <c r="E3006" s="8" t="str">
        <f>"女"</f>
        <v>女</v>
      </c>
    </row>
    <row r="3007" spans="1:5" s="3" customFormat="1" ht="19.5" customHeight="1">
      <c r="A3007" s="8">
        <v>3005</v>
      </c>
      <c r="B3007" s="8" t="str">
        <f>"21902020071611384528846"</f>
        <v>21902020071611384528846</v>
      </c>
      <c r="C3007" s="8" t="s">
        <v>23</v>
      </c>
      <c r="D3007" s="8" t="str">
        <f>"林锡精"</f>
        <v>林锡精</v>
      </c>
      <c r="E3007" s="8" t="str">
        <f t="shared" si="390"/>
        <v>男</v>
      </c>
    </row>
    <row r="3008" spans="1:5" s="3" customFormat="1" ht="19.5" customHeight="1">
      <c r="A3008" s="8">
        <v>3006</v>
      </c>
      <c r="B3008" s="8" t="str">
        <f>"21902020071616290529057"</f>
        <v>21902020071616290529057</v>
      </c>
      <c r="C3008" s="8" t="s">
        <v>23</v>
      </c>
      <c r="D3008" s="8" t="str">
        <f>"唐侯坚"</f>
        <v>唐侯坚</v>
      </c>
      <c r="E3008" s="8" t="str">
        <f t="shared" si="390"/>
        <v>男</v>
      </c>
    </row>
    <row r="3009" spans="1:5" s="3" customFormat="1" ht="19.5" customHeight="1">
      <c r="A3009" s="8">
        <v>3007</v>
      </c>
      <c r="B3009" s="8" t="str">
        <f>"21902020071617103729090"</f>
        <v>21902020071617103729090</v>
      </c>
      <c r="C3009" s="8" t="s">
        <v>23</v>
      </c>
      <c r="D3009" s="8" t="str">
        <f>"吴永嘉"</f>
        <v>吴永嘉</v>
      </c>
      <c r="E3009" s="8" t="str">
        <f t="shared" si="390"/>
        <v>男</v>
      </c>
    </row>
    <row r="3010" spans="1:5" s="3" customFormat="1" ht="19.5" customHeight="1">
      <c r="A3010" s="8">
        <v>3008</v>
      </c>
      <c r="B3010" s="8" t="str">
        <f>"21902020071622094929248"</f>
        <v>21902020071622094929248</v>
      </c>
      <c r="C3010" s="8" t="s">
        <v>23</v>
      </c>
      <c r="D3010" s="8" t="str">
        <f>"谢晓多"</f>
        <v>谢晓多</v>
      </c>
      <c r="E3010" s="8" t="str">
        <f t="shared" si="390"/>
        <v>男</v>
      </c>
    </row>
    <row r="3011" spans="1:5" s="3" customFormat="1" ht="19.5" customHeight="1">
      <c r="A3011" s="8">
        <v>3009</v>
      </c>
      <c r="B3011" s="8" t="str">
        <f>"21902020071622493929274"</f>
        <v>21902020071622493929274</v>
      </c>
      <c r="C3011" s="8" t="s">
        <v>23</v>
      </c>
      <c r="D3011" s="8" t="str">
        <f>"郑江妃"</f>
        <v>郑江妃</v>
      </c>
      <c r="E3011" s="8" t="str">
        <f aca="true" t="shared" si="391" ref="E3011:E3013">"女"</f>
        <v>女</v>
      </c>
    </row>
    <row r="3012" spans="1:5" s="3" customFormat="1" ht="19.5" customHeight="1">
      <c r="A3012" s="8">
        <v>3010</v>
      </c>
      <c r="B3012" s="8" t="str">
        <f>"21902020071623452129300"</f>
        <v>21902020071623452129300</v>
      </c>
      <c r="C3012" s="8" t="s">
        <v>23</v>
      </c>
      <c r="D3012" s="8" t="str">
        <f>"陈品男"</f>
        <v>陈品男</v>
      </c>
      <c r="E3012" s="8" t="str">
        <f t="shared" si="391"/>
        <v>女</v>
      </c>
    </row>
    <row r="3013" spans="1:5" s="3" customFormat="1" ht="19.5" customHeight="1">
      <c r="A3013" s="8">
        <v>3011</v>
      </c>
      <c r="B3013" s="8" t="str">
        <f>"21902020071709545829384"</f>
        <v>21902020071709545829384</v>
      </c>
      <c r="C3013" s="8" t="s">
        <v>23</v>
      </c>
      <c r="D3013" s="8" t="str">
        <f>"符维倩"</f>
        <v>符维倩</v>
      </c>
      <c r="E3013" s="8" t="str">
        <f t="shared" si="391"/>
        <v>女</v>
      </c>
    </row>
    <row r="3014" spans="1:5" s="3" customFormat="1" ht="19.5" customHeight="1">
      <c r="A3014" s="8">
        <v>3012</v>
      </c>
      <c r="B3014" s="8" t="str">
        <f>"21902020071717182629672"</f>
        <v>21902020071717182629672</v>
      </c>
      <c r="C3014" s="8" t="s">
        <v>23</v>
      </c>
      <c r="D3014" s="8" t="str">
        <f>"唐学诗"</f>
        <v>唐学诗</v>
      </c>
      <c r="E3014" s="8" t="str">
        <f aca="true" t="shared" si="392" ref="E3014:E3017">"男"</f>
        <v>男</v>
      </c>
    </row>
    <row r="3015" spans="1:5" s="3" customFormat="1" ht="19.5" customHeight="1">
      <c r="A3015" s="8">
        <v>3013</v>
      </c>
      <c r="B3015" s="8" t="str">
        <f>"21902020071723380629795"</f>
        <v>21902020071723380629795</v>
      </c>
      <c r="C3015" s="8" t="s">
        <v>23</v>
      </c>
      <c r="D3015" s="8" t="str">
        <f>"郑学彩"</f>
        <v>郑学彩</v>
      </c>
      <c r="E3015" s="8" t="str">
        <f>"女"</f>
        <v>女</v>
      </c>
    </row>
    <row r="3016" spans="1:5" s="3" customFormat="1" ht="19.5" customHeight="1">
      <c r="A3016" s="8">
        <v>3014</v>
      </c>
      <c r="B3016" s="8" t="str">
        <f>"21902020071812071429881"</f>
        <v>21902020071812071429881</v>
      </c>
      <c r="C3016" s="8" t="s">
        <v>23</v>
      </c>
      <c r="D3016" s="8" t="str">
        <f>"李万盛"</f>
        <v>李万盛</v>
      </c>
      <c r="E3016" s="8" t="str">
        <f t="shared" si="392"/>
        <v>男</v>
      </c>
    </row>
    <row r="3017" spans="1:5" s="3" customFormat="1" ht="19.5" customHeight="1">
      <c r="A3017" s="8">
        <v>3015</v>
      </c>
      <c r="B3017" s="8" t="str">
        <f>"21902020071813285629912"</f>
        <v>21902020071813285629912</v>
      </c>
      <c r="C3017" s="8" t="s">
        <v>23</v>
      </c>
      <c r="D3017" s="8" t="str">
        <f>"林业创"</f>
        <v>林业创</v>
      </c>
      <c r="E3017" s="8" t="str">
        <f t="shared" si="392"/>
        <v>男</v>
      </c>
    </row>
    <row r="3018" spans="1:5" s="3" customFormat="1" ht="19.5" customHeight="1">
      <c r="A3018" s="8">
        <v>3016</v>
      </c>
      <c r="B3018" s="8" t="str">
        <f>"21902020071821252530047"</f>
        <v>21902020071821252530047</v>
      </c>
      <c r="C3018" s="8" t="s">
        <v>23</v>
      </c>
      <c r="D3018" s="8" t="str">
        <f>"李甲梅"</f>
        <v>李甲梅</v>
      </c>
      <c r="E3018" s="8" t="str">
        <f>"女"</f>
        <v>女</v>
      </c>
    </row>
    <row r="3019" spans="1:5" s="3" customFormat="1" ht="19.5" customHeight="1">
      <c r="A3019" s="8">
        <v>3017</v>
      </c>
      <c r="B3019" s="8" t="str">
        <f>"21902020071914045030203"</f>
        <v>21902020071914045030203</v>
      </c>
      <c r="C3019" s="8" t="s">
        <v>23</v>
      </c>
      <c r="D3019" s="8" t="str">
        <f>"符壮德"</f>
        <v>符壮德</v>
      </c>
      <c r="E3019" s="8" t="str">
        <f aca="true" t="shared" si="393" ref="E3019:E3027">"男"</f>
        <v>男</v>
      </c>
    </row>
    <row r="3020" spans="1:5" s="3" customFormat="1" ht="19.5" customHeight="1">
      <c r="A3020" s="8">
        <v>3018</v>
      </c>
      <c r="B3020" s="8" t="str">
        <f>"21902020071915035930223"</f>
        <v>21902020071915035930223</v>
      </c>
      <c r="C3020" s="8" t="s">
        <v>23</v>
      </c>
      <c r="D3020" s="8" t="str">
        <f>"李忠敏"</f>
        <v>李忠敏</v>
      </c>
      <c r="E3020" s="8" t="str">
        <f t="shared" si="393"/>
        <v>男</v>
      </c>
    </row>
    <row r="3021" spans="1:5" s="3" customFormat="1" ht="19.5" customHeight="1">
      <c r="A3021" s="8">
        <v>3019</v>
      </c>
      <c r="B3021" s="8" t="str">
        <f>"21902020071916253930250"</f>
        <v>21902020071916253930250</v>
      </c>
      <c r="C3021" s="8" t="s">
        <v>23</v>
      </c>
      <c r="D3021" s="8" t="str">
        <f>"郑耀东"</f>
        <v>郑耀东</v>
      </c>
      <c r="E3021" s="8" t="str">
        <f t="shared" si="393"/>
        <v>男</v>
      </c>
    </row>
    <row r="3022" spans="1:5" s="3" customFormat="1" ht="19.5" customHeight="1">
      <c r="A3022" s="8">
        <v>3020</v>
      </c>
      <c r="B3022" s="8" t="str">
        <f>"21902020071916341530253"</f>
        <v>21902020071916341530253</v>
      </c>
      <c r="C3022" s="8" t="s">
        <v>23</v>
      </c>
      <c r="D3022" s="8" t="str">
        <f>"钟传鑫"</f>
        <v>钟传鑫</v>
      </c>
      <c r="E3022" s="8" t="str">
        <f t="shared" si="393"/>
        <v>男</v>
      </c>
    </row>
    <row r="3023" spans="1:5" s="3" customFormat="1" ht="19.5" customHeight="1">
      <c r="A3023" s="8">
        <v>3021</v>
      </c>
      <c r="B3023" s="8" t="str">
        <f>"21902020071917414530285"</f>
        <v>21902020071917414530285</v>
      </c>
      <c r="C3023" s="8" t="s">
        <v>23</v>
      </c>
      <c r="D3023" s="8" t="str">
        <f>"张伟科"</f>
        <v>张伟科</v>
      </c>
      <c r="E3023" s="8" t="str">
        <f t="shared" si="393"/>
        <v>男</v>
      </c>
    </row>
    <row r="3024" spans="1:5" s="3" customFormat="1" ht="19.5" customHeight="1">
      <c r="A3024" s="8">
        <v>3022</v>
      </c>
      <c r="B3024" s="8" t="str">
        <f>"21902020071918563830306"</f>
        <v>21902020071918563830306</v>
      </c>
      <c r="C3024" s="8" t="s">
        <v>23</v>
      </c>
      <c r="D3024" s="8" t="str">
        <f>"林尤仕"</f>
        <v>林尤仕</v>
      </c>
      <c r="E3024" s="8" t="str">
        <f t="shared" si="393"/>
        <v>男</v>
      </c>
    </row>
    <row r="3025" spans="1:5" s="3" customFormat="1" ht="19.5" customHeight="1">
      <c r="A3025" s="8">
        <v>3023</v>
      </c>
      <c r="B3025" s="8" t="str">
        <f>"21902020071921053830342"</f>
        <v>21902020071921053830342</v>
      </c>
      <c r="C3025" s="8" t="s">
        <v>23</v>
      </c>
      <c r="D3025" s="8" t="str">
        <f>"符华明"</f>
        <v>符华明</v>
      </c>
      <c r="E3025" s="8" t="str">
        <f t="shared" si="393"/>
        <v>男</v>
      </c>
    </row>
    <row r="3026" spans="1:5" s="3" customFormat="1" ht="19.5" customHeight="1">
      <c r="A3026" s="8">
        <v>3024</v>
      </c>
      <c r="B3026" s="8" t="str">
        <f>"21902020072010070430514"</f>
        <v>21902020072010070430514</v>
      </c>
      <c r="C3026" s="8" t="s">
        <v>23</v>
      </c>
      <c r="D3026" s="8" t="str">
        <f>"陈定才"</f>
        <v>陈定才</v>
      </c>
      <c r="E3026" s="8" t="str">
        <f t="shared" si="393"/>
        <v>男</v>
      </c>
    </row>
    <row r="3027" spans="1:5" s="3" customFormat="1" ht="19.5" customHeight="1">
      <c r="A3027" s="8">
        <v>3025</v>
      </c>
      <c r="B3027" s="8" t="str">
        <f>"21902020072011134430558"</f>
        <v>21902020072011134430558</v>
      </c>
      <c r="C3027" s="8" t="s">
        <v>23</v>
      </c>
      <c r="D3027" s="8" t="str">
        <f>"詹其多"</f>
        <v>詹其多</v>
      </c>
      <c r="E3027" s="8" t="str">
        <f t="shared" si="393"/>
        <v>男</v>
      </c>
    </row>
    <row r="3028" spans="1:5" s="3" customFormat="1" ht="19.5" customHeight="1">
      <c r="A3028" s="8">
        <v>3026</v>
      </c>
      <c r="B3028" s="8" t="str">
        <f>"21902020072014092930677"</f>
        <v>21902020072014092930677</v>
      </c>
      <c r="C3028" s="8" t="s">
        <v>23</v>
      </c>
      <c r="D3028" s="8" t="str">
        <f>"赵健婷"</f>
        <v>赵健婷</v>
      </c>
      <c r="E3028" s="8" t="str">
        <f>"女"</f>
        <v>女</v>
      </c>
    </row>
    <row r="3029" spans="1:5" ht="19.5" customHeight="1">
      <c r="A3029" s="8">
        <v>3027</v>
      </c>
      <c r="B3029" s="8" t="s">
        <v>24</v>
      </c>
      <c r="C3029" s="8" t="s">
        <v>25</v>
      </c>
      <c r="D3029" s="8" t="s">
        <v>26</v>
      </c>
      <c r="E3029" s="8" t="s">
        <v>27</v>
      </c>
    </row>
    <row r="3030" spans="1:5" ht="19.5" customHeight="1">
      <c r="A3030" s="8">
        <v>3028</v>
      </c>
      <c r="B3030" s="8" t="s">
        <v>28</v>
      </c>
      <c r="C3030" s="8" t="s">
        <v>25</v>
      </c>
      <c r="D3030" s="8" t="s">
        <v>29</v>
      </c>
      <c r="E3030" s="8" t="s">
        <v>27</v>
      </c>
    </row>
    <row r="3031" spans="1:5" ht="19.5" customHeight="1">
      <c r="A3031" s="8">
        <v>3029</v>
      </c>
      <c r="B3031" s="8" t="s">
        <v>30</v>
      </c>
      <c r="C3031" s="8" t="s">
        <v>25</v>
      </c>
      <c r="D3031" s="8" t="s">
        <v>31</v>
      </c>
      <c r="E3031" s="8" t="s">
        <v>32</v>
      </c>
    </row>
    <row r="3032" spans="1:5" ht="19.5" customHeight="1">
      <c r="A3032" s="8">
        <v>3030</v>
      </c>
      <c r="B3032" s="8" t="s">
        <v>33</v>
      </c>
      <c r="C3032" s="8" t="s">
        <v>25</v>
      </c>
      <c r="D3032" s="8" t="s">
        <v>34</v>
      </c>
      <c r="E3032" s="8" t="s">
        <v>27</v>
      </c>
    </row>
    <row r="3033" spans="1:5" ht="19.5" customHeight="1">
      <c r="A3033" s="8">
        <v>3031</v>
      </c>
      <c r="B3033" s="8" t="s">
        <v>35</v>
      </c>
      <c r="C3033" s="8" t="s">
        <v>25</v>
      </c>
      <c r="D3033" s="8" t="s">
        <v>36</v>
      </c>
      <c r="E3033" s="8" t="s">
        <v>27</v>
      </c>
    </row>
    <row r="3034" spans="1:5" ht="19.5" customHeight="1">
      <c r="A3034" s="8">
        <v>3032</v>
      </c>
      <c r="B3034" s="8" t="s">
        <v>37</v>
      </c>
      <c r="C3034" s="8" t="s">
        <v>25</v>
      </c>
      <c r="D3034" s="8" t="s">
        <v>38</v>
      </c>
      <c r="E3034" s="8" t="s">
        <v>32</v>
      </c>
    </row>
    <row r="3035" spans="1:5" ht="19.5" customHeight="1">
      <c r="A3035" s="8">
        <v>3033</v>
      </c>
      <c r="B3035" s="8" t="s">
        <v>39</v>
      </c>
      <c r="C3035" s="8" t="s">
        <v>25</v>
      </c>
      <c r="D3035" s="8" t="s">
        <v>40</v>
      </c>
      <c r="E3035" s="8" t="s">
        <v>32</v>
      </c>
    </row>
    <row r="3036" spans="1:5" ht="19.5" customHeight="1">
      <c r="A3036" s="8">
        <v>3034</v>
      </c>
      <c r="B3036" s="8" t="s">
        <v>41</v>
      </c>
      <c r="C3036" s="8" t="s">
        <v>25</v>
      </c>
      <c r="D3036" s="8" t="s">
        <v>42</v>
      </c>
      <c r="E3036" s="8" t="s">
        <v>32</v>
      </c>
    </row>
    <row r="3037" spans="1:5" ht="19.5" customHeight="1">
      <c r="A3037" s="8">
        <v>3035</v>
      </c>
      <c r="B3037" s="8" t="s">
        <v>43</v>
      </c>
      <c r="C3037" s="8" t="s">
        <v>25</v>
      </c>
      <c r="D3037" s="8" t="s">
        <v>44</v>
      </c>
      <c r="E3037" s="8" t="s">
        <v>32</v>
      </c>
    </row>
    <row r="3038" spans="1:5" ht="19.5" customHeight="1">
      <c r="A3038" s="8">
        <v>3036</v>
      </c>
      <c r="B3038" s="8" t="s">
        <v>45</v>
      </c>
      <c r="C3038" s="8" t="s">
        <v>25</v>
      </c>
      <c r="D3038" s="8" t="s">
        <v>46</v>
      </c>
      <c r="E3038" s="8" t="s">
        <v>27</v>
      </c>
    </row>
    <row r="3039" spans="1:5" ht="19.5" customHeight="1">
      <c r="A3039" s="8">
        <v>3037</v>
      </c>
      <c r="B3039" s="8" t="s">
        <v>47</v>
      </c>
      <c r="C3039" s="8" t="s">
        <v>25</v>
      </c>
      <c r="D3039" s="8" t="s">
        <v>48</v>
      </c>
      <c r="E3039" s="8" t="s">
        <v>27</v>
      </c>
    </row>
    <row r="3040" spans="1:5" ht="19.5" customHeight="1">
      <c r="A3040" s="8">
        <v>3038</v>
      </c>
      <c r="B3040" s="8" t="s">
        <v>49</v>
      </c>
      <c r="C3040" s="8" t="s">
        <v>25</v>
      </c>
      <c r="D3040" s="8" t="s">
        <v>50</v>
      </c>
      <c r="E3040" s="8" t="s">
        <v>32</v>
      </c>
    </row>
    <row r="3041" spans="1:5" ht="19.5" customHeight="1">
      <c r="A3041" s="8">
        <v>3039</v>
      </c>
      <c r="B3041" s="8" t="s">
        <v>51</v>
      </c>
      <c r="C3041" s="8" t="s">
        <v>25</v>
      </c>
      <c r="D3041" s="8" t="s">
        <v>52</v>
      </c>
      <c r="E3041" s="8" t="s">
        <v>27</v>
      </c>
    </row>
    <row r="3042" spans="1:5" ht="19.5" customHeight="1">
      <c r="A3042" s="8">
        <v>3040</v>
      </c>
      <c r="B3042" s="8" t="s">
        <v>53</v>
      </c>
      <c r="C3042" s="8" t="s">
        <v>25</v>
      </c>
      <c r="D3042" s="8" t="s">
        <v>54</v>
      </c>
      <c r="E3042" s="8" t="s">
        <v>32</v>
      </c>
    </row>
    <row r="3043" spans="1:5" ht="19.5" customHeight="1">
      <c r="A3043" s="8">
        <v>3041</v>
      </c>
      <c r="B3043" s="8" t="s">
        <v>55</v>
      </c>
      <c r="C3043" s="8" t="s">
        <v>25</v>
      </c>
      <c r="D3043" s="8" t="s">
        <v>56</v>
      </c>
      <c r="E3043" s="8" t="s">
        <v>32</v>
      </c>
    </row>
    <row r="3044" spans="1:5" ht="19.5" customHeight="1">
      <c r="A3044" s="8">
        <v>3042</v>
      </c>
      <c r="B3044" s="8" t="s">
        <v>57</v>
      </c>
      <c r="C3044" s="8" t="s">
        <v>25</v>
      </c>
      <c r="D3044" s="8" t="s">
        <v>58</v>
      </c>
      <c r="E3044" s="8" t="s">
        <v>27</v>
      </c>
    </row>
    <row r="3045" spans="1:5" ht="19.5" customHeight="1">
      <c r="A3045" s="8">
        <v>3043</v>
      </c>
      <c r="B3045" s="8" t="s">
        <v>59</v>
      </c>
      <c r="C3045" s="8" t="s">
        <v>25</v>
      </c>
      <c r="D3045" s="8" t="s">
        <v>60</v>
      </c>
      <c r="E3045" s="8" t="s">
        <v>27</v>
      </c>
    </row>
    <row r="3046" spans="1:5" ht="19.5" customHeight="1">
      <c r="A3046" s="8">
        <v>3044</v>
      </c>
      <c r="B3046" s="8" t="s">
        <v>61</v>
      </c>
      <c r="C3046" s="8" t="s">
        <v>25</v>
      </c>
      <c r="D3046" s="8" t="s">
        <v>62</v>
      </c>
      <c r="E3046" s="8" t="s">
        <v>27</v>
      </c>
    </row>
    <row r="3047" spans="1:5" ht="19.5" customHeight="1">
      <c r="A3047" s="8">
        <v>3045</v>
      </c>
      <c r="B3047" s="8" t="s">
        <v>63</v>
      </c>
      <c r="C3047" s="8" t="s">
        <v>25</v>
      </c>
      <c r="D3047" s="8" t="s">
        <v>64</v>
      </c>
      <c r="E3047" s="8" t="s">
        <v>32</v>
      </c>
    </row>
    <row r="3048" spans="1:5" ht="19.5" customHeight="1">
      <c r="A3048" s="8">
        <v>3046</v>
      </c>
      <c r="B3048" s="8" t="s">
        <v>65</v>
      </c>
      <c r="C3048" s="8" t="s">
        <v>25</v>
      </c>
      <c r="D3048" s="8" t="s">
        <v>66</v>
      </c>
      <c r="E3048" s="8" t="s">
        <v>32</v>
      </c>
    </row>
    <row r="3049" spans="1:5" ht="19.5" customHeight="1">
      <c r="A3049" s="8">
        <v>3047</v>
      </c>
      <c r="B3049" s="8" t="s">
        <v>67</v>
      </c>
      <c r="C3049" s="8" t="s">
        <v>25</v>
      </c>
      <c r="D3049" s="8" t="s">
        <v>68</v>
      </c>
      <c r="E3049" s="8" t="s">
        <v>32</v>
      </c>
    </row>
    <row r="3050" spans="1:5" ht="19.5" customHeight="1">
      <c r="A3050" s="8">
        <v>3048</v>
      </c>
      <c r="B3050" s="8" t="s">
        <v>69</v>
      </c>
      <c r="C3050" s="8" t="s">
        <v>25</v>
      </c>
      <c r="D3050" s="8" t="s">
        <v>70</v>
      </c>
      <c r="E3050" s="8" t="s">
        <v>32</v>
      </c>
    </row>
    <row r="3051" spans="1:5" ht="19.5" customHeight="1">
      <c r="A3051" s="8">
        <v>3049</v>
      </c>
      <c r="B3051" s="8" t="s">
        <v>71</v>
      </c>
      <c r="C3051" s="8" t="s">
        <v>25</v>
      </c>
      <c r="D3051" s="8" t="s">
        <v>72</v>
      </c>
      <c r="E3051" s="8" t="s">
        <v>32</v>
      </c>
    </row>
    <row r="3052" spans="1:5" ht="19.5" customHeight="1">
      <c r="A3052" s="8">
        <v>3050</v>
      </c>
      <c r="B3052" s="8" t="s">
        <v>73</v>
      </c>
      <c r="C3052" s="8" t="s">
        <v>25</v>
      </c>
      <c r="D3052" s="8" t="s">
        <v>74</v>
      </c>
      <c r="E3052" s="8" t="s">
        <v>32</v>
      </c>
    </row>
    <row r="3053" spans="1:5" ht="19.5" customHeight="1">
      <c r="A3053" s="8">
        <v>3051</v>
      </c>
      <c r="B3053" s="8" t="s">
        <v>75</v>
      </c>
      <c r="C3053" s="8" t="s">
        <v>25</v>
      </c>
      <c r="D3053" s="8" t="s">
        <v>76</v>
      </c>
      <c r="E3053" s="8" t="s">
        <v>32</v>
      </c>
    </row>
    <row r="3054" spans="1:5" ht="19.5" customHeight="1">
      <c r="A3054" s="8">
        <v>3052</v>
      </c>
      <c r="B3054" s="8" t="s">
        <v>77</v>
      </c>
      <c r="C3054" s="8" t="s">
        <v>25</v>
      </c>
      <c r="D3054" s="8" t="s">
        <v>78</v>
      </c>
      <c r="E3054" s="8" t="s">
        <v>27</v>
      </c>
    </row>
    <row r="3055" spans="1:5" ht="19.5" customHeight="1">
      <c r="A3055" s="8">
        <v>3053</v>
      </c>
      <c r="B3055" s="8" t="s">
        <v>79</v>
      </c>
      <c r="C3055" s="8" t="s">
        <v>25</v>
      </c>
      <c r="D3055" s="8" t="s">
        <v>80</v>
      </c>
      <c r="E3055" s="8" t="s">
        <v>27</v>
      </c>
    </row>
    <row r="3056" spans="1:5" ht="19.5" customHeight="1">
      <c r="A3056" s="8">
        <v>3054</v>
      </c>
      <c r="B3056" s="8" t="s">
        <v>81</v>
      </c>
      <c r="C3056" s="8" t="s">
        <v>25</v>
      </c>
      <c r="D3056" s="8" t="s">
        <v>82</v>
      </c>
      <c r="E3056" s="8" t="s">
        <v>32</v>
      </c>
    </row>
    <row r="3057" spans="1:5" ht="19.5" customHeight="1">
      <c r="A3057" s="8">
        <v>3055</v>
      </c>
      <c r="B3057" s="8" t="s">
        <v>83</v>
      </c>
      <c r="C3057" s="8" t="s">
        <v>25</v>
      </c>
      <c r="D3057" s="8" t="s">
        <v>84</v>
      </c>
      <c r="E3057" s="8" t="s">
        <v>27</v>
      </c>
    </row>
    <row r="3058" spans="1:5" ht="19.5" customHeight="1">
      <c r="A3058" s="8">
        <v>3056</v>
      </c>
      <c r="B3058" s="8" t="s">
        <v>85</v>
      </c>
      <c r="C3058" s="8" t="s">
        <v>25</v>
      </c>
      <c r="D3058" s="8" t="s">
        <v>86</v>
      </c>
      <c r="E3058" s="8" t="s">
        <v>32</v>
      </c>
    </row>
    <row r="3059" spans="1:5" ht="19.5" customHeight="1">
      <c r="A3059" s="8">
        <v>3057</v>
      </c>
      <c r="B3059" s="8" t="s">
        <v>87</v>
      </c>
      <c r="C3059" s="8" t="s">
        <v>25</v>
      </c>
      <c r="D3059" s="8" t="s">
        <v>88</v>
      </c>
      <c r="E3059" s="8" t="s">
        <v>32</v>
      </c>
    </row>
    <row r="3060" spans="1:5" ht="19.5" customHeight="1">
      <c r="A3060" s="8">
        <v>3058</v>
      </c>
      <c r="B3060" s="8" t="s">
        <v>89</v>
      </c>
      <c r="C3060" s="8" t="s">
        <v>25</v>
      </c>
      <c r="D3060" s="8" t="s">
        <v>90</v>
      </c>
      <c r="E3060" s="8" t="s">
        <v>32</v>
      </c>
    </row>
    <row r="3061" spans="1:5" ht="19.5" customHeight="1">
      <c r="A3061" s="8">
        <v>3059</v>
      </c>
      <c r="B3061" s="8" t="s">
        <v>91</v>
      </c>
      <c r="C3061" s="8" t="s">
        <v>25</v>
      </c>
      <c r="D3061" s="8" t="s">
        <v>92</v>
      </c>
      <c r="E3061" s="8" t="s">
        <v>27</v>
      </c>
    </row>
    <row r="3062" spans="1:5" ht="19.5" customHeight="1">
      <c r="A3062" s="8">
        <v>3060</v>
      </c>
      <c r="B3062" s="8" t="s">
        <v>93</v>
      </c>
      <c r="C3062" s="8" t="s">
        <v>25</v>
      </c>
      <c r="D3062" s="8" t="s">
        <v>94</v>
      </c>
      <c r="E3062" s="8" t="s">
        <v>32</v>
      </c>
    </row>
    <row r="3063" spans="1:5" ht="19.5" customHeight="1">
      <c r="A3063" s="8">
        <v>3061</v>
      </c>
      <c r="B3063" s="8" t="s">
        <v>95</v>
      </c>
      <c r="C3063" s="8" t="s">
        <v>25</v>
      </c>
      <c r="D3063" s="8" t="s">
        <v>96</v>
      </c>
      <c r="E3063" s="8" t="s">
        <v>32</v>
      </c>
    </row>
    <row r="3064" spans="1:5" ht="19.5" customHeight="1">
      <c r="A3064" s="8">
        <v>3062</v>
      </c>
      <c r="B3064" s="8" t="s">
        <v>97</v>
      </c>
      <c r="C3064" s="8" t="s">
        <v>25</v>
      </c>
      <c r="D3064" s="8" t="s">
        <v>98</v>
      </c>
      <c r="E3064" s="8" t="s">
        <v>32</v>
      </c>
    </row>
    <row r="3065" spans="1:5" ht="19.5" customHeight="1">
      <c r="A3065" s="8">
        <v>3063</v>
      </c>
      <c r="B3065" s="8" t="s">
        <v>99</v>
      </c>
      <c r="C3065" s="8" t="s">
        <v>25</v>
      </c>
      <c r="D3065" s="8" t="s">
        <v>100</v>
      </c>
      <c r="E3065" s="8" t="s">
        <v>32</v>
      </c>
    </row>
    <row r="3066" spans="1:5" ht="19.5" customHeight="1">
      <c r="A3066" s="8">
        <v>3064</v>
      </c>
      <c r="B3066" s="8" t="s">
        <v>101</v>
      </c>
      <c r="C3066" s="8" t="s">
        <v>25</v>
      </c>
      <c r="D3066" s="8" t="s">
        <v>102</v>
      </c>
      <c r="E3066" s="8" t="s">
        <v>27</v>
      </c>
    </row>
    <row r="3067" spans="1:5" ht="19.5" customHeight="1">
      <c r="A3067" s="8">
        <v>3065</v>
      </c>
      <c r="B3067" s="8" t="s">
        <v>103</v>
      </c>
      <c r="C3067" s="8" t="s">
        <v>25</v>
      </c>
      <c r="D3067" s="8" t="s">
        <v>104</v>
      </c>
      <c r="E3067" s="8" t="s">
        <v>32</v>
      </c>
    </row>
    <row r="3068" spans="1:5" ht="19.5" customHeight="1">
      <c r="A3068" s="8">
        <v>3066</v>
      </c>
      <c r="B3068" s="8" t="s">
        <v>105</v>
      </c>
      <c r="C3068" s="8" t="s">
        <v>25</v>
      </c>
      <c r="D3068" s="8" t="s">
        <v>106</v>
      </c>
      <c r="E3068" s="8" t="s">
        <v>32</v>
      </c>
    </row>
    <row r="3069" spans="1:5" ht="19.5" customHeight="1">
      <c r="A3069" s="8">
        <v>3067</v>
      </c>
      <c r="B3069" s="8" t="s">
        <v>107</v>
      </c>
      <c r="C3069" s="8" t="s">
        <v>25</v>
      </c>
      <c r="D3069" s="8" t="s">
        <v>108</v>
      </c>
      <c r="E3069" s="8" t="s">
        <v>27</v>
      </c>
    </row>
    <row r="3070" spans="1:5" ht="19.5" customHeight="1">
      <c r="A3070" s="8">
        <v>3068</v>
      </c>
      <c r="B3070" s="8" t="s">
        <v>109</v>
      </c>
      <c r="C3070" s="8" t="s">
        <v>25</v>
      </c>
      <c r="D3070" s="8" t="s">
        <v>110</v>
      </c>
      <c r="E3070" s="8" t="s">
        <v>27</v>
      </c>
    </row>
    <row r="3071" spans="1:5" ht="19.5" customHeight="1">
      <c r="A3071" s="8">
        <v>3069</v>
      </c>
      <c r="B3071" s="8" t="s">
        <v>111</v>
      </c>
      <c r="C3071" s="8" t="s">
        <v>25</v>
      </c>
      <c r="D3071" s="8" t="s">
        <v>112</v>
      </c>
      <c r="E3071" s="8" t="s">
        <v>32</v>
      </c>
    </row>
    <row r="3072" spans="1:5" ht="19.5" customHeight="1">
      <c r="A3072" s="8">
        <v>3070</v>
      </c>
      <c r="B3072" s="8" t="s">
        <v>113</v>
      </c>
      <c r="C3072" s="8" t="s">
        <v>25</v>
      </c>
      <c r="D3072" s="8" t="s">
        <v>114</v>
      </c>
      <c r="E3072" s="8" t="s">
        <v>32</v>
      </c>
    </row>
    <row r="3073" spans="1:5" ht="19.5" customHeight="1">
      <c r="A3073" s="8">
        <v>3071</v>
      </c>
      <c r="B3073" s="8" t="s">
        <v>115</v>
      </c>
      <c r="C3073" s="8" t="s">
        <v>25</v>
      </c>
      <c r="D3073" s="8" t="s">
        <v>116</v>
      </c>
      <c r="E3073" s="8" t="s">
        <v>27</v>
      </c>
    </row>
    <row r="3074" spans="1:5" ht="19.5" customHeight="1">
      <c r="A3074" s="8">
        <v>3072</v>
      </c>
      <c r="B3074" s="8" t="s">
        <v>117</v>
      </c>
      <c r="C3074" s="8" t="s">
        <v>25</v>
      </c>
      <c r="D3074" s="8" t="s">
        <v>118</v>
      </c>
      <c r="E3074" s="8" t="s">
        <v>32</v>
      </c>
    </row>
    <row r="3075" spans="1:5" ht="19.5" customHeight="1">
      <c r="A3075" s="8">
        <v>3073</v>
      </c>
      <c r="B3075" s="8" t="s">
        <v>119</v>
      </c>
      <c r="C3075" s="8" t="s">
        <v>25</v>
      </c>
      <c r="D3075" s="8" t="s">
        <v>120</v>
      </c>
      <c r="E3075" s="8" t="s">
        <v>27</v>
      </c>
    </row>
    <row r="3076" spans="1:5" ht="19.5" customHeight="1">
      <c r="A3076" s="8">
        <v>3074</v>
      </c>
      <c r="B3076" s="8" t="s">
        <v>121</v>
      </c>
      <c r="C3076" s="8" t="s">
        <v>25</v>
      </c>
      <c r="D3076" s="8" t="s">
        <v>122</v>
      </c>
      <c r="E3076" s="8" t="s">
        <v>32</v>
      </c>
    </row>
    <row r="3077" spans="1:5" ht="19.5" customHeight="1">
      <c r="A3077" s="8">
        <v>3075</v>
      </c>
      <c r="B3077" s="8" t="s">
        <v>123</v>
      </c>
      <c r="C3077" s="8" t="s">
        <v>25</v>
      </c>
      <c r="D3077" s="8" t="s">
        <v>124</v>
      </c>
      <c r="E3077" s="8" t="s">
        <v>32</v>
      </c>
    </row>
    <row r="3078" spans="1:5" ht="19.5" customHeight="1">
      <c r="A3078" s="8">
        <v>3076</v>
      </c>
      <c r="B3078" s="8" t="s">
        <v>125</v>
      </c>
      <c r="C3078" s="8" t="s">
        <v>25</v>
      </c>
      <c r="D3078" s="8" t="s">
        <v>126</v>
      </c>
      <c r="E3078" s="8" t="s">
        <v>32</v>
      </c>
    </row>
    <row r="3079" spans="1:5" ht="19.5" customHeight="1">
      <c r="A3079" s="8">
        <v>3077</v>
      </c>
      <c r="B3079" s="8" t="s">
        <v>127</v>
      </c>
      <c r="C3079" s="8" t="s">
        <v>25</v>
      </c>
      <c r="D3079" s="8" t="s">
        <v>128</v>
      </c>
      <c r="E3079" s="8" t="s">
        <v>27</v>
      </c>
    </row>
    <row r="3080" spans="1:5" ht="19.5" customHeight="1">
      <c r="A3080" s="8">
        <v>3078</v>
      </c>
      <c r="B3080" s="8" t="s">
        <v>129</v>
      </c>
      <c r="C3080" s="8" t="s">
        <v>25</v>
      </c>
      <c r="D3080" s="8" t="s">
        <v>130</v>
      </c>
      <c r="E3080" s="8" t="s">
        <v>32</v>
      </c>
    </row>
    <row r="3081" spans="1:5" ht="19.5" customHeight="1">
      <c r="A3081" s="8">
        <v>3079</v>
      </c>
      <c r="B3081" s="8" t="s">
        <v>131</v>
      </c>
      <c r="C3081" s="8" t="s">
        <v>25</v>
      </c>
      <c r="D3081" s="8" t="s">
        <v>132</v>
      </c>
      <c r="E3081" s="8" t="s">
        <v>27</v>
      </c>
    </row>
    <row r="3082" spans="1:5" ht="19.5" customHeight="1">
      <c r="A3082" s="8">
        <v>3080</v>
      </c>
      <c r="B3082" s="8" t="s">
        <v>133</v>
      </c>
      <c r="C3082" s="8" t="s">
        <v>25</v>
      </c>
      <c r="D3082" s="8" t="s">
        <v>134</v>
      </c>
      <c r="E3082" s="8" t="s">
        <v>27</v>
      </c>
    </row>
    <row r="3083" spans="1:5" ht="19.5" customHeight="1">
      <c r="A3083" s="8">
        <v>3081</v>
      </c>
      <c r="B3083" s="8" t="s">
        <v>135</v>
      </c>
      <c r="C3083" s="8" t="s">
        <v>25</v>
      </c>
      <c r="D3083" s="8" t="s">
        <v>136</v>
      </c>
      <c r="E3083" s="8" t="s">
        <v>32</v>
      </c>
    </row>
    <row r="3084" spans="1:5" ht="19.5" customHeight="1">
      <c r="A3084" s="8">
        <v>3082</v>
      </c>
      <c r="B3084" s="8" t="s">
        <v>137</v>
      </c>
      <c r="C3084" s="8" t="s">
        <v>25</v>
      </c>
      <c r="D3084" s="8" t="s">
        <v>138</v>
      </c>
      <c r="E3084" s="8" t="s">
        <v>32</v>
      </c>
    </row>
    <row r="3085" spans="1:5" ht="19.5" customHeight="1">
      <c r="A3085" s="8">
        <v>3083</v>
      </c>
      <c r="B3085" s="8" t="s">
        <v>139</v>
      </c>
      <c r="C3085" s="8" t="s">
        <v>25</v>
      </c>
      <c r="D3085" s="8" t="s">
        <v>140</v>
      </c>
      <c r="E3085" s="8" t="s">
        <v>27</v>
      </c>
    </row>
    <row r="3086" spans="1:5" ht="19.5" customHeight="1">
      <c r="A3086" s="8">
        <v>3084</v>
      </c>
      <c r="B3086" s="8" t="s">
        <v>141</v>
      </c>
      <c r="C3086" s="8" t="s">
        <v>25</v>
      </c>
      <c r="D3086" s="8" t="s">
        <v>142</v>
      </c>
      <c r="E3086" s="8" t="s">
        <v>27</v>
      </c>
    </row>
    <row r="3087" spans="1:5" ht="19.5" customHeight="1">
      <c r="A3087" s="8">
        <v>3085</v>
      </c>
      <c r="B3087" s="8" t="s">
        <v>143</v>
      </c>
      <c r="C3087" s="8" t="s">
        <v>25</v>
      </c>
      <c r="D3087" s="8" t="s">
        <v>144</v>
      </c>
      <c r="E3087" s="8" t="s">
        <v>27</v>
      </c>
    </row>
    <row r="3088" spans="1:5" ht="19.5" customHeight="1">
      <c r="A3088" s="8">
        <v>3086</v>
      </c>
      <c r="B3088" s="8" t="s">
        <v>145</v>
      </c>
      <c r="C3088" s="8" t="s">
        <v>25</v>
      </c>
      <c r="D3088" s="8" t="s">
        <v>146</v>
      </c>
      <c r="E3088" s="8" t="s">
        <v>27</v>
      </c>
    </row>
    <row r="3089" spans="1:5" ht="19.5" customHeight="1">
      <c r="A3089" s="8">
        <v>3087</v>
      </c>
      <c r="B3089" s="8" t="s">
        <v>147</v>
      </c>
      <c r="C3089" s="8" t="s">
        <v>25</v>
      </c>
      <c r="D3089" s="8" t="s">
        <v>148</v>
      </c>
      <c r="E3089" s="8" t="s">
        <v>27</v>
      </c>
    </row>
    <row r="3090" spans="1:5" ht="19.5" customHeight="1">
      <c r="A3090" s="8">
        <v>3088</v>
      </c>
      <c r="B3090" s="8" t="s">
        <v>149</v>
      </c>
      <c r="C3090" s="8" t="s">
        <v>25</v>
      </c>
      <c r="D3090" s="8" t="s">
        <v>150</v>
      </c>
      <c r="E3090" s="8" t="s">
        <v>27</v>
      </c>
    </row>
    <row r="3091" spans="1:5" ht="19.5" customHeight="1">
      <c r="A3091" s="8">
        <v>3089</v>
      </c>
      <c r="B3091" s="8" t="s">
        <v>151</v>
      </c>
      <c r="C3091" s="8" t="s">
        <v>25</v>
      </c>
      <c r="D3091" s="8" t="s">
        <v>152</v>
      </c>
      <c r="E3091" s="8" t="s">
        <v>27</v>
      </c>
    </row>
    <row r="3092" spans="1:5" ht="19.5" customHeight="1">
      <c r="A3092" s="8">
        <v>3090</v>
      </c>
      <c r="B3092" s="8" t="s">
        <v>153</v>
      </c>
      <c r="C3092" s="8" t="s">
        <v>25</v>
      </c>
      <c r="D3092" s="8" t="s">
        <v>154</v>
      </c>
      <c r="E3092" s="8" t="s">
        <v>32</v>
      </c>
    </row>
    <row r="3093" spans="1:5" ht="19.5" customHeight="1">
      <c r="A3093" s="8">
        <v>3091</v>
      </c>
      <c r="B3093" s="8" t="s">
        <v>155</v>
      </c>
      <c r="C3093" s="8" t="s">
        <v>25</v>
      </c>
      <c r="D3093" s="8" t="s">
        <v>156</v>
      </c>
      <c r="E3093" s="8" t="s">
        <v>32</v>
      </c>
    </row>
    <row r="3094" spans="1:5" ht="19.5" customHeight="1">
      <c r="A3094" s="8">
        <v>3092</v>
      </c>
      <c r="B3094" s="8" t="s">
        <v>157</v>
      </c>
      <c r="C3094" s="8" t="s">
        <v>25</v>
      </c>
      <c r="D3094" s="8" t="s">
        <v>158</v>
      </c>
      <c r="E3094" s="8" t="s">
        <v>27</v>
      </c>
    </row>
    <row r="3095" spans="1:5" ht="19.5" customHeight="1">
      <c r="A3095" s="8">
        <v>3093</v>
      </c>
      <c r="B3095" s="8" t="s">
        <v>159</v>
      </c>
      <c r="C3095" s="8" t="s">
        <v>25</v>
      </c>
      <c r="D3095" s="8" t="s">
        <v>160</v>
      </c>
      <c r="E3095" s="8" t="s">
        <v>27</v>
      </c>
    </row>
    <row r="3096" spans="1:5" ht="19.5" customHeight="1">
      <c r="A3096" s="8">
        <v>3094</v>
      </c>
      <c r="B3096" s="8" t="s">
        <v>161</v>
      </c>
      <c r="C3096" s="8" t="s">
        <v>25</v>
      </c>
      <c r="D3096" s="8" t="s">
        <v>162</v>
      </c>
      <c r="E3096" s="8" t="s">
        <v>32</v>
      </c>
    </row>
    <row r="3097" spans="1:5" ht="19.5" customHeight="1">
      <c r="A3097" s="8">
        <v>3095</v>
      </c>
      <c r="B3097" s="8" t="s">
        <v>163</v>
      </c>
      <c r="C3097" s="8" t="s">
        <v>25</v>
      </c>
      <c r="D3097" s="8" t="s">
        <v>164</v>
      </c>
      <c r="E3097" s="8" t="s">
        <v>27</v>
      </c>
    </row>
    <row r="3098" spans="1:5" ht="19.5" customHeight="1">
      <c r="A3098" s="8">
        <v>3096</v>
      </c>
      <c r="B3098" s="8" t="s">
        <v>165</v>
      </c>
      <c r="C3098" s="8" t="s">
        <v>25</v>
      </c>
      <c r="D3098" s="8" t="s">
        <v>166</v>
      </c>
      <c r="E3098" s="8" t="s">
        <v>27</v>
      </c>
    </row>
    <row r="3099" spans="1:5" ht="19.5" customHeight="1">
      <c r="A3099" s="8">
        <v>3097</v>
      </c>
      <c r="B3099" s="8" t="s">
        <v>167</v>
      </c>
      <c r="C3099" s="8" t="s">
        <v>25</v>
      </c>
      <c r="D3099" s="8" t="s">
        <v>168</v>
      </c>
      <c r="E3099" s="8" t="s">
        <v>27</v>
      </c>
    </row>
    <row r="3100" spans="1:5" ht="19.5" customHeight="1">
      <c r="A3100" s="8">
        <v>3098</v>
      </c>
      <c r="B3100" s="8" t="s">
        <v>169</v>
      </c>
      <c r="C3100" s="8" t="s">
        <v>25</v>
      </c>
      <c r="D3100" s="8" t="s">
        <v>170</v>
      </c>
      <c r="E3100" s="8" t="s">
        <v>32</v>
      </c>
    </row>
    <row r="3101" spans="1:5" ht="19.5" customHeight="1">
      <c r="A3101" s="8">
        <v>3099</v>
      </c>
      <c r="B3101" s="8" t="s">
        <v>171</v>
      </c>
      <c r="C3101" s="8" t="s">
        <v>25</v>
      </c>
      <c r="D3101" s="8" t="s">
        <v>172</v>
      </c>
      <c r="E3101" s="8" t="s">
        <v>32</v>
      </c>
    </row>
    <row r="3102" spans="1:5" ht="19.5" customHeight="1">
      <c r="A3102" s="8">
        <v>3100</v>
      </c>
      <c r="B3102" s="8" t="s">
        <v>173</v>
      </c>
      <c r="C3102" s="8" t="s">
        <v>25</v>
      </c>
      <c r="D3102" s="8" t="s">
        <v>174</v>
      </c>
      <c r="E3102" s="8" t="s">
        <v>32</v>
      </c>
    </row>
    <row r="3103" spans="1:5" ht="19.5" customHeight="1">
      <c r="A3103" s="8">
        <v>3101</v>
      </c>
      <c r="B3103" s="8" t="s">
        <v>175</v>
      </c>
      <c r="C3103" s="8" t="s">
        <v>25</v>
      </c>
      <c r="D3103" s="8" t="s">
        <v>176</v>
      </c>
      <c r="E3103" s="8" t="s">
        <v>32</v>
      </c>
    </row>
    <row r="3104" spans="1:5" ht="19.5" customHeight="1">
      <c r="A3104" s="8">
        <v>3102</v>
      </c>
      <c r="B3104" s="8" t="s">
        <v>177</v>
      </c>
      <c r="C3104" s="8" t="s">
        <v>178</v>
      </c>
      <c r="D3104" s="8" t="s">
        <v>179</v>
      </c>
      <c r="E3104" s="8" t="s">
        <v>27</v>
      </c>
    </row>
    <row r="3105" spans="1:5" ht="19.5" customHeight="1">
      <c r="A3105" s="8">
        <v>3103</v>
      </c>
      <c r="B3105" s="8" t="s">
        <v>180</v>
      </c>
      <c r="C3105" s="8" t="s">
        <v>178</v>
      </c>
      <c r="D3105" s="8" t="s">
        <v>181</v>
      </c>
      <c r="E3105" s="8" t="s">
        <v>32</v>
      </c>
    </row>
    <row r="3106" spans="1:5" ht="19.5" customHeight="1">
      <c r="A3106" s="8">
        <v>3104</v>
      </c>
      <c r="B3106" s="8" t="s">
        <v>182</v>
      </c>
      <c r="C3106" s="8" t="s">
        <v>178</v>
      </c>
      <c r="D3106" s="8" t="s">
        <v>183</v>
      </c>
      <c r="E3106" s="8" t="s">
        <v>32</v>
      </c>
    </row>
    <row r="3107" spans="1:5" ht="19.5" customHeight="1">
      <c r="A3107" s="8">
        <v>3105</v>
      </c>
      <c r="B3107" s="8" t="s">
        <v>184</v>
      </c>
      <c r="C3107" s="8" t="s">
        <v>178</v>
      </c>
      <c r="D3107" s="8" t="s">
        <v>185</v>
      </c>
      <c r="E3107" s="8" t="s">
        <v>32</v>
      </c>
    </row>
    <row r="3108" spans="1:5" ht="19.5" customHeight="1">
      <c r="A3108" s="8">
        <v>3106</v>
      </c>
      <c r="B3108" s="8" t="s">
        <v>186</v>
      </c>
      <c r="C3108" s="8" t="s">
        <v>178</v>
      </c>
      <c r="D3108" s="8" t="s">
        <v>187</v>
      </c>
      <c r="E3108" s="8" t="s">
        <v>27</v>
      </c>
    </row>
    <row r="3109" spans="1:5" ht="19.5" customHeight="1">
      <c r="A3109" s="8">
        <v>3107</v>
      </c>
      <c r="B3109" s="8" t="s">
        <v>188</v>
      </c>
      <c r="C3109" s="8" t="s">
        <v>178</v>
      </c>
      <c r="D3109" s="8" t="s">
        <v>189</v>
      </c>
      <c r="E3109" s="8" t="s">
        <v>32</v>
      </c>
    </row>
    <row r="3110" spans="1:5" ht="19.5" customHeight="1">
      <c r="A3110" s="8">
        <v>3108</v>
      </c>
      <c r="B3110" s="8" t="s">
        <v>190</v>
      </c>
      <c r="C3110" s="8" t="s">
        <v>178</v>
      </c>
      <c r="D3110" s="8" t="s">
        <v>191</v>
      </c>
      <c r="E3110" s="8" t="s">
        <v>32</v>
      </c>
    </row>
    <row r="3111" spans="1:5" ht="19.5" customHeight="1">
      <c r="A3111" s="8">
        <v>3109</v>
      </c>
      <c r="B3111" s="8" t="s">
        <v>192</v>
      </c>
      <c r="C3111" s="8" t="s">
        <v>178</v>
      </c>
      <c r="D3111" s="8" t="s">
        <v>193</v>
      </c>
      <c r="E3111" s="8" t="s">
        <v>32</v>
      </c>
    </row>
    <row r="3112" spans="1:5" ht="19.5" customHeight="1">
      <c r="A3112" s="8">
        <v>3110</v>
      </c>
      <c r="B3112" s="8" t="s">
        <v>194</v>
      </c>
      <c r="C3112" s="8" t="s">
        <v>178</v>
      </c>
      <c r="D3112" s="8" t="s">
        <v>195</v>
      </c>
      <c r="E3112" s="8" t="s">
        <v>32</v>
      </c>
    </row>
    <row r="3113" spans="1:5" ht="19.5" customHeight="1">
      <c r="A3113" s="8">
        <v>3111</v>
      </c>
      <c r="B3113" s="8" t="s">
        <v>196</v>
      </c>
      <c r="C3113" s="8" t="s">
        <v>178</v>
      </c>
      <c r="D3113" s="8" t="s">
        <v>197</v>
      </c>
      <c r="E3113" s="8" t="s">
        <v>32</v>
      </c>
    </row>
    <row r="3114" spans="1:5" ht="19.5" customHeight="1">
      <c r="A3114" s="8">
        <v>3112</v>
      </c>
      <c r="B3114" s="8" t="s">
        <v>198</v>
      </c>
      <c r="C3114" s="8" t="s">
        <v>178</v>
      </c>
      <c r="D3114" s="8" t="s">
        <v>199</v>
      </c>
      <c r="E3114" s="8" t="s">
        <v>32</v>
      </c>
    </row>
    <row r="3115" spans="1:5" ht="19.5" customHeight="1">
      <c r="A3115" s="8">
        <v>3113</v>
      </c>
      <c r="B3115" s="8" t="s">
        <v>200</v>
      </c>
      <c r="C3115" s="8" t="s">
        <v>178</v>
      </c>
      <c r="D3115" s="8" t="s">
        <v>201</v>
      </c>
      <c r="E3115" s="8" t="s">
        <v>32</v>
      </c>
    </row>
    <row r="3116" spans="1:5" ht="19.5" customHeight="1">
      <c r="A3116" s="8">
        <v>3114</v>
      </c>
      <c r="B3116" s="8" t="s">
        <v>202</v>
      </c>
      <c r="C3116" s="8" t="s">
        <v>178</v>
      </c>
      <c r="D3116" s="8" t="s">
        <v>203</v>
      </c>
      <c r="E3116" s="8" t="s">
        <v>32</v>
      </c>
    </row>
    <row r="3117" spans="1:5" ht="19.5" customHeight="1">
      <c r="A3117" s="8">
        <v>3115</v>
      </c>
      <c r="B3117" s="8" t="s">
        <v>204</v>
      </c>
      <c r="C3117" s="8" t="s">
        <v>178</v>
      </c>
      <c r="D3117" s="8" t="s">
        <v>205</v>
      </c>
      <c r="E3117" s="8" t="s">
        <v>32</v>
      </c>
    </row>
    <row r="3118" spans="1:5" ht="19.5" customHeight="1">
      <c r="A3118" s="8">
        <v>3116</v>
      </c>
      <c r="B3118" s="8" t="s">
        <v>206</v>
      </c>
      <c r="C3118" s="8" t="s">
        <v>178</v>
      </c>
      <c r="D3118" s="8" t="s">
        <v>207</v>
      </c>
      <c r="E3118" s="8" t="s">
        <v>32</v>
      </c>
    </row>
    <row r="3119" spans="1:5" ht="19.5" customHeight="1">
      <c r="A3119" s="8">
        <v>3117</v>
      </c>
      <c r="B3119" s="8" t="s">
        <v>208</v>
      </c>
      <c r="C3119" s="8" t="s">
        <v>178</v>
      </c>
      <c r="D3119" s="8" t="s">
        <v>209</v>
      </c>
      <c r="E3119" s="8" t="s">
        <v>32</v>
      </c>
    </row>
    <row r="3120" spans="1:5" ht="19.5" customHeight="1">
      <c r="A3120" s="8">
        <v>3118</v>
      </c>
      <c r="B3120" s="8" t="s">
        <v>210</v>
      </c>
      <c r="C3120" s="8" t="s">
        <v>178</v>
      </c>
      <c r="D3120" s="8" t="s">
        <v>211</v>
      </c>
      <c r="E3120" s="8" t="s">
        <v>32</v>
      </c>
    </row>
    <row r="3121" spans="1:5" ht="19.5" customHeight="1">
      <c r="A3121" s="8">
        <v>3119</v>
      </c>
      <c r="B3121" s="8" t="s">
        <v>212</v>
      </c>
      <c r="C3121" s="8" t="s">
        <v>178</v>
      </c>
      <c r="D3121" s="8" t="s">
        <v>213</v>
      </c>
      <c r="E3121" s="8" t="s">
        <v>27</v>
      </c>
    </row>
    <row r="3122" spans="1:5" ht="19.5" customHeight="1">
      <c r="A3122" s="8">
        <v>3120</v>
      </c>
      <c r="B3122" s="8" t="s">
        <v>214</v>
      </c>
      <c r="C3122" s="8" t="s">
        <v>178</v>
      </c>
      <c r="D3122" s="8" t="s">
        <v>215</v>
      </c>
      <c r="E3122" s="8" t="s">
        <v>32</v>
      </c>
    </row>
    <row r="3123" spans="1:5" ht="19.5" customHeight="1">
      <c r="A3123" s="8">
        <v>3121</v>
      </c>
      <c r="B3123" s="8" t="s">
        <v>216</v>
      </c>
      <c r="C3123" s="8" t="s">
        <v>178</v>
      </c>
      <c r="D3123" s="8" t="s">
        <v>217</v>
      </c>
      <c r="E3123" s="8" t="s">
        <v>27</v>
      </c>
    </row>
    <row r="3124" spans="1:5" ht="19.5" customHeight="1">
      <c r="A3124" s="8">
        <v>3122</v>
      </c>
      <c r="B3124" s="8" t="s">
        <v>218</v>
      </c>
      <c r="C3124" s="8" t="s">
        <v>178</v>
      </c>
      <c r="D3124" s="8" t="s">
        <v>219</v>
      </c>
      <c r="E3124" s="8" t="s">
        <v>32</v>
      </c>
    </row>
    <row r="3125" spans="1:5" ht="19.5" customHeight="1">
      <c r="A3125" s="8">
        <v>3123</v>
      </c>
      <c r="B3125" s="8" t="s">
        <v>220</v>
      </c>
      <c r="C3125" s="8" t="s">
        <v>178</v>
      </c>
      <c r="D3125" s="8" t="s">
        <v>221</v>
      </c>
      <c r="E3125" s="8" t="s">
        <v>32</v>
      </c>
    </row>
    <row r="3126" spans="1:5" ht="19.5" customHeight="1">
      <c r="A3126" s="8">
        <v>3124</v>
      </c>
      <c r="B3126" s="8" t="s">
        <v>222</v>
      </c>
      <c r="C3126" s="8" t="s">
        <v>178</v>
      </c>
      <c r="D3126" s="8" t="s">
        <v>223</v>
      </c>
      <c r="E3126" s="8" t="s">
        <v>32</v>
      </c>
    </row>
    <row r="3127" spans="1:5" ht="19.5" customHeight="1">
      <c r="A3127" s="8">
        <v>3125</v>
      </c>
      <c r="B3127" s="8" t="s">
        <v>224</v>
      </c>
      <c r="C3127" s="8" t="s">
        <v>178</v>
      </c>
      <c r="D3127" s="8" t="s">
        <v>225</v>
      </c>
      <c r="E3127" s="8" t="s">
        <v>27</v>
      </c>
    </row>
    <row r="3128" spans="1:5" ht="19.5" customHeight="1">
      <c r="A3128" s="8">
        <v>3126</v>
      </c>
      <c r="B3128" s="8" t="s">
        <v>226</v>
      </c>
      <c r="C3128" s="8" t="s">
        <v>178</v>
      </c>
      <c r="D3128" s="8" t="s">
        <v>227</v>
      </c>
      <c r="E3128" s="8" t="s">
        <v>27</v>
      </c>
    </row>
    <row r="3129" spans="1:5" ht="19.5" customHeight="1">
      <c r="A3129" s="8">
        <v>3127</v>
      </c>
      <c r="B3129" s="8" t="s">
        <v>228</v>
      </c>
      <c r="C3129" s="8" t="s">
        <v>178</v>
      </c>
      <c r="D3129" s="8" t="s">
        <v>229</v>
      </c>
      <c r="E3129" s="8" t="s">
        <v>27</v>
      </c>
    </row>
    <row r="3130" spans="1:5" ht="19.5" customHeight="1">
      <c r="A3130" s="8">
        <v>3128</v>
      </c>
      <c r="B3130" s="8" t="s">
        <v>230</v>
      </c>
      <c r="C3130" s="8" t="s">
        <v>178</v>
      </c>
      <c r="D3130" s="8" t="s">
        <v>231</v>
      </c>
      <c r="E3130" s="8" t="s">
        <v>32</v>
      </c>
    </row>
    <row r="3131" spans="1:5" ht="19.5" customHeight="1">
      <c r="A3131" s="8">
        <v>3129</v>
      </c>
      <c r="B3131" s="8" t="s">
        <v>232</v>
      </c>
      <c r="C3131" s="8" t="s">
        <v>178</v>
      </c>
      <c r="D3131" s="8" t="s">
        <v>233</v>
      </c>
      <c r="E3131" s="8" t="s">
        <v>32</v>
      </c>
    </row>
    <row r="3132" spans="1:5" ht="19.5" customHeight="1">
      <c r="A3132" s="8">
        <v>3130</v>
      </c>
      <c r="B3132" s="8" t="s">
        <v>234</v>
      </c>
      <c r="C3132" s="8" t="s">
        <v>178</v>
      </c>
      <c r="D3132" s="8" t="s">
        <v>235</v>
      </c>
      <c r="E3132" s="8" t="s">
        <v>32</v>
      </c>
    </row>
    <row r="3133" spans="1:5" ht="19.5" customHeight="1">
      <c r="A3133" s="8">
        <v>3131</v>
      </c>
      <c r="B3133" s="8" t="s">
        <v>236</v>
      </c>
      <c r="C3133" s="8" t="s">
        <v>178</v>
      </c>
      <c r="D3133" s="8" t="s">
        <v>237</v>
      </c>
      <c r="E3133" s="8" t="s">
        <v>27</v>
      </c>
    </row>
    <row r="3134" spans="1:5" ht="19.5" customHeight="1">
      <c r="A3134" s="8">
        <v>3132</v>
      </c>
      <c r="B3134" s="8" t="s">
        <v>238</v>
      </c>
      <c r="C3134" s="8" t="s">
        <v>178</v>
      </c>
      <c r="D3134" s="8" t="s">
        <v>239</v>
      </c>
      <c r="E3134" s="8" t="s">
        <v>27</v>
      </c>
    </row>
    <row r="3135" spans="1:5" ht="19.5" customHeight="1">
      <c r="A3135" s="8">
        <v>3133</v>
      </c>
      <c r="B3135" s="8" t="s">
        <v>240</v>
      </c>
      <c r="C3135" s="8" t="s">
        <v>178</v>
      </c>
      <c r="D3135" s="8" t="s">
        <v>241</v>
      </c>
      <c r="E3135" s="8" t="s">
        <v>27</v>
      </c>
    </row>
    <row r="3136" spans="1:5" ht="19.5" customHeight="1">
      <c r="A3136" s="8">
        <v>3134</v>
      </c>
      <c r="B3136" s="8" t="s">
        <v>242</v>
      </c>
      <c r="C3136" s="8" t="s">
        <v>178</v>
      </c>
      <c r="D3136" s="8" t="s">
        <v>243</v>
      </c>
      <c r="E3136" s="8" t="s">
        <v>32</v>
      </c>
    </row>
    <row r="3137" spans="1:5" ht="19.5" customHeight="1">
      <c r="A3137" s="8">
        <v>3135</v>
      </c>
      <c r="B3137" s="8" t="s">
        <v>244</v>
      </c>
      <c r="C3137" s="8" t="s">
        <v>178</v>
      </c>
      <c r="D3137" s="8" t="s">
        <v>245</v>
      </c>
      <c r="E3137" s="8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何妹～</cp:lastModifiedBy>
  <dcterms:created xsi:type="dcterms:W3CDTF">2020-07-22T01:15:09Z</dcterms:created>
  <dcterms:modified xsi:type="dcterms:W3CDTF">2020-08-10T00:50:58Z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