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1" sheetId="1" r:id="rId1"/>
  </sheets>
  <definedNames>
    <definedName name="_xlnm._FilterDatabase" localSheetId="0" hidden="1">'1'!$A$1:$D$2115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/>
  <c r="C2"/>
  <c r="D2"/>
  <c r="A3"/>
  <c r="C3"/>
  <c r="D3"/>
  <c r="A4"/>
  <c r="C4"/>
  <c r="D4"/>
  <c r="A5"/>
  <c r="C5"/>
  <c r="D5"/>
  <c r="A6"/>
  <c r="C6"/>
  <c r="D6"/>
  <c r="A7"/>
  <c r="C7"/>
  <c r="D7"/>
  <c r="A8"/>
  <c r="C8"/>
  <c r="D8"/>
  <c r="A9"/>
  <c r="C9"/>
  <c r="D9"/>
  <c r="A10"/>
  <c r="C10"/>
  <c r="D10"/>
  <c r="A11"/>
  <c r="C11"/>
  <c r="D11"/>
  <c r="A12"/>
  <c r="C12"/>
  <c r="D12"/>
  <c r="A13"/>
  <c r="C13"/>
  <c r="D13"/>
  <c r="A14"/>
  <c r="C14"/>
  <c r="D14"/>
  <c r="A15"/>
  <c r="C15"/>
  <c r="D15"/>
  <c r="A16"/>
  <c r="C16"/>
  <c r="D16"/>
  <c r="A17"/>
  <c r="C17"/>
  <c r="D17"/>
  <c r="A18"/>
  <c r="C18"/>
  <c r="D18"/>
  <c r="A19"/>
  <c r="C19"/>
  <c r="D19"/>
  <c r="A20"/>
  <c r="C20"/>
  <c r="D20"/>
  <c r="A21"/>
  <c r="C21"/>
  <c r="D21"/>
  <c r="A22"/>
  <c r="C22"/>
  <c r="D22"/>
  <c r="A23"/>
  <c r="C23"/>
  <c r="D23"/>
  <c r="A24"/>
  <c r="C24"/>
  <c r="D24"/>
  <c r="A25"/>
  <c r="C25"/>
  <c r="D25"/>
  <c r="A26"/>
  <c r="C26"/>
  <c r="D26"/>
  <c r="A27"/>
  <c r="C27"/>
  <c r="D27"/>
  <c r="A28"/>
  <c r="C28"/>
  <c r="D28"/>
  <c r="A29"/>
  <c r="C29"/>
  <c r="D29"/>
  <c r="A30"/>
  <c r="C30"/>
  <c r="D30"/>
  <c r="A31"/>
  <c r="C31"/>
  <c r="D31"/>
  <c r="A32"/>
  <c r="C32"/>
  <c r="D32"/>
  <c r="A33"/>
  <c r="C33"/>
  <c r="D33"/>
  <c r="A34"/>
  <c r="C34"/>
  <c r="D34"/>
  <c r="A35"/>
  <c r="C35"/>
  <c r="D35"/>
  <c r="A36"/>
  <c r="C36"/>
  <c r="D36"/>
  <c r="A37"/>
  <c r="C37"/>
  <c r="D37"/>
  <c r="A38"/>
  <c r="C38"/>
  <c r="D38"/>
  <c r="A39"/>
  <c r="C39"/>
  <c r="D39"/>
  <c r="A40"/>
  <c r="C40"/>
  <c r="D40"/>
  <c r="A41"/>
  <c r="C41"/>
  <c r="D41"/>
  <c r="A42"/>
  <c r="C42"/>
  <c r="D42"/>
  <c r="A43"/>
  <c r="C43"/>
  <c r="D43"/>
  <c r="A44"/>
  <c r="C44"/>
  <c r="D44"/>
  <c r="A45"/>
  <c r="C45"/>
  <c r="D45"/>
  <c r="A46"/>
  <c r="C46"/>
  <c r="D46"/>
  <c r="A47"/>
  <c r="C47"/>
  <c r="D47"/>
  <c r="A48"/>
  <c r="C48"/>
  <c r="D48"/>
  <c r="A49"/>
  <c r="C49"/>
  <c r="D49"/>
  <c r="A50"/>
  <c r="C50"/>
  <c r="D50"/>
  <c r="A51"/>
  <c r="C51"/>
  <c r="D51"/>
  <c r="A52"/>
  <c r="C52"/>
  <c r="D52"/>
  <c r="A53"/>
  <c r="C53"/>
  <c r="D53"/>
  <c r="A54"/>
  <c r="C54"/>
  <c r="D54"/>
  <c r="A55"/>
  <c r="C55"/>
  <c r="D55"/>
  <c r="A56"/>
  <c r="C56"/>
  <c r="D56"/>
  <c r="A57"/>
  <c r="C57"/>
  <c r="D57"/>
  <c r="A58"/>
  <c r="C58"/>
  <c r="D58"/>
  <c r="A59"/>
  <c r="C59"/>
  <c r="D59"/>
  <c r="A60"/>
  <c r="C60"/>
  <c r="D60"/>
  <c r="A61"/>
  <c r="C61"/>
  <c r="D61"/>
  <c r="A62"/>
  <c r="C62"/>
  <c r="D62"/>
  <c r="A63"/>
  <c r="C63"/>
  <c r="D63"/>
  <c r="A64"/>
  <c r="C64"/>
  <c r="D64"/>
  <c r="A65"/>
  <c r="C65"/>
  <c r="D65"/>
  <c r="A66"/>
  <c r="C66"/>
  <c r="D66"/>
  <c r="A67"/>
  <c r="C67"/>
  <c r="D67"/>
  <c r="A68"/>
  <c r="C68"/>
  <c r="D68"/>
  <c r="A69"/>
  <c r="C69"/>
  <c r="D69"/>
  <c r="A70"/>
  <c r="C70"/>
  <c r="D70"/>
  <c r="A71"/>
  <c r="C71"/>
  <c r="D71"/>
  <c r="A72"/>
  <c r="C72"/>
  <c r="D72"/>
  <c r="A73"/>
  <c r="C73"/>
  <c r="D73"/>
  <c r="A74"/>
  <c r="C74"/>
  <c r="D74"/>
  <c r="A75"/>
  <c r="C75"/>
  <c r="D75"/>
  <c r="A76"/>
  <c r="C76"/>
  <c r="D76"/>
  <c r="A77"/>
  <c r="C77"/>
  <c r="D77"/>
  <c r="A78"/>
  <c r="C78"/>
  <c r="D78"/>
  <c r="A79"/>
  <c r="C79"/>
  <c r="D79"/>
  <c r="A80"/>
  <c r="C80"/>
  <c r="D80"/>
  <c r="A81"/>
  <c r="C81"/>
  <c r="D81"/>
  <c r="A82"/>
  <c r="C82"/>
  <c r="D82"/>
  <c r="A83"/>
  <c r="C83"/>
  <c r="D83"/>
  <c r="A84"/>
  <c r="C84"/>
  <c r="D84"/>
  <c r="A85"/>
  <c r="C85"/>
  <c r="D85"/>
  <c r="A86"/>
  <c r="C86"/>
  <c r="D86"/>
  <c r="A87"/>
  <c r="C87"/>
  <c r="D87"/>
  <c r="A88"/>
  <c r="C88"/>
  <c r="D88"/>
  <c r="A89"/>
  <c r="C89"/>
  <c r="D89"/>
  <c r="A90"/>
  <c r="C90"/>
  <c r="D90"/>
  <c r="A91"/>
  <c r="C91"/>
  <c r="D91"/>
  <c r="A92"/>
  <c r="C92"/>
  <c r="D92"/>
  <c r="A93"/>
  <c r="C93"/>
  <c r="D93"/>
  <c r="A94"/>
  <c r="C94"/>
  <c r="D94"/>
  <c r="A95"/>
  <c r="C95"/>
  <c r="D95"/>
  <c r="A96"/>
  <c r="C96"/>
  <c r="D96"/>
  <c r="A97"/>
  <c r="C97"/>
  <c r="D97"/>
  <c r="A98"/>
  <c r="C98"/>
  <c r="D98"/>
  <c r="A99"/>
  <c r="C99"/>
  <c r="D99"/>
  <c r="A100"/>
  <c r="C100"/>
  <c r="D100"/>
  <c r="A101"/>
  <c r="C101"/>
  <c r="D101"/>
  <c r="A102"/>
  <c r="C102"/>
  <c r="D102"/>
  <c r="A103"/>
  <c r="C103"/>
  <c r="D103"/>
  <c r="A104"/>
  <c r="C104"/>
  <c r="D104"/>
  <c r="A105"/>
  <c r="C105"/>
  <c r="D105"/>
  <c r="A106"/>
  <c r="C106"/>
  <c r="D106"/>
  <c r="A107"/>
  <c r="C107"/>
  <c r="D107"/>
  <c r="A108"/>
  <c r="C108"/>
  <c r="D108"/>
  <c r="A109"/>
  <c r="C109"/>
  <c r="D109"/>
  <c r="A110"/>
  <c r="C110"/>
  <c r="D110"/>
  <c r="A111"/>
  <c r="C111"/>
  <c r="D111"/>
  <c r="A112"/>
  <c r="C112"/>
  <c r="D112"/>
  <c r="A113"/>
  <c r="C113"/>
  <c r="D113"/>
  <c r="A114"/>
  <c r="C114"/>
  <c r="D114"/>
  <c r="A115"/>
  <c r="C115"/>
  <c r="D115"/>
  <c r="A116"/>
  <c r="C116"/>
  <c r="D116"/>
  <c r="A117"/>
  <c r="C117"/>
  <c r="D117"/>
  <c r="A118"/>
  <c r="C118"/>
  <c r="D118"/>
  <c r="A119"/>
  <c r="C119"/>
  <c r="D119"/>
  <c r="A120"/>
  <c r="C120"/>
  <c r="D120"/>
  <c r="A121"/>
  <c r="C121"/>
  <c r="D121"/>
  <c r="A122"/>
  <c r="C122"/>
  <c r="D122"/>
  <c r="A123"/>
  <c r="C123"/>
  <c r="D123"/>
  <c r="A124"/>
  <c r="C124"/>
  <c r="D124"/>
  <c r="A125"/>
  <c r="C125"/>
  <c r="D125"/>
  <c r="A126"/>
  <c r="C126"/>
  <c r="D126"/>
  <c r="A127"/>
  <c r="C127"/>
  <c r="D127"/>
  <c r="A128"/>
  <c r="C128"/>
  <c r="D128"/>
  <c r="A129"/>
  <c r="C129"/>
  <c r="D129"/>
  <c r="A130"/>
  <c r="C130"/>
  <c r="D130"/>
  <c r="A131"/>
  <c r="C131"/>
  <c r="D131"/>
  <c r="A132"/>
  <c r="C132"/>
  <c r="D132"/>
  <c r="A133"/>
  <c r="C133"/>
  <c r="D133"/>
  <c r="A134"/>
  <c r="C134"/>
  <c r="D134"/>
  <c r="A135"/>
  <c r="C135"/>
  <c r="D135"/>
  <c r="A136"/>
  <c r="C136"/>
  <c r="D136"/>
  <c r="A137"/>
  <c r="C137"/>
  <c r="D137"/>
  <c r="A138"/>
  <c r="C138"/>
  <c r="D138"/>
  <c r="A139"/>
  <c r="C139"/>
  <c r="D139"/>
  <c r="A140"/>
  <c r="C140"/>
  <c r="D140"/>
  <c r="A141"/>
  <c r="C141"/>
  <c r="D141"/>
  <c r="A142"/>
  <c r="C142"/>
  <c r="D142"/>
  <c r="A143"/>
  <c r="C143"/>
  <c r="D143"/>
  <c r="A144"/>
  <c r="C144"/>
  <c r="D144"/>
  <c r="A145"/>
  <c r="C145"/>
  <c r="D145"/>
  <c r="A146"/>
  <c r="C146"/>
  <c r="D146"/>
  <c r="A147"/>
  <c r="C147"/>
  <c r="D147"/>
  <c r="A148"/>
  <c r="C148"/>
  <c r="D148"/>
  <c r="A149"/>
  <c r="C149"/>
  <c r="D149"/>
  <c r="A150"/>
  <c r="C150"/>
  <c r="D150"/>
  <c r="A151"/>
  <c r="C151"/>
  <c r="D151"/>
  <c r="A152"/>
  <c r="C152"/>
  <c r="D152"/>
  <c r="A153"/>
  <c r="C153"/>
  <c r="D153"/>
  <c r="A154"/>
  <c r="C154"/>
  <c r="D154"/>
  <c r="A155"/>
  <c r="C155"/>
  <c r="D155"/>
  <c r="A156"/>
  <c r="C156"/>
  <c r="D156"/>
  <c r="A157"/>
  <c r="C157"/>
  <c r="D157"/>
  <c r="A158"/>
  <c r="C158"/>
  <c r="D158"/>
  <c r="A159"/>
  <c r="C159"/>
  <c r="D159"/>
  <c r="A160"/>
  <c r="C160"/>
  <c r="D160"/>
  <c r="A161"/>
  <c r="C161"/>
  <c r="D161"/>
  <c r="A162"/>
  <c r="C162"/>
  <c r="D162"/>
  <c r="A163"/>
  <c r="C163"/>
  <c r="D163"/>
  <c r="A164"/>
  <c r="C164"/>
  <c r="D164"/>
  <c r="A165"/>
  <c r="C165"/>
  <c r="D165"/>
  <c r="A166"/>
  <c r="C166"/>
  <c r="D166"/>
  <c r="A167"/>
  <c r="C167"/>
  <c r="D167"/>
  <c r="A168"/>
  <c r="C168"/>
  <c r="D168"/>
  <c r="A169"/>
  <c r="C169"/>
  <c r="D169"/>
  <c r="A170"/>
  <c r="C170"/>
  <c r="D170"/>
  <c r="A171"/>
  <c r="C171"/>
  <c r="D171"/>
  <c r="A172"/>
  <c r="C172"/>
  <c r="D172"/>
  <c r="A173"/>
  <c r="C173"/>
  <c r="D173"/>
  <c r="A174"/>
  <c r="C174"/>
  <c r="D174"/>
  <c r="A175"/>
  <c r="C175"/>
  <c r="D175"/>
  <c r="A176"/>
  <c r="C176"/>
  <c r="D176"/>
  <c r="A177"/>
  <c r="C177"/>
  <c r="D177"/>
  <c r="A178"/>
  <c r="C178"/>
  <c r="D178"/>
  <c r="A179"/>
  <c r="C179"/>
  <c r="D179"/>
  <c r="A180"/>
  <c r="C180"/>
  <c r="D180"/>
  <c r="A181"/>
  <c r="C181"/>
  <c r="D181"/>
  <c r="A182"/>
  <c r="C182"/>
  <c r="D182"/>
  <c r="A183"/>
  <c r="C183"/>
  <c r="D183"/>
  <c r="A184"/>
  <c r="C184"/>
  <c r="D184"/>
  <c r="A185"/>
  <c r="C185"/>
  <c r="D185"/>
  <c r="A186"/>
  <c r="C186"/>
  <c r="D186"/>
  <c r="A187"/>
  <c r="C187"/>
  <c r="D187"/>
  <c r="A188"/>
  <c r="C188"/>
  <c r="D188"/>
  <c r="A189"/>
  <c r="C189"/>
  <c r="D189"/>
  <c r="A190"/>
  <c r="C190"/>
  <c r="D190"/>
  <c r="A191"/>
  <c r="C191"/>
  <c r="D191"/>
  <c r="A192"/>
  <c r="C192"/>
  <c r="D192"/>
  <c r="A193"/>
  <c r="C193"/>
  <c r="D193"/>
  <c r="A194"/>
  <c r="C194"/>
  <c r="D194"/>
  <c r="A195"/>
  <c r="C195"/>
  <c r="D195"/>
  <c r="A196"/>
  <c r="C196"/>
  <c r="D196"/>
  <c r="A197"/>
  <c r="C197"/>
  <c r="D197"/>
  <c r="A198"/>
  <c r="C198"/>
  <c r="D198"/>
  <c r="A199"/>
  <c r="C199"/>
  <c r="D199"/>
  <c r="A200"/>
  <c r="C200"/>
  <c r="D200"/>
  <c r="A201"/>
  <c r="C201"/>
  <c r="D201"/>
  <c r="A202"/>
  <c r="C202"/>
  <c r="D202"/>
  <c r="A203"/>
  <c r="C203"/>
  <c r="D203"/>
  <c r="A204"/>
  <c r="C204"/>
  <c r="D204"/>
  <c r="A205"/>
  <c r="C205"/>
  <c r="D205"/>
  <c r="A206"/>
  <c r="C206"/>
  <c r="D206"/>
  <c r="A207"/>
  <c r="C207"/>
  <c r="D207"/>
  <c r="A208"/>
  <c r="C208"/>
  <c r="D208"/>
  <c r="A209"/>
  <c r="C209"/>
  <c r="D209"/>
  <c r="A210"/>
  <c r="C210"/>
  <c r="D210"/>
  <c r="A211"/>
  <c r="C211"/>
  <c r="D211"/>
  <c r="A212"/>
  <c r="C212"/>
  <c r="D212"/>
  <c r="A213"/>
  <c r="C213"/>
  <c r="D213"/>
  <c r="A214"/>
  <c r="C214"/>
  <c r="D214"/>
  <c r="A215"/>
  <c r="C215"/>
  <c r="D215"/>
  <c r="A216"/>
  <c r="C216"/>
  <c r="D216"/>
  <c r="A217"/>
  <c r="C217"/>
  <c r="D217"/>
  <c r="A218"/>
  <c r="C218"/>
  <c r="D218"/>
  <c r="A219"/>
  <c r="C219"/>
  <c r="D219"/>
  <c r="A220"/>
  <c r="C220"/>
  <c r="D220"/>
  <c r="A221"/>
  <c r="C221"/>
  <c r="D221"/>
  <c r="A222"/>
  <c r="C222"/>
  <c r="D222"/>
  <c r="A223"/>
  <c r="C223"/>
  <c r="D223"/>
  <c r="A224"/>
  <c r="C224"/>
  <c r="D224"/>
  <c r="A225"/>
  <c r="C225"/>
  <c r="D225"/>
  <c r="A226"/>
  <c r="C226"/>
  <c r="D226"/>
  <c r="A227"/>
  <c r="C227"/>
  <c r="D227"/>
  <c r="A228"/>
  <c r="C228"/>
  <c r="D228"/>
  <c r="A229"/>
  <c r="C229"/>
  <c r="D229"/>
  <c r="A230"/>
  <c r="C230"/>
  <c r="D230"/>
  <c r="A231"/>
  <c r="C231"/>
  <c r="D231"/>
  <c r="A232"/>
  <c r="C232"/>
  <c r="D232"/>
  <c r="A233"/>
  <c r="C233"/>
  <c r="D233"/>
  <c r="A234"/>
  <c r="C234"/>
  <c r="D234"/>
  <c r="A235"/>
  <c r="C235"/>
  <c r="D235"/>
  <c r="A236"/>
  <c r="C236"/>
  <c r="D236"/>
  <c r="A237"/>
  <c r="C237"/>
  <c r="D237"/>
  <c r="A238"/>
  <c r="C238"/>
  <c r="D238"/>
  <c r="A239"/>
  <c r="C239"/>
  <c r="D239"/>
  <c r="A240"/>
  <c r="C240"/>
  <c r="D240"/>
  <c r="A241"/>
  <c r="C241"/>
  <c r="D241"/>
  <c r="A242"/>
  <c r="C242"/>
  <c r="D242"/>
  <c r="A243"/>
  <c r="C243"/>
  <c r="D243"/>
  <c r="A244"/>
  <c r="C244"/>
  <c r="D244"/>
  <c r="A245"/>
  <c r="C245"/>
  <c r="D245"/>
  <c r="A246"/>
  <c r="C246"/>
  <c r="D246"/>
  <c r="A247"/>
  <c r="C247"/>
  <c r="D247"/>
  <c r="A248"/>
  <c r="C248"/>
  <c r="D248"/>
  <c r="A249"/>
  <c r="C249"/>
  <c r="D249"/>
  <c r="A250"/>
  <c r="C250"/>
  <c r="D250"/>
  <c r="A251"/>
  <c r="C251"/>
  <c r="D251"/>
  <c r="A252"/>
  <c r="C252"/>
  <c r="D252"/>
  <c r="A253"/>
  <c r="C253"/>
  <c r="D253"/>
  <c r="A254"/>
  <c r="C254"/>
  <c r="D254"/>
  <c r="A255"/>
  <c r="C255"/>
  <c r="D255"/>
  <c r="A256"/>
  <c r="C256"/>
  <c r="D256"/>
  <c r="A257"/>
  <c r="C257"/>
  <c r="D257"/>
  <c r="A258"/>
  <c r="C258"/>
  <c r="D258"/>
  <c r="A259"/>
  <c r="C259"/>
  <c r="D259"/>
  <c r="A260"/>
  <c r="C260"/>
  <c r="D260"/>
  <c r="A261"/>
  <c r="C261"/>
  <c r="D261"/>
  <c r="A262"/>
  <c r="C262"/>
  <c r="D262"/>
  <c r="A263"/>
  <c r="C263"/>
  <c r="D263"/>
  <c r="A264"/>
  <c r="C264"/>
  <c r="D264"/>
  <c r="A265"/>
  <c r="C265"/>
  <c r="D265"/>
  <c r="A266"/>
  <c r="C266"/>
  <c r="D266"/>
  <c r="A267"/>
  <c r="C267"/>
  <c r="D267"/>
  <c r="A268"/>
  <c r="C268"/>
  <c r="D268"/>
  <c r="A269"/>
  <c r="C269"/>
  <c r="D269"/>
  <c r="A270"/>
  <c r="C270"/>
  <c r="D270"/>
  <c r="A271"/>
  <c r="C271"/>
  <c r="D271"/>
  <c r="A272"/>
  <c r="C272"/>
  <c r="D272"/>
  <c r="A273"/>
  <c r="C273"/>
  <c r="D273"/>
  <c r="A274"/>
  <c r="C274"/>
  <c r="D274"/>
  <c r="A275"/>
  <c r="C275"/>
  <c r="D275"/>
  <c r="A276"/>
  <c r="C276"/>
  <c r="D276"/>
  <c r="A277"/>
  <c r="C277"/>
  <c r="D277"/>
  <c r="A278"/>
  <c r="C278"/>
  <c r="D278"/>
  <c r="A279"/>
  <c r="C279"/>
  <c r="D279"/>
  <c r="A280"/>
  <c r="C280"/>
  <c r="D280"/>
  <c r="A281"/>
  <c r="C281"/>
  <c r="D281"/>
  <c r="A282"/>
  <c r="C282"/>
  <c r="D282"/>
  <c r="A283"/>
  <c r="C283"/>
  <c r="D283"/>
  <c r="A284"/>
  <c r="C284"/>
  <c r="D284"/>
  <c r="A285"/>
  <c r="C285"/>
  <c r="D285"/>
  <c r="A286"/>
  <c r="C286"/>
  <c r="D286"/>
  <c r="A287"/>
  <c r="C287"/>
  <c r="D287"/>
  <c r="A288"/>
  <c r="C288"/>
  <c r="D288"/>
  <c r="A289"/>
  <c r="C289"/>
  <c r="D289"/>
  <c r="A290"/>
  <c r="C290"/>
  <c r="D290"/>
  <c r="A291"/>
  <c r="C291"/>
  <c r="D291"/>
  <c r="A292"/>
  <c r="C292"/>
  <c r="D292"/>
  <c r="A293"/>
  <c r="C293"/>
  <c r="D293"/>
  <c r="A294"/>
  <c r="C294"/>
  <c r="D294"/>
  <c r="A295"/>
  <c r="C295"/>
  <c r="D295"/>
  <c r="A296"/>
  <c r="C296"/>
  <c r="D296"/>
  <c r="A297"/>
  <c r="C297"/>
  <c r="D297"/>
  <c r="A298"/>
  <c r="C298"/>
  <c r="D298"/>
  <c r="A299"/>
  <c r="C299"/>
  <c r="D299"/>
  <c r="A300"/>
  <c r="C300"/>
  <c r="D300"/>
  <c r="A301"/>
  <c r="C301"/>
  <c r="D301"/>
  <c r="A302"/>
  <c r="C302"/>
  <c r="D302"/>
  <c r="A303"/>
  <c r="C303"/>
  <c r="D303"/>
  <c r="A304"/>
  <c r="C304"/>
  <c r="D304"/>
  <c r="A305"/>
  <c r="C305"/>
  <c r="D305"/>
  <c r="A306"/>
  <c r="C306"/>
  <c r="D306"/>
  <c r="A307"/>
  <c r="C307"/>
  <c r="D307"/>
  <c r="A308"/>
  <c r="C308"/>
  <c r="D308"/>
  <c r="A309"/>
  <c r="C309"/>
  <c r="D309"/>
  <c r="A310"/>
  <c r="C310"/>
  <c r="D310"/>
  <c r="A311"/>
  <c r="C311"/>
  <c r="D311"/>
  <c r="A312"/>
  <c r="C312"/>
  <c r="D312"/>
  <c r="A313"/>
  <c r="C313"/>
  <c r="D313"/>
  <c r="A314"/>
  <c r="C314"/>
  <c r="D314"/>
  <c r="A315"/>
  <c r="C315"/>
  <c r="D315"/>
  <c r="A316"/>
  <c r="C316"/>
  <c r="D316"/>
  <c r="A317"/>
  <c r="C317"/>
  <c r="D317"/>
  <c r="A318"/>
  <c r="C318"/>
  <c r="D318"/>
  <c r="A319"/>
  <c r="C319"/>
  <c r="D319"/>
  <c r="A320"/>
  <c r="C320"/>
  <c r="D320"/>
  <c r="A321"/>
  <c r="C321"/>
  <c r="D321"/>
  <c r="A322"/>
  <c r="C322"/>
  <c r="D322"/>
  <c r="A323"/>
  <c r="C323"/>
  <c r="D323"/>
  <c r="A324"/>
  <c r="C324"/>
  <c r="D324"/>
  <c r="A325"/>
  <c r="C325"/>
  <c r="D325"/>
  <c r="A326"/>
  <c r="C326"/>
  <c r="D326"/>
  <c r="A327"/>
  <c r="C327"/>
  <c r="D327"/>
  <c r="A328"/>
  <c r="C328"/>
  <c r="D328"/>
  <c r="A329"/>
  <c r="C329"/>
  <c r="D329"/>
  <c r="A330"/>
  <c r="C330"/>
  <c r="D330"/>
  <c r="A331"/>
  <c r="C331"/>
  <c r="D331"/>
  <c r="A332"/>
  <c r="C332"/>
  <c r="D332"/>
  <c r="A333"/>
  <c r="C333"/>
  <c r="D333"/>
  <c r="A334"/>
  <c r="C334"/>
  <c r="D334"/>
  <c r="A335"/>
  <c r="C335"/>
  <c r="D335"/>
  <c r="A336"/>
  <c r="C336"/>
  <c r="D336"/>
  <c r="A337"/>
  <c r="C337"/>
  <c r="D337"/>
  <c r="A338"/>
  <c r="C338"/>
  <c r="D338"/>
  <c r="A339"/>
  <c r="C339"/>
  <c r="D339"/>
  <c r="A340"/>
  <c r="C340"/>
  <c r="D340"/>
  <c r="A341"/>
  <c r="C341"/>
  <c r="D341"/>
  <c r="A342"/>
  <c r="C342"/>
  <c r="D342"/>
  <c r="A343"/>
  <c r="C343"/>
  <c r="D343"/>
  <c r="A344"/>
  <c r="C344"/>
  <c r="D344"/>
  <c r="A345"/>
  <c r="C345"/>
  <c r="D345"/>
  <c r="A346"/>
  <c r="C346"/>
  <c r="D346"/>
  <c r="A347"/>
  <c r="C347"/>
  <c r="D347"/>
  <c r="A348"/>
  <c r="C348"/>
  <c r="D348"/>
  <c r="A349"/>
  <c r="C349"/>
  <c r="D349"/>
  <c r="A350"/>
  <c r="C350"/>
  <c r="D350"/>
  <c r="A351"/>
  <c r="C351"/>
  <c r="D351"/>
  <c r="A352"/>
  <c r="C352"/>
  <c r="D352"/>
  <c r="A353"/>
  <c r="C353"/>
  <c r="D353"/>
  <c r="A354"/>
  <c r="C354"/>
  <c r="D354"/>
  <c r="A355"/>
  <c r="C355"/>
  <c r="D355"/>
  <c r="A356"/>
  <c r="C356"/>
  <c r="D356"/>
  <c r="A357"/>
  <c r="C357"/>
  <c r="D357"/>
  <c r="A358"/>
  <c r="C358"/>
  <c r="D358"/>
  <c r="A359"/>
  <c r="C359"/>
  <c r="D359"/>
  <c r="A360"/>
  <c r="C360"/>
  <c r="D360"/>
  <c r="A361"/>
  <c r="C361"/>
  <c r="D361"/>
  <c r="A362"/>
  <c r="C362"/>
  <c r="D362"/>
  <c r="A363"/>
  <c r="C363"/>
  <c r="D363"/>
  <c r="A364"/>
  <c r="C364"/>
  <c r="D364"/>
  <c r="A365"/>
  <c r="C365"/>
  <c r="D365"/>
  <c r="A366"/>
  <c r="C366"/>
  <c r="D366"/>
  <c r="A367"/>
  <c r="C367"/>
  <c r="D367"/>
  <c r="A368"/>
  <c r="C368"/>
  <c r="D368"/>
  <c r="A369"/>
  <c r="C369"/>
  <c r="D369"/>
  <c r="A370"/>
  <c r="C370"/>
  <c r="D370"/>
  <c r="A371"/>
  <c r="C371"/>
  <c r="D371"/>
  <c r="A372"/>
  <c r="C372"/>
  <c r="D372"/>
  <c r="A373"/>
  <c r="C373"/>
  <c r="D373"/>
  <c r="A374"/>
  <c r="C374"/>
  <c r="D374"/>
  <c r="A375"/>
  <c r="C375"/>
  <c r="D375"/>
  <c r="A376"/>
  <c r="C376"/>
  <c r="D376"/>
  <c r="A377"/>
  <c r="C377"/>
  <c r="D377"/>
  <c r="A378"/>
  <c r="C378"/>
  <c r="D378"/>
  <c r="A379"/>
  <c r="C379"/>
  <c r="D379"/>
  <c r="A380"/>
  <c r="C380"/>
  <c r="D380"/>
  <c r="A381"/>
  <c r="C381"/>
  <c r="D381"/>
  <c r="A382"/>
  <c r="C382"/>
  <c r="D382"/>
  <c r="A383"/>
  <c r="C383"/>
  <c r="D383"/>
  <c r="A384"/>
  <c r="C384"/>
  <c r="D384"/>
  <c r="A385"/>
  <c r="C385"/>
  <c r="D385"/>
  <c r="A386"/>
  <c r="C386"/>
  <c r="D386"/>
  <c r="A387"/>
  <c r="C387"/>
  <c r="D387"/>
  <c r="A388"/>
  <c r="C388"/>
  <c r="D388"/>
  <c r="A389"/>
  <c r="C389"/>
  <c r="D389"/>
  <c r="A390"/>
  <c r="C390"/>
  <c r="D390"/>
  <c r="A391"/>
  <c r="C391"/>
  <c r="D391"/>
  <c r="A392"/>
  <c r="C392"/>
  <c r="D392"/>
  <c r="A393"/>
  <c r="C393"/>
  <c r="D393"/>
  <c r="A394"/>
  <c r="C394"/>
  <c r="D394"/>
  <c r="A395"/>
  <c r="C395"/>
  <c r="D395"/>
  <c r="A396"/>
  <c r="C396"/>
  <c r="D396"/>
  <c r="A397"/>
  <c r="C397"/>
  <c r="D397"/>
  <c r="A398"/>
  <c r="C398"/>
  <c r="D398"/>
  <c r="A399"/>
  <c r="C399"/>
  <c r="D399"/>
  <c r="A400"/>
  <c r="C400"/>
  <c r="D400"/>
  <c r="A401"/>
  <c r="C401"/>
  <c r="D401"/>
  <c r="A402"/>
  <c r="C402"/>
  <c r="D402"/>
  <c r="A403"/>
  <c r="C403"/>
  <c r="D403"/>
  <c r="A404"/>
  <c r="C404"/>
  <c r="D404"/>
  <c r="A405"/>
  <c r="C405"/>
  <c r="D405"/>
  <c r="A406"/>
  <c r="C406"/>
  <c r="D406"/>
  <c r="A407"/>
  <c r="C407"/>
  <c r="D407"/>
  <c r="A408"/>
  <c r="C408"/>
  <c r="D408"/>
  <c r="A409"/>
  <c r="C409"/>
  <c r="D409"/>
  <c r="A410"/>
  <c r="C410"/>
  <c r="D410"/>
  <c r="A411"/>
  <c r="C411"/>
  <c r="D411"/>
  <c r="A412"/>
  <c r="C412"/>
  <c r="D412"/>
  <c r="A413"/>
  <c r="C413"/>
  <c r="D413"/>
  <c r="A414"/>
  <c r="C414"/>
  <c r="D414"/>
  <c r="A415"/>
  <c r="C415"/>
  <c r="D415"/>
  <c r="A416"/>
  <c r="C416"/>
  <c r="D416"/>
  <c r="A417"/>
  <c r="C417"/>
  <c r="D417"/>
  <c r="A418"/>
  <c r="C418"/>
  <c r="D418"/>
  <c r="A419"/>
  <c r="C419"/>
  <c r="D419"/>
  <c r="A420"/>
  <c r="C420"/>
  <c r="D420"/>
  <c r="A421"/>
  <c r="C421"/>
  <c r="D421"/>
  <c r="A422"/>
  <c r="C422"/>
  <c r="D422"/>
  <c r="A423"/>
  <c r="C423"/>
  <c r="D423"/>
  <c r="A424"/>
  <c r="C424"/>
  <c r="D424"/>
  <c r="A425"/>
  <c r="C425"/>
  <c r="D425"/>
  <c r="A426"/>
  <c r="C426"/>
  <c r="D426"/>
  <c r="A427"/>
  <c r="C427"/>
  <c r="D427"/>
  <c r="A428"/>
  <c r="C428"/>
  <c r="D428"/>
  <c r="A429"/>
  <c r="C429"/>
  <c r="D429"/>
  <c r="A430"/>
  <c r="C430"/>
  <c r="D430"/>
  <c r="A431"/>
  <c r="C431"/>
  <c r="D431"/>
  <c r="A432"/>
  <c r="C432"/>
  <c r="D432"/>
  <c r="A433"/>
  <c r="C433"/>
  <c r="D433"/>
  <c r="A434"/>
  <c r="C434"/>
  <c r="D434"/>
  <c r="A435"/>
  <c r="C435"/>
  <c r="D435"/>
  <c r="A436"/>
  <c r="C436"/>
  <c r="D436"/>
  <c r="A437"/>
  <c r="C437"/>
  <c r="D437"/>
  <c r="A438"/>
  <c r="C438"/>
  <c r="D438"/>
  <c r="A439"/>
  <c r="C439"/>
  <c r="D439"/>
  <c r="A440"/>
  <c r="C440"/>
  <c r="D440"/>
  <c r="A441"/>
  <c r="C441"/>
  <c r="D441"/>
  <c r="A442"/>
  <c r="C442"/>
  <c r="D442"/>
  <c r="A443"/>
  <c r="C443"/>
  <c r="D443"/>
  <c r="A444"/>
  <c r="C444"/>
  <c r="D444"/>
  <c r="A445"/>
  <c r="C445"/>
  <c r="D445"/>
  <c r="A446"/>
  <c r="C446"/>
  <c r="D446"/>
  <c r="A447"/>
  <c r="C447"/>
  <c r="D447"/>
  <c r="A448"/>
  <c r="C448"/>
  <c r="D448"/>
  <c r="A449"/>
  <c r="C449"/>
  <c r="D449"/>
  <c r="A450"/>
  <c r="C450"/>
  <c r="D450"/>
  <c r="A451"/>
  <c r="C451"/>
  <c r="D451"/>
  <c r="A452"/>
  <c r="C452"/>
  <c r="D452"/>
  <c r="A453"/>
  <c r="C453"/>
  <c r="D453"/>
  <c r="A454"/>
  <c r="C454"/>
  <c r="D454"/>
  <c r="A455"/>
  <c r="C455"/>
  <c r="D455"/>
  <c r="A456"/>
  <c r="C456"/>
  <c r="D456"/>
  <c r="A457"/>
  <c r="C457"/>
  <c r="D457"/>
  <c r="A458"/>
  <c r="C458"/>
  <c r="D458"/>
  <c r="A459"/>
  <c r="C459"/>
  <c r="D459"/>
  <c r="A460"/>
  <c r="C460"/>
  <c r="D460"/>
  <c r="A461"/>
  <c r="C461"/>
  <c r="D461"/>
  <c r="A462"/>
  <c r="C462"/>
  <c r="D462"/>
  <c r="A463"/>
  <c r="C463"/>
  <c r="D463"/>
  <c r="A464"/>
  <c r="C464"/>
  <c r="D464"/>
  <c r="A465"/>
  <c r="C465"/>
  <c r="D465"/>
  <c r="A466"/>
  <c r="C466"/>
  <c r="D466"/>
  <c r="A467"/>
  <c r="C467"/>
  <c r="D467"/>
  <c r="A468"/>
  <c r="C468"/>
  <c r="D468"/>
  <c r="A469"/>
  <c r="C469"/>
  <c r="D469"/>
  <c r="A470"/>
  <c r="C470"/>
  <c r="D470"/>
  <c r="A471"/>
  <c r="C471"/>
  <c r="D471"/>
  <c r="A472"/>
  <c r="C472"/>
  <c r="D472"/>
  <c r="A473"/>
  <c r="C473"/>
  <c r="D473"/>
  <c r="A474"/>
  <c r="C474"/>
  <c r="D474"/>
  <c r="A475"/>
  <c r="C475"/>
  <c r="D475"/>
  <c r="A476"/>
  <c r="C476"/>
  <c r="D476"/>
  <c r="A477"/>
  <c r="C477"/>
  <c r="D477"/>
  <c r="A478"/>
  <c r="C478"/>
  <c r="D478"/>
  <c r="A479"/>
  <c r="C479"/>
  <c r="D479"/>
  <c r="A480"/>
  <c r="C480"/>
  <c r="D480"/>
  <c r="A481"/>
  <c r="C481"/>
  <c r="D481"/>
  <c r="A482"/>
  <c r="C482"/>
  <c r="D482"/>
  <c r="A483"/>
  <c r="C483"/>
  <c r="D483"/>
  <c r="A484"/>
  <c r="C484"/>
  <c r="D484"/>
  <c r="A485"/>
  <c r="C485"/>
  <c r="D485"/>
  <c r="A486"/>
  <c r="C486"/>
  <c r="D486"/>
  <c r="A487"/>
  <c r="C487"/>
  <c r="D487"/>
  <c r="A488"/>
  <c r="C488"/>
  <c r="D488"/>
  <c r="A489"/>
  <c r="C489"/>
  <c r="D489"/>
  <c r="A490"/>
  <c r="C490"/>
  <c r="D490"/>
  <c r="A491"/>
  <c r="C491"/>
  <c r="D491"/>
  <c r="A492"/>
  <c r="C492"/>
  <c r="D492"/>
  <c r="A493"/>
  <c r="C493"/>
  <c r="D493"/>
  <c r="A494"/>
  <c r="C494"/>
  <c r="D494"/>
  <c r="A495"/>
  <c r="C495"/>
  <c r="D495"/>
  <c r="A496"/>
  <c r="C496"/>
  <c r="D496"/>
  <c r="A497"/>
  <c r="C497"/>
  <c r="D497"/>
  <c r="A498"/>
  <c r="C498"/>
  <c r="D498"/>
  <c r="A499"/>
  <c r="C499"/>
  <c r="D499"/>
  <c r="A500"/>
  <c r="C500"/>
  <c r="D500"/>
  <c r="A501"/>
  <c r="C501"/>
  <c r="D501"/>
  <c r="A502"/>
  <c r="C502"/>
  <c r="D502"/>
  <c r="A503"/>
  <c r="C503"/>
  <c r="D503"/>
  <c r="A504"/>
  <c r="C504"/>
  <c r="D504"/>
  <c r="A505"/>
  <c r="C505"/>
  <c r="D505"/>
  <c r="A506"/>
  <c r="C506"/>
  <c r="D506"/>
  <c r="A507"/>
  <c r="C507"/>
  <c r="D507"/>
  <c r="A508"/>
  <c r="C508"/>
  <c r="D508"/>
  <c r="A509"/>
  <c r="C509"/>
  <c r="D509"/>
  <c r="A510"/>
  <c r="C510"/>
  <c r="D510"/>
  <c r="A511"/>
  <c r="C511"/>
  <c r="D511"/>
  <c r="A512"/>
  <c r="C512"/>
  <c r="D512"/>
  <c r="A513"/>
  <c r="C513"/>
  <c r="D513"/>
  <c r="A514"/>
  <c r="C514"/>
  <c r="D514"/>
  <c r="A515"/>
  <c r="C515"/>
  <c r="D515"/>
  <c r="A516"/>
  <c r="C516"/>
  <c r="D516"/>
  <c r="A517"/>
  <c r="C517"/>
  <c r="D517"/>
  <c r="A518"/>
  <c r="C518"/>
  <c r="D518"/>
  <c r="A519"/>
  <c r="C519"/>
  <c r="D519"/>
  <c r="A520"/>
  <c r="C520"/>
  <c r="D520"/>
  <c r="A521"/>
  <c r="C521"/>
  <c r="D521"/>
  <c r="A522"/>
  <c r="C522"/>
  <c r="D522"/>
  <c r="A523"/>
  <c r="C523"/>
  <c r="D523"/>
  <c r="A524"/>
  <c r="C524"/>
  <c r="D524"/>
  <c r="A525"/>
  <c r="C525"/>
  <c r="D525"/>
  <c r="A526"/>
  <c r="C526"/>
  <c r="D526"/>
  <c r="A527"/>
  <c r="C527"/>
  <c r="D527"/>
  <c r="A528"/>
  <c r="C528"/>
  <c r="D528"/>
  <c r="A529"/>
  <c r="C529"/>
  <c r="D529"/>
  <c r="A530"/>
  <c r="C530"/>
  <c r="D530"/>
  <c r="A531"/>
  <c r="C531"/>
  <c r="D531"/>
  <c r="A532"/>
  <c r="C532"/>
  <c r="D532"/>
  <c r="A533"/>
  <c r="C533"/>
  <c r="D533"/>
  <c r="A534"/>
  <c r="C534"/>
  <c r="D534"/>
  <c r="A535"/>
  <c r="C535"/>
  <c r="D535"/>
  <c r="A536"/>
  <c r="C536"/>
  <c r="D536"/>
  <c r="A537"/>
  <c r="C537"/>
  <c r="D537"/>
  <c r="A538"/>
  <c r="C538"/>
  <c r="D538"/>
  <c r="A539"/>
  <c r="C539"/>
  <c r="D539"/>
  <c r="A540"/>
  <c r="C540"/>
  <c r="D540"/>
  <c r="A541"/>
  <c r="C541"/>
  <c r="D541"/>
  <c r="A542"/>
  <c r="C542"/>
  <c r="D542"/>
  <c r="A543"/>
  <c r="C543"/>
  <c r="D543"/>
  <c r="A544"/>
  <c r="C544"/>
  <c r="D544"/>
  <c r="A545"/>
  <c r="C545"/>
  <c r="D545"/>
  <c r="A546"/>
  <c r="C546"/>
  <c r="D546"/>
  <c r="A547"/>
  <c r="C547"/>
  <c r="D547"/>
  <c r="A548"/>
  <c r="C548"/>
  <c r="D548"/>
  <c r="A549"/>
  <c r="C549"/>
  <c r="D549"/>
  <c r="A550"/>
  <c r="C550"/>
  <c r="D550"/>
  <c r="A551"/>
  <c r="C551"/>
  <c r="D551"/>
  <c r="A552"/>
  <c r="C552"/>
  <c r="D552"/>
  <c r="A553"/>
  <c r="C553"/>
  <c r="D553"/>
  <c r="A554"/>
  <c r="C554"/>
  <c r="D554"/>
  <c r="A555"/>
  <c r="C555"/>
  <c r="D555"/>
  <c r="A556"/>
  <c r="C556"/>
  <c r="D556"/>
  <c r="A557"/>
  <c r="C557"/>
  <c r="D557"/>
  <c r="A558"/>
  <c r="C558"/>
  <c r="D558"/>
  <c r="A559"/>
  <c r="C559"/>
  <c r="D559"/>
  <c r="A560"/>
  <c r="C560"/>
  <c r="D560"/>
  <c r="A561"/>
  <c r="C561"/>
  <c r="D561"/>
  <c r="A562"/>
  <c r="C562"/>
  <c r="D562"/>
  <c r="A563"/>
  <c r="C563"/>
  <c r="D563"/>
  <c r="A564"/>
  <c r="C564"/>
  <c r="D564"/>
  <c r="A565"/>
  <c r="C565"/>
  <c r="D565"/>
  <c r="A566"/>
  <c r="C566"/>
  <c r="D566"/>
  <c r="A567"/>
  <c r="C567"/>
  <c r="D567"/>
  <c r="A568"/>
  <c r="C568"/>
  <c r="D568"/>
  <c r="A569"/>
  <c r="C569"/>
  <c r="D569"/>
  <c r="A570"/>
  <c r="C570"/>
  <c r="D570"/>
  <c r="A571"/>
  <c r="C571"/>
  <c r="D571"/>
  <c r="A572"/>
  <c r="C572"/>
  <c r="D572"/>
  <c r="A573"/>
  <c r="C573"/>
  <c r="D573"/>
  <c r="A574"/>
  <c r="C574"/>
  <c r="D574"/>
  <c r="A575"/>
  <c r="C575"/>
  <c r="D575"/>
  <c r="A576"/>
  <c r="C576"/>
  <c r="D576"/>
  <c r="A577"/>
  <c r="C577"/>
  <c r="D577"/>
  <c r="A578"/>
  <c r="C578"/>
  <c r="D578"/>
  <c r="A579"/>
  <c r="C579"/>
  <c r="D579"/>
  <c r="A580"/>
  <c r="C580"/>
  <c r="D580"/>
  <c r="A581"/>
  <c r="C581"/>
  <c r="D581"/>
  <c r="A582"/>
  <c r="C582"/>
  <c r="D582"/>
  <c r="A583"/>
  <c r="C583"/>
  <c r="D583"/>
  <c r="A584"/>
  <c r="C584"/>
  <c r="D584"/>
  <c r="A585"/>
  <c r="C585"/>
  <c r="D585"/>
  <c r="A586"/>
  <c r="C586"/>
  <c r="D586"/>
  <c r="A587"/>
  <c r="C587"/>
  <c r="D587"/>
  <c r="A588"/>
  <c r="C588"/>
  <c r="D588"/>
  <c r="A589"/>
  <c r="C589"/>
  <c r="D589"/>
  <c r="A590"/>
  <c r="C590"/>
  <c r="D590"/>
  <c r="A591"/>
  <c r="C591"/>
  <c r="D591"/>
  <c r="A592"/>
  <c r="C592"/>
  <c r="D592"/>
  <c r="A593"/>
  <c r="C593"/>
  <c r="D593"/>
  <c r="A594"/>
  <c r="C594"/>
  <c r="D594"/>
  <c r="A595"/>
  <c r="C595"/>
  <c r="D595"/>
  <c r="A596"/>
  <c r="C596"/>
  <c r="D596"/>
  <c r="A597"/>
  <c r="C597"/>
  <c r="D597"/>
  <c r="A598"/>
  <c r="C598"/>
  <c r="D598"/>
  <c r="A599"/>
  <c r="C599"/>
  <c r="D599"/>
  <c r="A600"/>
  <c r="C600"/>
  <c r="D600"/>
  <c r="A601"/>
  <c r="C601"/>
  <c r="D601"/>
  <c r="A602"/>
  <c r="C602"/>
  <c r="D602"/>
  <c r="A603"/>
  <c r="C603"/>
  <c r="D603"/>
  <c r="A604"/>
  <c r="C604"/>
  <c r="D604"/>
  <c r="A605"/>
  <c r="C605"/>
  <c r="D605"/>
  <c r="A606"/>
  <c r="C606"/>
  <c r="D606"/>
  <c r="A607"/>
  <c r="C607"/>
  <c r="D607"/>
  <c r="A608"/>
  <c r="C608"/>
  <c r="D608"/>
  <c r="A609"/>
  <c r="C609"/>
  <c r="D609"/>
  <c r="A610"/>
  <c r="C610"/>
  <c r="D610"/>
  <c r="A611"/>
  <c r="C611"/>
  <c r="D611"/>
  <c r="A612"/>
  <c r="C612"/>
  <c r="D612"/>
  <c r="A613"/>
  <c r="C613"/>
  <c r="D613"/>
  <c r="A614"/>
  <c r="C614"/>
  <c r="D614"/>
  <c r="A615"/>
  <c r="C615"/>
  <c r="D615"/>
  <c r="A616"/>
  <c r="C616"/>
  <c r="D616"/>
  <c r="A617"/>
  <c r="C617"/>
  <c r="D617"/>
  <c r="A618"/>
  <c r="C618"/>
  <c r="D618"/>
  <c r="A619"/>
  <c r="C619"/>
  <c r="D619"/>
  <c r="A620"/>
  <c r="C620"/>
  <c r="D620"/>
  <c r="A621"/>
  <c r="C621"/>
  <c r="D621"/>
  <c r="A622"/>
  <c r="C622"/>
  <c r="D622"/>
  <c r="A623"/>
  <c r="C623"/>
  <c r="D623"/>
  <c r="A624"/>
  <c r="C624"/>
  <c r="D624"/>
  <c r="A625"/>
  <c r="C625"/>
  <c r="D625"/>
  <c r="A626"/>
  <c r="C626"/>
  <c r="D626"/>
  <c r="A627"/>
  <c r="C627"/>
  <c r="D627"/>
  <c r="A628"/>
  <c r="C628"/>
  <c r="D628"/>
  <c r="A629"/>
  <c r="C629"/>
  <c r="D629"/>
  <c r="A630"/>
  <c r="C630"/>
  <c r="D630"/>
  <c r="A631"/>
  <c r="C631"/>
  <c r="D631"/>
  <c r="A632"/>
  <c r="C632"/>
  <c r="D632"/>
  <c r="A633"/>
  <c r="C633"/>
  <c r="D633"/>
  <c r="A634"/>
  <c r="C634"/>
  <c r="D634"/>
  <c r="A635"/>
  <c r="C635"/>
  <c r="D635"/>
  <c r="A636"/>
  <c r="C636"/>
  <c r="D636"/>
  <c r="A637"/>
  <c r="C637"/>
  <c r="D637"/>
  <c r="A638"/>
  <c r="C638"/>
  <c r="D638"/>
  <c r="A639"/>
  <c r="C639"/>
  <c r="D639"/>
  <c r="A640"/>
  <c r="C640"/>
  <c r="D640"/>
  <c r="A641"/>
  <c r="C641"/>
  <c r="D641"/>
  <c r="A642"/>
  <c r="C642"/>
  <c r="D642"/>
  <c r="A643"/>
  <c r="C643"/>
  <c r="D643"/>
  <c r="A644"/>
  <c r="C644"/>
  <c r="D644"/>
  <c r="A645"/>
  <c r="C645"/>
  <c r="D645"/>
  <c r="A646"/>
  <c r="C646"/>
  <c r="D646"/>
  <c r="A647"/>
  <c r="C647"/>
  <c r="D647"/>
  <c r="A648"/>
  <c r="C648"/>
  <c r="D648"/>
  <c r="A649"/>
  <c r="C649"/>
  <c r="D649"/>
  <c r="A650"/>
  <c r="C650"/>
  <c r="D650"/>
  <c r="A651"/>
  <c r="C651"/>
  <c r="D651"/>
  <c r="A652"/>
  <c r="C652"/>
  <c r="D652"/>
  <c r="A653"/>
  <c r="C653"/>
  <c r="D653"/>
  <c r="A654"/>
  <c r="C654"/>
  <c r="D654"/>
  <c r="A655"/>
  <c r="C655"/>
  <c r="D655"/>
  <c r="A656"/>
  <c r="C656"/>
  <c r="D656"/>
  <c r="A657"/>
  <c r="C657"/>
  <c r="D657"/>
  <c r="A658"/>
  <c r="C658"/>
  <c r="D658"/>
  <c r="A659"/>
  <c r="C659"/>
  <c r="D659"/>
  <c r="A660"/>
  <c r="C660"/>
  <c r="D660"/>
  <c r="A661"/>
  <c r="C661"/>
  <c r="D661"/>
  <c r="A662"/>
  <c r="C662"/>
  <c r="D662"/>
  <c r="A663"/>
  <c r="C663"/>
  <c r="D663"/>
  <c r="A664"/>
  <c r="C664"/>
  <c r="D664"/>
  <c r="A665"/>
  <c r="C665"/>
  <c r="D665"/>
  <c r="A666"/>
  <c r="C666"/>
  <c r="D666"/>
  <c r="A667"/>
  <c r="C667"/>
  <c r="D667"/>
  <c r="A668"/>
  <c r="C668"/>
  <c r="D668"/>
  <c r="A669"/>
  <c r="C669"/>
  <c r="D669"/>
  <c r="A670"/>
  <c r="C670"/>
  <c r="D670"/>
  <c r="A671"/>
  <c r="C671"/>
  <c r="D671"/>
  <c r="A672"/>
  <c r="C672"/>
  <c r="D672"/>
  <c r="A673"/>
  <c r="C673"/>
  <c r="D673"/>
  <c r="A674"/>
  <c r="C674"/>
  <c r="D674"/>
  <c r="A675"/>
  <c r="C675"/>
  <c r="D675"/>
  <c r="A676"/>
  <c r="C676"/>
  <c r="D676"/>
  <c r="A677"/>
  <c r="C677"/>
  <c r="D677"/>
  <c r="A678"/>
  <c r="C678"/>
  <c r="D678"/>
  <c r="A679"/>
  <c r="C679"/>
  <c r="D679"/>
  <c r="A680"/>
  <c r="C680"/>
  <c r="D680"/>
  <c r="A681"/>
  <c r="C681"/>
  <c r="D681"/>
  <c r="A682"/>
  <c r="C682"/>
  <c r="D682"/>
  <c r="A683"/>
  <c r="C683"/>
  <c r="D683"/>
  <c r="A684"/>
  <c r="C684"/>
  <c r="D684"/>
  <c r="A685"/>
  <c r="C685"/>
  <c r="D685"/>
  <c r="A686"/>
  <c r="C686"/>
  <c r="D686"/>
  <c r="A687"/>
  <c r="C687"/>
  <c r="D687"/>
  <c r="A688"/>
  <c r="C688"/>
  <c r="D688"/>
  <c r="A689"/>
  <c r="C689"/>
  <c r="D689"/>
  <c r="A690"/>
  <c r="C690"/>
  <c r="D690"/>
  <c r="A691"/>
  <c r="C691"/>
  <c r="D691"/>
  <c r="A692"/>
  <c r="C692"/>
  <c r="D692"/>
  <c r="A693"/>
  <c r="C693"/>
  <c r="D693"/>
  <c r="A694"/>
  <c r="C694"/>
  <c r="D694"/>
  <c r="A695"/>
  <c r="C695"/>
  <c r="D695"/>
  <c r="A696"/>
  <c r="C696"/>
  <c r="D696"/>
  <c r="A697"/>
  <c r="C697"/>
  <c r="D697"/>
  <c r="A698"/>
  <c r="C698"/>
  <c r="D698"/>
  <c r="A699"/>
  <c r="C699"/>
  <c r="D699"/>
  <c r="A700"/>
  <c r="C700"/>
  <c r="D700"/>
  <c r="A701"/>
  <c r="C701"/>
  <c r="D701"/>
  <c r="A702"/>
  <c r="C702"/>
  <c r="D702"/>
  <c r="A703"/>
  <c r="C703"/>
  <c r="D703"/>
  <c r="A704"/>
  <c r="C704"/>
  <c r="D704"/>
  <c r="A705"/>
  <c r="C705"/>
  <c r="D705"/>
  <c r="A706"/>
  <c r="C706"/>
  <c r="D706"/>
  <c r="A707"/>
  <c r="C707"/>
  <c r="D707"/>
  <c r="A708"/>
  <c r="C708"/>
  <c r="D708"/>
  <c r="A709"/>
  <c r="C709"/>
  <c r="D709"/>
  <c r="A710"/>
  <c r="C710"/>
  <c r="D710"/>
  <c r="A711"/>
  <c r="C711"/>
  <c r="D711"/>
  <c r="A712"/>
  <c r="C712"/>
  <c r="D712"/>
  <c r="A713"/>
  <c r="C713"/>
  <c r="D713"/>
  <c r="A714"/>
  <c r="C714"/>
  <c r="D714"/>
  <c r="A715"/>
  <c r="C715"/>
  <c r="D715"/>
  <c r="A716"/>
  <c r="C716"/>
  <c r="D716"/>
  <c r="A717"/>
  <c r="C717"/>
  <c r="D717"/>
  <c r="A718"/>
  <c r="C718"/>
  <c r="D718"/>
  <c r="A719"/>
  <c r="C719"/>
  <c r="D719"/>
  <c r="A720"/>
  <c r="C720"/>
  <c r="D720"/>
  <c r="A721"/>
  <c r="C721"/>
  <c r="D721"/>
  <c r="A722"/>
  <c r="C722"/>
  <c r="D722"/>
  <c r="A723"/>
  <c r="C723"/>
  <c r="D723"/>
  <c r="A724"/>
  <c r="C724"/>
  <c r="D724"/>
  <c r="A725"/>
  <c r="C725"/>
  <c r="D725"/>
  <c r="A726"/>
  <c r="C726"/>
  <c r="D726"/>
  <c r="A727"/>
  <c r="C727"/>
  <c r="D727"/>
  <c r="A728"/>
  <c r="C728"/>
  <c r="D728"/>
  <c r="A729"/>
  <c r="C729"/>
  <c r="D729"/>
  <c r="A730"/>
  <c r="C730"/>
  <c r="D730"/>
  <c r="A731"/>
  <c r="C731"/>
  <c r="D731"/>
  <c r="A732"/>
  <c r="C732"/>
  <c r="D732"/>
  <c r="A733"/>
  <c r="C733"/>
  <c r="D733"/>
  <c r="A734"/>
  <c r="C734"/>
  <c r="D734"/>
  <c r="A735"/>
  <c r="C735"/>
  <c r="D735"/>
  <c r="A736"/>
  <c r="C736"/>
  <c r="D736"/>
  <c r="A737"/>
  <c r="C737"/>
  <c r="D737"/>
  <c r="A738"/>
  <c r="C738"/>
  <c r="D738"/>
  <c r="A739"/>
  <c r="C739"/>
  <c r="D739"/>
  <c r="A740"/>
  <c r="C740"/>
  <c r="D740"/>
  <c r="A741"/>
  <c r="C741"/>
  <c r="D741"/>
  <c r="A742"/>
  <c r="C742"/>
  <c r="D742"/>
  <c r="A743"/>
  <c r="C743"/>
  <c r="D743"/>
  <c r="A744"/>
  <c r="C744"/>
  <c r="D744"/>
  <c r="A745"/>
  <c r="C745"/>
  <c r="D745"/>
  <c r="A746"/>
  <c r="C746"/>
  <c r="D746"/>
  <c r="A747"/>
  <c r="C747"/>
  <c r="D747"/>
  <c r="A748"/>
  <c r="C748"/>
  <c r="D748"/>
  <c r="A749"/>
  <c r="C749"/>
  <c r="D749"/>
  <c r="A750"/>
  <c r="C750"/>
  <c r="D750"/>
  <c r="A751"/>
  <c r="C751"/>
  <c r="D751"/>
  <c r="A752"/>
  <c r="C752"/>
  <c r="D752"/>
  <c r="A753"/>
  <c r="C753"/>
  <c r="D753"/>
  <c r="A754"/>
  <c r="C754"/>
  <c r="D754"/>
  <c r="A755"/>
  <c r="C755"/>
  <c r="D755"/>
  <c r="A756"/>
  <c r="C756"/>
  <c r="D756"/>
  <c r="A757"/>
  <c r="C757"/>
  <c r="D757"/>
  <c r="A758"/>
  <c r="C758"/>
  <c r="D758"/>
  <c r="A759"/>
  <c r="C759"/>
  <c r="D759"/>
  <c r="A760"/>
  <c r="C760"/>
  <c r="D760"/>
  <c r="A761"/>
  <c r="C761"/>
  <c r="D761"/>
  <c r="A762"/>
  <c r="C762"/>
  <c r="D762"/>
  <c r="A763"/>
  <c r="C763"/>
  <c r="D763"/>
  <c r="A764"/>
  <c r="C764"/>
  <c r="D764"/>
  <c r="A765"/>
  <c r="C765"/>
  <c r="D765"/>
  <c r="A766"/>
  <c r="C766"/>
  <c r="D766"/>
  <c r="A767"/>
  <c r="C767"/>
  <c r="D767"/>
  <c r="A768"/>
  <c r="C768"/>
  <c r="D768"/>
  <c r="A769"/>
  <c r="C769"/>
  <c r="D769"/>
  <c r="A770"/>
  <c r="C770"/>
  <c r="D770"/>
  <c r="A771"/>
  <c r="C771"/>
  <c r="D771"/>
  <c r="A772"/>
  <c r="C772"/>
  <c r="D772"/>
  <c r="A773"/>
  <c r="C773"/>
  <c r="D773"/>
  <c r="A774"/>
  <c r="C774"/>
  <c r="D774"/>
  <c r="A775"/>
  <c r="C775"/>
  <c r="D775"/>
  <c r="A776"/>
  <c r="C776"/>
  <c r="D776"/>
  <c r="A777"/>
  <c r="C777"/>
  <c r="D777"/>
  <c r="A778"/>
  <c r="C778"/>
  <c r="D778"/>
  <c r="A779"/>
  <c r="C779"/>
  <c r="D779"/>
  <c r="A780"/>
  <c r="C780"/>
  <c r="D780"/>
  <c r="A781"/>
  <c r="C781"/>
  <c r="D781"/>
  <c r="A782"/>
  <c r="C782"/>
  <c r="D782"/>
  <c r="A783"/>
  <c r="C783"/>
  <c r="D783"/>
  <c r="A784"/>
  <c r="C784"/>
  <c r="D784"/>
  <c r="A785"/>
  <c r="C785"/>
  <c r="D785"/>
  <c r="A786"/>
  <c r="C786"/>
  <c r="D786"/>
  <c r="A787"/>
  <c r="C787"/>
  <c r="D787"/>
  <c r="A788"/>
  <c r="C788"/>
  <c r="D788"/>
  <c r="A789"/>
  <c r="C789"/>
  <c r="D789"/>
  <c r="A790"/>
  <c r="C790"/>
  <c r="D790"/>
  <c r="A791"/>
  <c r="C791"/>
  <c r="D791"/>
  <c r="A792"/>
  <c r="C792"/>
  <c r="D792"/>
  <c r="A793"/>
  <c r="C793"/>
  <c r="D793"/>
  <c r="A794"/>
  <c r="C794"/>
  <c r="D794"/>
  <c r="A795"/>
  <c r="C795"/>
  <c r="D795"/>
  <c r="A796"/>
  <c r="C796"/>
  <c r="D796"/>
  <c r="A797"/>
  <c r="C797"/>
  <c r="D797"/>
  <c r="A798"/>
  <c r="C798"/>
  <c r="D798"/>
  <c r="A799"/>
  <c r="C799"/>
  <c r="D799"/>
  <c r="A800"/>
  <c r="C800"/>
  <c r="D800"/>
  <c r="A801"/>
  <c r="C801"/>
  <c r="D801"/>
  <c r="A802"/>
  <c r="C802"/>
  <c r="D802"/>
  <c r="A803"/>
  <c r="C803"/>
  <c r="D803"/>
  <c r="A804"/>
  <c r="C804"/>
  <c r="D804"/>
  <c r="A805"/>
  <c r="C805"/>
  <c r="D805"/>
  <c r="A806"/>
  <c r="C806"/>
  <c r="D806"/>
  <c r="A807"/>
  <c r="C807"/>
  <c r="D807"/>
  <c r="A808"/>
  <c r="C808"/>
  <c r="D808"/>
  <c r="A809"/>
  <c r="C809"/>
  <c r="D809"/>
  <c r="A810"/>
  <c r="C810"/>
  <c r="D810"/>
  <c r="A811"/>
  <c r="C811"/>
  <c r="D811"/>
  <c r="A812"/>
  <c r="C812"/>
  <c r="D812"/>
  <c r="A813"/>
  <c r="C813"/>
  <c r="D813"/>
  <c r="A814"/>
  <c r="C814"/>
  <c r="D814"/>
  <c r="A815"/>
  <c r="C815"/>
  <c r="D815"/>
  <c r="A816"/>
  <c r="C816"/>
  <c r="D816"/>
  <c r="A817"/>
  <c r="C817"/>
  <c r="D817"/>
  <c r="A818"/>
  <c r="C818"/>
  <c r="D818"/>
  <c r="A819"/>
  <c r="C819"/>
  <c r="D819"/>
  <c r="A820"/>
  <c r="C820"/>
  <c r="D820"/>
  <c r="A821"/>
  <c r="C821"/>
  <c r="D821"/>
  <c r="A822"/>
  <c r="C822"/>
  <c r="D822"/>
  <c r="A823"/>
  <c r="C823"/>
  <c r="D823"/>
  <c r="A824"/>
  <c r="C824"/>
  <c r="D824"/>
  <c r="A825"/>
  <c r="C825"/>
  <c r="D825"/>
  <c r="A826"/>
  <c r="C826"/>
  <c r="D826"/>
  <c r="A827"/>
  <c r="C827"/>
  <c r="D827"/>
  <c r="A828"/>
  <c r="C828"/>
  <c r="D828"/>
  <c r="A829"/>
  <c r="C829"/>
  <c r="D829"/>
  <c r="A830"/>
  <c r="C830"/>
  <c r="D830"/>
  <c r="A831"/>
  <c r="C831"/>
  <c r="D831"/>
  <c r="A832"/>
  <c r="C832"/>
  <c r="D832"/>
  <c r="A833"/>
  <c r="C833"/>
  <c r="D833"/>
  <c r="A834"/>
  <c r="C834"/>
  <c r="D834"/>
  <c r="A835"/>
  <c r="C835"/>
  <c r="D835"/>
  <c r="A836"/>
  <c r="C836"/>
  <c r="D836"/>
  <c r="A837"/>
  <c r="C837"/>
  <c r="D837"/>
  <c r="A838"/>
  <c r="C838"/>
  <c r="D838"/>
  <c r="A839"/>
  <c r="C839"/>
  <c r="D839"/>
  <c r="A840"/>
  <c r="C840"/>
  <c r="D840"/>
  <c r="A841"/>
  <c r="C841"/>
  <c r="D841"/>
  <c r="A842"/>
  <c r="C842"/>
  <c r="D842"/>
  <c r="A843"/>
  <c r="C843"/>
  <c r="D843"/>
  <c r="A844"/>
  <c r="C844"/>
  <c r="D844"/>
  <c r="A845"/>
  <c r="C845"/>
  <c r="D845"/>
  <c r="A846"/>
  <c r="C846"/>
  <c r="D846"/>
  <c r="A847"/>
  <c r="C847"/>
  <c r="D847"/>
  <c r="A848"/>
  <c r="C848"/>
  <c r="D848"/>
  <c r="A849"/>
  <c r="C849"/>
  <c r="D849"/>
  <c r="A850"/>
  <c r="C850"/>
  <c r="D850"/>
  <c r="A851"/>
  <c r="C851"/>
  <c r="D851"/>
  <c r="A852"/>
  <c r="C852"/>
  <c r="D852"/>
  <c r="A853"/>
  <c r="C853"/>
  <c r="D853"/>
  <c r="A854"/>
  <c r="C854"/>
  <c r="D854"/>
  <c r="A855"/>
  <c r="C855"/>
  <c r="D855"/>
  <c r="A856"/>
  <c r="C856"/>
  <c r="D856"/>
  <c r="A857"/>
  <c r="C857"/>
  <c r="D857"/>
  <c r="A858"/>
  <c r="C858"/>
  <c r="D858"/>
  <c r="A859"/>
  <c r="C859"/>
  <c r="D859"/>
  <c r="A860"/>
  <c r="C860"/>
  <c r="D860"/>
  <c r="A861"/>
  <c r="C861"/>
  <c r="D861"/>
  <c r="A862"/>
  <c r="C862"/>
  <c r="D862"/>
  <c r="A863"/>
  <c r="C863"/>
  <c r="D863"/>
  <c r="A864"/>
  <c r="C864"/>
  <c r="D864"/>
  <c r="A865"/>
  <c r="C865"/>
  <c r="D865"/>
  <c r="A866"/>
  <c r="C866"/>
  <c r="D866"/>
  <c r="A867"/>
  <c r="C867"/>
  <c r="D867"/>
  <c r="A868"/>
  <c r="C868"/>
  <c r="D868"/>
  <c r="A869"/>
  <c r="C869"/>
  <c r="D869"/>
  <c r="A870"/>
  <c r="C870"/>
  <c r="D870"/>
  <c r="A871"/>
  <c r="C871"/>
  <c r="D871"/>
  <c r="A872"/>
  <c r="C872"/>
  <c r="D872"/>
  <c r="A873"/>
  <c r="C873"/>
  <c r="D873"/>
  <c r="A874"/>
  <c r="C874"/>
  <c r="D874"/>
  <c r="A875"/>
  <c r="C875"/>
  <c r="D875"/>
  <c r="A876"/>
  <c r="C876"/>
  <c r="D876"/>
  <c r="A877"/>
  <c r="C877"/>
  <c r="D877"/>
  <c r="A878"/>
  <c r="C878"/>
  <c r="D878"/>
  <c r="A879"/>
  <c r="C879"/>
  <c r="D879"/>
  <c r="A880"/>
  <c r="C880"/>
  <c r="D880"/>
  <c r="A881"/>
  <c r="C881"/>
  <c r="D881"/>
  <c r="A882"/>
  <c r="C882"/>
  <c r="D882"/>
  <c r="A883"/>
  <c r="C883"/>
  <c r="D883"/>
  <c r="A884"/>
  <c r="C884"/>
  <c r="D884"/>
  <c r="A885"/>
  <c r="C885"/>
  <c r="D885"/>
  <c r="A886"/>
  <c r="C886"/>
  <c r="D886"/>
  <c r="A887"/>
  <c r="C887"/>
  <c r="D887"/>
  <c r="A888"/>
  <c r="C888"/>
  <c r="D888"/>
  <c r="A889"/>
  <c r="C889"/>
  <c r="D889"/>
  <c r="A890"/>
  <c r="C890"/>
  <c r="D890"/>
  <c r="A891"/>
  <c r="C891"/>
  <c r="D891"/>
  <c r="A892"/>
  <c r="C892"/>
  <c r="D892"/>
  <c r="A893"/>
  <c r="C893"/>
  <c r="D893"/>
  <c r="A894"/>
  <c r="C894"/>
  <c r="D894"/>
  <c r="A895"/>
  <c r="C895"/>
  <c r="D895"/>
  <c r="A896"/>
  <c r="C896"/>
  <c r="D896"/>
  <c r="A897"/>
  <c r="C897"/>
  <c r="D897"/>
  <c r="A898"/>
  <c r="C898"/>
  <c r="D898"/>
  <c r="A899"/>
  <c r="C899"/>
  <c r="D899"/>
  <c r="A900"/>
  <c r="C900"/>
  <c r="D900"/>
  <c r="A901"/>
  <c r="C901"/>
  <c r="D901"/>
  <c r="A902"/>
  <c r="C902"/>
  <c r="D902"/>
  <c r="A903"/>
  <c r="C903"/>
  <c r="D903"/>
  <c r="A904"/>
  <c r="C904"/>
  <c r="D904"/>
  <c r="A905"/>
  <c r="C905"/>
  <c r="D905"/>
  <c r="A906"/>
  <c r="C906"/>
  <c r="D906"/>
  <c r="A907"/>
  <c r="C907"/>
  <c r="D907"/>
  <c r="A908"/>
  <c r="C908"/>
  <c r="D908"/>
  <c r="A909"/>
  <c r="C909"/>
  <c r="D909"/>
  <c r="A910"/>
  <c r="C910"/>
  <c r="D910"/>
  <c r="A911"/>
  <c r="C911"/>
  <c r="D911"/>
  <c r="A912"/>
  <c r="C912"/>
  <c r="D912"/>
  <c r="A913"/>
  <c r="C913"/>
  <c r="D913"/>
  <c r="A914"/>
  <c r="C914"/>
  <c r="D914"/>
  <c r="A915"/>
  <c r="C915"/>
  <c r="D915"/>
  <c r="A916"/>
  <c r="C916"/>
  <c r="D916"/>
  <c r="A917"/>
  <c r="C917"/>
  <c r="D917"/>
  <c r="A918"/>
  <c r="C918"/>
  <c r="D918"/>
  <c r="A919"/>
  <c r="C919"/>
  <c r="D919"/>
  <c r="A920"/>
  <c r="C920"/>
  <c r="D920"/>
  <c r="A921"/>
  <c r="C921"/>
  <c r="D921"/>
  <c r="A922"/>
  <c r="C922"/>
  <c r="D922"/>
  <c r="A923"/>
  <c r="C923"/>
  <c r="D923"/>
  <c r="A924"/>
  <c r="C924"/>
  <c r="D924"/>
  <c r="A925"/>
  <c r="C925"/>
  <c r="D925"/>
  <c r="A926"/>
  <c r="C926"/>
  <c r="D926"/>
  <c r="A927"/>
  <c r="C927"/>
  <c r="D927"/>
  <c r="A928"/>
  <c r="C928"/>
  <c r="D928"/>
  <c r="A929"/>
  <c r="C929"/>
  <c r="D929"/>
  <c r="A930"/>
  <c r="C930"/>
  <c r="D930"/>
  <c r="A931"/>
  <c r="C931"/>
  <c r="D931"/>
  <c r="A932"/>
  <c r="C932"/>
  <c r="D932"/>
  <c r="A933"/>
  <c r="C933"/>
  <c r="D933"/>
  <c r="A934"/>
  <c r="C934"/>
  <c r="D934"/>
  <c r="A935"/>
  <c r="C935"/>
  <c r="D935"/>
  <c r="A936"/>
  <c r="C936"/>
  <c r="D936"/>
  <c r="A937"/>
  <c r="C937"/>
  <c r="D937"/>
  <c r="A938"/>
  <c r="C938"/>
  <c r="D938"/>
  <c r="A939"/>
  <c r="C939"/>
  <c r="D939"/>
  <c r="A940"/>
  <c r="C940"/>
  <c r="D940"/>
  <c r="A941"/>
  <c r="C941"/>
  <c r="D941"/>
  <c r="A942"/>
  <c r="C942"/>
  <c r="D942"/>
  <c r="A943"/>
  <c r="C943"/>
  <c r="D943"/>
  <c r="A944"/>
  <c r="C944"/>
  <c r="D944"/>
  <c r="A945"/>
  <c r="C945"/>
  <c r="D945"/>
  <c r="A946"/>
  <c r="C946"/>
  <c r="D946"/>
  <c r="A947"/>
  <c r="C947"/>
  <c r="D947"/>
  <c r="A948"/>
  <c r="C948"/>
  <c r="D948"/>
  <c r="A949"/>
  <c r="C949"/>
  <c r="D949"/>
  <c r="A950"/>
  <c r="C950"/>
  <c r="D950"/>
  <c r="A951"/>
  <c r="C951"/>
  <c r="D951"/>
  <c r="A952"/>
  <c r="C952"/>
  <c r="D952"/>
  <c r="A953"/>
  <c r="C953"/>
  <c r="D953"/>
  <c r="A954"/>
  <c r="C954"/>
  <c r="D954"/>
  <c r="A955"/>
  <c r="C955"/>
  <c r="D955"/>
  <c r="A956"/>
  <c r="C956"/>
  <c r="D956"/>
  <c r="A957"/>
  <c r="C957"/>
  <c r="D957"/>
  <c r="A958"/>
  <c r="C958"/>
  <c r="D958"/>
  <c r="A959"/>
  <c r="C959"/>
  <c r="D959"/>
  <c r="A960"/>
  <c r="C960"/>
  <c r="D960"/>
  <c r="A961"/>
  <c r="C961"/>
  <c r="D961"/>
  <c r="A962"/>
  <c r="C962"/>
  <c r="D962"/>
  <c r="A963"/>
  <c r="C963"/>
  <c r="D963"/>
  <c r="A964"/>
  <c r="C964"/>
  <c r="D964"/>
  <c r="A965"/>
  <c r="C965"/>
  <c r="D965"/>
  <c r="A966"/>
  <c r="C966"/>
  <c r="D966"/>
  <c r="A967"/>
  <c r="C967"/>
  <c r="D967"/>
  <c r="A968"/>
  <c r="C968"/>
  <c r="D968"/>
  <c r="A969"/>
  <c r="C969"/>
  <c r="D969"/>
  <c r="A970"/>
  <c r="C970"/>
  <c r="D970"/>
  <c r="A971"/>
  <c r="C971"/>
  <c r="D971"/>
  <c r="A972"/>
  <c r="C972"/>
  <c r="D972"/>
  <c r="A973"/>
  <c r="C973"/>
  <c r="D973"/>
  <c r="A974"/>
  <c r="C974"/>
  <c r="D974"/>
  <c r="A975"/>
  <c r="C975"/>
  <c r="D975"/>
  <c r="A976"/>
  <c r="C976"/>
  <c r="D976"/>
  <c r="A977"/>
  <c r="C977"/>
  <c r="D977"/>
  <c r="A978"/>
  <c r="C978"/>
  <c r="D978"/>
  <c r="A979"/>
  <c r="C979"/>
  <c r="D979"/>
  <c r="A980"/>
  <c r="C980"/>
  <c r="D980"/>
  <c r="A981"/>
  <c r="C981"/>
  <c r="D981"/>
  <c r="A982"/>
  <c r="C982"/>
  <c r="D982"/>
  <c r="A983"/>
  <c r="C983"/>
  <c r="D983"/>
  <c r="A984"/>
  <c r="C984"/>
  <c r="D984"/>
  <c r="A985"/>
  <c r="C985"/>
  <c r="D985"/>
  <c r="A986"/>
  <c r="C986"/>
  <c r="D986"/>
  <c r="A987"/>
  <c r="C987"/>
  <c r="D987"/>
  <c r="A988"/>
  <c r="C988"/>
  <c r="D988"/>
  <c r="A989"/>
  <c r="C989"/>
  <c r="D989"/>
  <c r="A990"/>
  <c r="C990"/>
  <c r="D990"/>
  <c r="A991"/>
  <c r="C991"/>
  <c r="D991"/>
  <c r="A992"/>
  <c r="C992"/>
  <c r="D992"/>
  <c r="A993"/>
  <c r="C993"/>
  <c r="D993"/>
  <c r="A994"/>
  <c r="C994"/>
  <c r="D994"/>
  <c r="A995"/>
  <c r="C995"/>
  <c r="D995"/>
  <c r="A996"/>
  <c r="C996"/>
  <c r="D996"/>
  <c r="A997"/>
  <c r="C997"/>
  <c r="D997"/>
  <c r="A998"/>
  <c r="C998"/>
  <c r="D998"/>
  <c r="A999"/>
  <c r="C999"/>
  <c r="D999"/>
  <c r="A1000"/>
  <c r="C1000"/>
  <c r="D1000"/>
  <c r="A1001"/>
  <c r="C1001"/>
  <c r="D1001"/>
  <c r="A1002"/>
  <c r="C1002"/>
  <c r="D1002"/>
  <c r="A1003"/>
  <c r="C1003"/>
  <c r="D1003"/>
  <c r="A1004"/>
  <c r="C1004"/>
  <c r="D1004"/>
  <c r="A1005"/>
  <c r="C1005"/>
  <c r="D1005"/>
  <c r="A1006"/>
  <c r="C1006"/>
  <c r="D1006"/>
  <c r="A1007"/>
  <c r="C1007"/>
  <c r="D1007"/>
  <c r="A1008"/>
  <c r="C1008"/>
  <c r="D1008"/>
  <c r="A1009"/>
  <c r="C1009"/>
  <c r="D1009"/>
  <c r="A1010"/>
  <c r="C1010"/>
  <c r="D1010"/>
  <c r="A1011"/>
  <c r="C1011"/>
  <c r="D1011"/>
  <c r="A1012"/>
  <c r="C1012"/>
  <c r="D1012"/>
  <c r="A1013"/>
  <c r="C1013"/>
  <c r="D1013"/>
  <c r="A1014"/>
  <c r="C1014"/>
  <c r="D1014"/>
  <c r="A1015"/>
  <c r="C1015"/>
  <c r="D1015"/>
  <c r="A1016"/>
  <c r="C1016"/>
  <c r="D1016"/>
  <c r="A1017"/>
  <c r="C1017"/>
  <c r="D1017"/>
  <c r="A1018"/>
  <c r="C1018"/>
  <c r="D1018"/>
  <c r="A1019"/>
  <c r="C1019"/>
  <c r="D1019"/>
  <c r="A1020"/>
  <c r="C1020"/>
  <c r="D1020"/>
  <c r="A1021"/>
  <c r="C1021"/>
  <c r="D1021"/>
  <c r="A1022"/>
  <c r="C1022"/>
  <c r="D1022"/>
  <c r="A1023"/>
  <c r="C1023"/>
  <c r="D1023"/>
  <c r="A1024"/>
  <c r="C1024"/>
  <c r="D1024"/>
  <c r="A1025"/>
  <c r="C1025"/>
  <c r="D1025"/>
  <c r="A1026"/>
  <c r="C1026"/>
  <c r="D1026"/>
  <c r="A1027"/>
  <c r="C1027"/>
  <c r="D1027"/>
  <c r="A1028"/>
  <c r="C1028"/>
  <c r="D1028"/>
  <c r="A1029"/>
  <c r="C1029"/>
  <c r="D1029"/>
  <c r="A1030"/>
  <c r="C1030"/>
  <c r="D1030"/>
  <c r="A1031"/>
  <c r="C1031"/>
  <c r="D1031"/>
  <c r="A1032"/>
  <c r="C1032"/>
  <c r="D1032"/>
  <c r="A1033"/>
  <c r="C1033"/>
  <c r="D1033"/>
  <c r="A1034"/>
  <c r="C1034"/>
  <c r="D1034"/>
  <c r="A1035"/>
  <c r="C1035"/>
  <c r="D1035"/>
  <c r="A1036"/>
  <c r="C1036"/>
  <c r="D1036"/>
  <c r="A1037"/>
  <c r="C1037"/>
  <c r="D1037"/>
  <c r="A1038"/>
  <c r="C1038"/>
  <c r="D1038"/>
  <c r="A1039"/>
  <c r="C1039"/>
  <c r="D1039"/>
  <c r="A1040"/>
  <c r="C1040"/>
  <c r="D1040"/>
  <c r="A1041"/>
  <c r="C1041"/>
  <c r="D1041"/>
  <c r="A1042"/>
  <c r="C1042"/>
  <c r="D1042"/>
  <c r="A1043"/>
  <c r="C1043"/>
  <c r="D1043"/>
  <c r="A1044"/>
  <c r="C1044"/>
  <c r="D1044"/>
  <c r="A1045"/>
  <c r="C1045"/>
  <c r="D1045"/>
  <c r="A1046"/>
  <c r="C1046"/>
  <c r="D1046"/>
  <c r="A1047"/>
  <c r="C1047"/>
  <c r="D1047"/>
  <c r="A1048"/>
  <c r="C1048"/>
  <c r="D1048"/>
  <c r="A1049"/>
  <c r="C1049"/>
  <c r="D1049"/>
  <c r="A1050"/>
  <c r="C1050"/>
  <c r="D1050"/>
  <c r="A1051"/>
  <c r="C1051"/>
  <c r="D1051"/>
  <c r="A1052"/>
  <c r="C1052"/>
  <c r="D1052"/>
  <c r="A1053"/>
  <c r="C1053"/>
  <c r="D1053"/>
  <c r="A1054"/>
  <c r="C1054"/>
  <c r="D1054"/>
  <c r="A1055"/>
  <c r="C1055"/>
  <c r="D1055"/>
  <c r="A1056"/>
  <c r="C1056"/>
  <c r="D1056"/>
  <c r="A1057"/>
  <c r="C1057"/>
  <c r="D1057"/>
  <c r="A1058"/>
  <c r="C1058"/>
  <c r="D1058"/>
  <c r="A1059"/>
  <c r="C1059"/>
  <c r="D1059"/>
  <c r="A1060"/>
  <c r="C1060"/>
  <c r="D1060"/>
  <c r="A1061"/>
  <c r="C1061"/>
  <c r="D1061"/>
  <c r="A1062"/>
  <c r="C1062"/>
  <c r="D1062"/>
  <c r="A1063"/>
  <c r="C1063"/>
  <c r="D1063"/>
  <c r="A1064"/>
  <c r="C1064"/>
  <c r="D1064"/>
  <c r="A1065"/>
  <c r="C1065"/>
  <c r="D1065"/>
  <c r="A1066"/>
  <c r="C1066"/>
  <c r="D1066"/>
  <c r="A1067"/>
  <c r="C1067"/>
  <c r="D1067"/>
  <c r="A1068"/>
  <c r="C1068"/>
  <c r="D1068"/>
  <c r="A1069"/>
  <c r="C1069"/>
  <c r="D1069"/>
  <c r="A1070"/>
  <c r="C1070"/>
  <c r="D1070"/>
  <c r="A1071"/>
  <c r="C1071"/>
  <c r="D1071"/>
  <c r="A1072"/>
  <c r="C1072"/>
  <c r="D1072"/>
  <c r="A1073"/>
  <c r="C1073"/>
  <c r="D1073"/>
  <c r="A1074"/>
  <c r="C1074"/>
  <c r="D1074"/>
  <c r="A1075"/>
  <c r="C1075"/>
  <c r="D1075"/>
  <c r="A1076"/>
  <c r="C1076"/>
  <c r="D1076"/>
  <c r="A1077"/>
  <c r="C1077"/>
  <c r="D1077"/>
  <c r="A1078"/>
  <c r="C1078"/>
  <c r="D1078"/>
  <c r="A1079"/>
  <c r="C1079"/>
  <c r="D1079"/>
  <c r="A1080"/>
  <c r="C1080"/>
  <c r="D1080"/>
  <c r="A1081"/>
  <c r="C1081"/>
  <c r="D1081"/>
  <c r="A1082"/>
  <c r="C1082"/>
  <c r="D1082"/>
  <c r="A1083"/>
  <c r="C1083"/>
  <c r="D1083"/>
  <c r="A1084"/>
  <c r="C1084"/>
  <c r="D1084"/>
  <c r="A1085"/>
  <c r="C1085"/>
  <c r="D1085"/>
  <c r="A1086"/>
  <c r="C1086"/>
  <c r="D1086"/>
  <c r="A1087"/>
  <c r="C1087"/>
  <c r="D1087"/>
  <c r="A1088"/>
  <c r="C1088"/>
  <c r="D1088"/>
  <c r="A1089"/>
  <c r="C1089"/>
  <c r="D1089"/>
  <c r="A1090"/>
  <c r="C1090"/>
  <c r="D1090"/>
  <c r="A1091"/>
  <c r="C1091"/>
  <c r="D1091"/>
  <c r="A1092"/>
  <c r="C1092"/>
  <c r="D1092"/>
  <c r="A1093"/>
  <c r="C1093"/>
  <c r="D1093"/>
  <c r="A1094"/>
  <c r="C1094"/>
  <c r="D1094"/>
  <c r="A1095"/>
  <c r="C1095"/>
  <c r="D1095"/>
  <c r="A1096"/>
  <c r="C1096"/>
  <c r="D1096"/>
  <c r="A1097"/>
  <c r="C1097"/>
  <c r="D1097"/>
  <c r="A1098"/>
  <c r="C1098"/>
  <c r="D1098"/>
  <c r="A1099"/>
  <c r="C1099"/>
  <c r="D1099"/>
  <c r="A1100"/>
  <c r="C1100"/>
  <c r="D1100"/>
  <c r="A1101"/>
  <c r="C1101"/>
  <c r="D1101"/>
  <c r="A1102"/>
  <c r="C1102"/>
  <c r="D1102"/>
  <c r="A1103"/>
  <c r="C1103"/>
  <c r="D1103"/>
  <c r="A1104"/>
  <c r="C1104"/>
  <c r="D1104"/>
  <c r="A1105"/>
  <c r="C1105"/>
  <c r="D1105"/>
  <c r="A1106"/>
  <c r="C1106"/>
  <c r="D1106"/>
  <c r="A1107"/>
  <c r="C1107"/>
  <c r="D1107"/>
  <c r="A1108"/>
  <c r="C1108"/>
  <c r="D1108"/>
  <c r="A1109"/>
  <c r="C1109"/>
  <c r="D1109"/>
  <c r="A1110"/>
  <c r="C1110"/>
  <c r="D1110"/>
  <c r="A1111"/>
  <c r="C1111"/>
  <c r="D1111"/>
  <c r="A1112"/>
  <c r="C1112"/>
  <c r="D1112"/>
  <c r="A1113"/>
  <c r="C1113"/>
  <c r="D1113"/>
  <c r="A1114"/>
  <c r="C1114"/>
  <c r="D1114"/>
  <c r="A1115"/>
  <c r="C1115"/>
  <c r="D1115"/>
  <c r="A1116"/>
  <c r="C1116"/>
  <c r="D1116"/>
  <c r="A1117"/>
  <c r="C1117"/>
  <c r="D1117"/>
  <c r="A1118"/>
  <c r="C1118"/>
  <c r="D1118"/>
  <c r="A1119"/>
  <c r="C1119"/>
  <c r="D1119"/>
  <c r="A1120"/>
  <c r="C1120"/>
  <c r="D1120"/>
  <c r="A1121"/>
  <c r="C1121"/>
  <c r="D1121"/>
  <c r="A1122"/>
  <c r="C1122"/>
  <c r="D1122"/>
  <c r="A1123"/>
  <c r="C1123"/>
  <c r="D1123"/>
  <c r="A1124"/>
  <c r="C1124"/>
  <c r="D1124"/>
  <c r="A1125"/>
  <c r="C1125"/>
  <c r="D1125"/>
  <c r="A1126"/>
  <c r="C1126"/>
  <c r="D1126"/>
  <c r="A1127"/>
  <c r="C1127"/>
  <c r="D1127"/>
  <c r="A1128"/>
  <c r="C1128"/>
  <c r="D1128"/>
  <c r="A1129"/>
  <c r="C1129"/>
  <c r="D1129"/>
  <c r="A1130"/>
  <c r="C1130"/>
  <c r="D1130"/>
  <c r="A1131"/>
  <c r="C1131"/>
  <c r="D1131"/>
  <c r="A1132"/>
  <c r="C1132"/>
  <c r="D1132"/>
  <c r="A1133"/>
  <c r="C1133"/>
  <c r="D1133"/>
  <c r="A1134"/>
  <c r="C1134"/>
  <c r="D1134"/>
  <c r="A1135"/>
  <c r="C1135"/>
  <c r="D1135"/>
  <c r="A1136"/>
  <c r="C1136"/>
  <c r="D1136"/>
  <c r="A1137"/>
  <c r="C1137"/>
  <c r="D1137"/>
  <c r="A1138"/>
  <c r="C1138"/>
  <c r="D1138"/>
  <c r="A1139"/>
  <c r="C1139"/>
  <c r="D1139"/>
  <c r="A1140"/>
  <c r="C1140"/>
  <c r="D1140"/>
  <c r="A1141"/>
  <c r="C1141"/>
  <c r="D1141"/>
  <c r="A1142"/>
  <c r="C1142"/>
  <c r="D1142"/>
  <c r="A1143"/>
  <c r="C1143"/>
  <c r="D1143"/>
  <c r="A1144"/>
  <c r="C1144"/>
  <c r="D1144"/>
  <c r="A1145"/>
  <c r="C1145"/>
  <c r="D1145"/>
  <c r="A1146"/>
  <c r="C1146"/>
  <c r="D1146"/>
  <c r="A1147"/>
  <c r="C1147"/>
  <c r="D1147"/>
  <c r="A1148"/>
  <c r="C1148"/>
  <c r="D1148"/>
  <c r="A1149"/>
  <c r="C1149"/>
  <c r="D1149"/>
  <c r="A1150"/>
  <c r="C1150"/>
  <c r="D1150"/>
  <c r="A1151"/>
  <c r="C1151"/>
  <c r="D1151"/>
  <c r="A1152"/>
  <c r="C1152"/>
  <c r="D1152"/>
  <c r="A1153"/>
  <c r="C1153"/>
  <c r="D1153"/>
  <c r="A1154"/>
  <c r="C1154"/>
  <c r="D1154"/>
  <c r="A1155"/>
  <c r="C1155"/>
  <c r="D1155"/>
  <c r="A1156"/>
  <c r="C1156"/>
  <c r="D1156"/>
  <c r="A1157"/>
  <c r="C1157"/>
  <c r="D1157"/>
  <c r="A1158"/>
  <c r="C1158"/>
  <c r="D1158"/>
  <c r="A1159"/>
  <c r="C1159"/>
  <c r="D1159"/>
  <c r="A1160"/>
  <c r="C1160"/>
  <c r="D1160"/>
  <c r="A1161"/>
  <c r="C1161"/>
  <c r="D1161"/>
  <c r="A1162"/>
  <c r="C1162"/>
  <c r="D1162"/>
  <c r="A1163"/>
  <c r="C1163"/>
  <c r="D1163"/>
  <c r="A1164"/>
  <c r="C1164"/>
  <c r="D1164"/>
  <c r="A1165"/>
  <c r="C1165"/>
  <c r="D1165"/>
  <c r="A1166"/>
  <c r="C1166"/>
  <c r="D1166"/>
  <c r="A1167"/>
  <c r="C1167"/>
  <c r="D1167"/>
  <c r="A1168"/>
  <c r="C1168"/>
  <c r="D1168"/>
  <c r="A1169"/>
  <c r="C1169"/>
  <c r="D1169"/>
  <c r="A1170"/>
  <c r="C1170"/>
  <c r="D1170"/>
  <c r="A1171"/>
  <c r="C1171"/>
  <c r="D1171"/>
  <c r="A1172"/>
  <c r="C1172"/>
  <c r="D1172"/>
  <c r="A1173"/>
  <c r="C1173"/>
  <c r="D1173"/>
  <c r="A1174"/>
  <c r="C1174"/>
  <c r="D1174"/>
  <c r="A1175"/>
  <c r="C1175"/>
  <c r="D1175"/>
  <c r="A1176"/>
  <c r="C1176"/>
  <c r="D1176"/>
  <c r="A1177"/>
  <c r="C1177"/>
  <c r="D1177"/>
  <c r="A1178"/>
  <c r="C1178"/>
  <c r="D1178"/>
  <c r="A1179"/>
  <c r="C1179"/>
  <c r="D1179"/>
  <c r="A1180"/>
  <c r="C1180"/>
  <c r="D1180"/>
  <c r="A1181"/>
  <c r="C1181"/>
  <c r="D1181"/>
  <c r="A1182"/>
  <c r="C1182"/>
  <c r="D1182"/>
  <c r="A1183"/>
  <c r="C1183"/>
  <c r="D1183"/>
  <c r="A1184"/>
  <c r="C1184"/>
  <c r="D1184"/>
  <c r="A1185"/>
  <c r="C1185"/>
  <c r="D1185"/>
  <c r="A1186"/>
  <c r="C1186"/>
  <c r="D1186"/>
  <c r="A1187"/>
  <c r="C1187"/>
  <c r="D1187"/>
  <c r="A1188"/>
  <c r="C1188"/>
  <c r="D1188"/>
  <c r="A1189"/>
  <c r="C1189"/>
  <c r="D1189"/>
  <c r="A1190"/>
  <c r="C1190"/>
  <c r="D1190"/>
  <c r="A1191"/>
  <c r="C1191"/>
  <c r="D1191"/>
  <c r="A1192"/>
  <c r="C1192"/>
  <c r="D1192"/>
  <c r="A1193"/>
  <c r="C1193"/>
  <c r="D1193"/>
  <c r="A1194"/>
  <c r="C1194"/>
  <c r="D1194"/>
  <c r="A1195"/>
  <c r="C1195"/>
  <c r="D1195"/>
  <c r="A1196"/>
  <c r="C1196"/>
  <c r="D1196"/>
  <c r="A1197"/>
  <c r="C1197"/>
  <c r="D1197"/>
  <c r="A1198"/>
  <c r="C1198"/>
  <c r="D1198"/>
  <c r="A1199"/>
  <c r="C1199"/>
  <c r="D1199"/>
  <c r="A1200"/>
  <c r="C1200"/>
  <c r="D1200"/>
  <c r="A1201"/>
  <c r="C1201"/>
  <c r="D1201"/>
  <c r="A1202"/>
  <c r="C1202"/>
  <c r="D1202"/>
  <c r="A1203"/>
  <c r="C1203"/>
  <c r="D1203"/>
  <c r="A1204"/>
  <c r="C1204"/>
  <c r="D1204"/>
  <c r="A1205"/>
  <c r="C1205"/>
  <c r="D1205"/>
  <c r="A1206"/>
  <c r="C1206"/>
  <c r="D1206"/>
  <c r="A1207"/>
  <c r="C1207"/>
  <c r="D1207"/>
  <c r="A1208"/>
  <c r="C1208"/>
  <c r="D1208"/>
  <c r="A1209"/>
  <c r="C1209"/>
  <c r="D1209"/>
  <c r="A1210"/>
  <c r="C1210"/>
  <c r="D1210"/>
  <c r="A1211"/>
  <c r="C1211"/>
  <c r="D1211"/>
  <c r="A1212"/>
  <c r="C1212"/>
  <c r="D1212"/>
  <c r="A1213"/>
  <c r="C1213"/>
  <c r="D1213"/>
  <c r="A1214"/>
  <c r="C1214"/>
  <c r="D1214"/>
  <c r="A1215"/>
  <c r="C1215"/>
  <c r="D1215"/>
  <c r="A1216"/>
  <c r="C1216"/>
  <c r="D1216"/>
  <c r="A1217"/>
  <c r="C1217"/>
  <c r="D1217"/>
  <c r="A1218"/>
  <c r="C1218"/>
  <c r="D1218"/>
  <c r="A1219"/>
  <c r="C1219"/>
  <c r="D1219"/>
  <c r="A1220"/>
  <c r="C1220"/>
  <c r="D1220"/>
  <c r="A1221"/>
  <c r="C1221"/>
  <c r="D1221"/>
  <c r="A1222"/>
  <c r="C1222"/>
  <c r="D1222"/>
  <c r="A1223"/>
  <c r="C1223"/>
  <c r="D1223"/>
  <c r="A1224"/>
  <c r="C1224"/>
  <c r="D1224"/>
  <c r="A1225"/>
  <c r="C1225"/>
  <c r="D1225"/>
  <c r="A1226"/>
  <c r="C1226"/>
  <c r="D1226"/>
  <c r="A1227"/>
  <c r="C1227"/>
  <c r="D1227"/>
  <c r="A1228"/>
  <c r="C1228"/>
  <c r="D1228"/>
  <c r="A1229"/>
  <c r="C1229"/>
  <c r="D1229"/>
  <c r="A1230"/>
  <c r="C1230"/>
  <c r="D1230"/>
  <c r="A1231"/>
  <c r="C1231"/>
  <c r="D1231"/>
  <c r="A1232"/>
  <c r="C1232"/>
  <c r="D1232"/>
  <c r="A1233"/>
  <c r="C1233"/>
  <c r="D1233"/>
  <c r="A1234"/>
  <c r="C1234"/>
  <c r="D1234"/>
  <c r="A1235"/>
  <c r="C1235"/>
  <c r="D1235"/>
  <c r="A1236"/>
  <c r="C1236"/>
  <c r="D1236"/>
  <c r="A1237"/>
  <c r="C1237"/>
  <c r="D1237"/>
  <c r="A1238"/>
  <c r="C1238"/>
  <c r="D1238"/>
  <c r="A1239"/>
  <c r="C1239"/>
  <c r="D1239"/>
  <c r="A1240"/>
  <c r="C1240"/>
  <c r="D1240"/>
  <c r="A1241"/>
  <c r="C1241"/>
  <c r="D1241"/>
  <c r="A1242"/>
  <c r="C1242"/>
  <c r="D1242"/>
  <c r="A1243"/>
  <c r="C1243"/>
  <c r="D1243"/>
  <c r="A1244"/>
  <c r="C1244"/>
  <c r="D1244"/>
  <c r="A1245"/>
  <c r="C1245"/>
  <c r="D1245"/>
  <c r="A1246"/>
  <c r="C1246"/>
  <c r="D1246"/>
  <c r="A1247"/>
  <c r="C1247"/>
  <c r="D1247"/>
  <c r="A1248"/>
  <c r="C1248"/>
  <c r="D1248"/>
  <c r="A1249"/>
  <c r="C1249"/>
  <c r="D1249"/>
  <c r="A1250"/>
  <c r="C1250"/>
  <c r="D1250"/>
  <c r="A1251"/>
  <c r="C1251"/>
  <c r="D1251"/>
  <c r="A1252"/>
  <c r="C1252"/>
  <c r="D1252"/>
  <c r="A1253"/>
  <c r="C1253"/>
  <c r="D1253"/>
  <c r="A1254"/>
  <c r="C1254"/>
  <c r="D1254"/>
  <c r="A1255"/>
  <c r="C1255"/>
  <c r="D1255"/>
  <c r="A1256"/>
  <c r="C1256"/>
  <c r="D1256"/>
  <c r="A1257"/>
  <c r="C1257"/>
  <c r="D1257"/>
  <c r="A1258"/>
  <c r="C1258"/>
  <c r="D1258"/>
  <c r="A1259"/>
  <c r="C1259"/>
  <c r="D1259"/>
  <c r="A1260"/>
  <c r="C1260"/>
  <c r="D1260"/>
  <c r="A1261"/>
  <c r="C1261"/>
  <c r="D1261"/>
  <c r="A1262"/>
  <c r="C1262"/>
  <c r="D1262"/>
  <c r="A1263"/>
  <c r="C1263"/>
  <c r="D1263"/>
  <c r="A1264"/>
  <c r="C1264"/>
  <c r="D1264"/>
  <c r="A1265"/>
  <c r="C1265"/>
  <c r="D1265"/>
  <c r="A1266"/>
  <c r="C1266"/>
  <c r="D1266"/>
  <c r="A1267"/>
  <c r="C1267"/>
  <c r="D1267"/>
  <c r="A1268"/>
  <c r="C1268"/>
  <c r="D1268"/>
  <c r="A1269"/>
  <c r="C1269"/>
  <c r="D1269"/>
  <c r="A1270"/>
  <c r="C1270"/>
  <c r="D1270"/>
  <c r="A1271"/>
  <c r="C1271"/>
  <c r="D1271"/>
  <c r="A1272"/>
  <c r="C1272"/>
  <c r="D1272"/>
  <c r="A1273"/>
  <c r="C1273"/>
  <c r="D1273"/>
  <c r="A1274"/>
  <c r="C1274"/>
  <c r="D1274"/>
  <c r="A1275"/>
  <c r="C1275"/>
  <c r="D1275"/>
  <c r="A1276"/>
  <c r="C1276"/>
  <c r="D1276"/>
  <c r="A1277"/>
  <c r="C1277"/>
  <c r="D1277"/>
  <c r="A1278"/>
  <c r="C1278"/>
  <c r="D1278"/>
  <c r="A1279"/>
  <c r="C1279"/>
  <c r="D1279"/>
  <c r="A1280"/>
  <c r="C1280"/>
  <c r="D1280"/>
  <c r="A1281"/>
  <c r="C1281"/>
  <c r="D1281"/>
  <c r="A1282"/>
  <c r="C1282"/>
  <c r="D1282"/>
  <c r="A1283"/>
  <c r="C1283"/>
  <c r="D1283"/>
  <c r="A1284"/>
  <c r="C1284"/>
  <c r="D1284"/>
  <c r="A1285"/>
  <c r="C1285"/>
  <c r="D1285"/>
  <c r="A1286"/>
  <c r="C1286"/>
  <c r="D1286"/>
  <c r="A1287"/>
  <c r="C1287"/>
  <c r="D1287"/>
  <c r="A1288"/>
  <c r="C1288"/>
  <c r="D1288"/>
  <c r="A1289"/>
  <c r="C1289"/>
  <c r="D1289"/>
  <c r="A1290"/>
  <c r="C1290"/>
  <c r="D1290"/>
  <c r="A1291"/>
  <c r="C1291"/>
  <c r="D1291"/>
  <c r="A1292"/>
  <c r="C1292"/>
  <c r="D1292"/>
  <c r="A1293"/>
  <c r="C1293"/>
  <c r="D1293"/>
  <c r="A1294"/>
  <c r="C1294"/>
  <c r="D1294"/>
  <c r="A1295"/>
  <c r="C1295"/>
  <c r="D1295"/>
  <c r="A1296"/>
  <c r="C1296"/>
  <c r="D1296"/>
  <c r="A1297"/>
  <c r="C1297"/>
  <c r="D1297"/>
  <c r="A1298"/>
  <c r="C1298"/>
  <c r="D1298"/>
  <c r="A1299"/>
  <c r="C1299"/>
  <c r="D1299"/>
  <c r="A1300"/>
  <c r="C1300"/>
  <c r="D1300"/>
  <c r="A1301"/>
  <c r="C1301"/>
  <c r="D1301"/>
  <c r="A1302"/>
  <c r="C1302"/>
  <c r="D1302"/>
  <c r="A1303"/>
  <c r="C1303"/>
  <c r="D1303"/>
  <c r="A1304"/>
  <c r="C1304"/>
  <c r="D1304"/>
  <c r="A1305"/>
  <c r="C1305"/>
  <c r="D1305"/>
  <c r="A1306"/>
  <c r="C1306"/>
  <c r="D1306"/>
  <c r="A1307"/>
  <c r="C1307"/>
  <c r="D1307"/>
  <c r="A1308"/>
  <c r="C1308"/>
  <c r="D1308"/>
  <c r="A1309"/>
  <c r="C1309"/>
  <c r="D1309"/>
  <c r="A1310"/>
  <c r="C1310"/>
  <c r="D1310"/>
  <c r="A1311"/>
  <c r="C1311"/>
  <c r="D1311"/>
  <c r="A1312"/>
  <c r="C1312"/>
  <c r="D1312"/>
  <c r="A1313"/>
  <c r="C1313"/>
  <c r="D1313"/>
  <c r="A1314"/>
  <c r="C1314"/>
  <c r="D1314"/>
  <c r="A1315"/>
  <c r="C1315"/>
  <c r="D1315"/>
  <c r="A1316"/>
  <c r="C1316"/>
  <c r="D1316"/>
  <c r="A1317"/>
  <c r="C1317"/>
  <c r="D1317"/>
  <c r="A1318"/>
  <c r="C1318"/>
  <c r="D1318"/>
  <c r="A1319"/>
  <c r="C1319"/>
  <c r="D1319"/>
  <c r="A1320"/>
  <c r="C1320"/>
  <c r="D1320"/>
  <c r="A1321"/>
  <c r="C1321"/>
  <c r="D1321"/>
  <c r="A1322"/>
  <c r="C1322"/>
  <c r="D1322"/>
  <c r="A1323"/>
  <c r="C1323"/>
  <c r="D1323"/>
  <c r="A1324"/>
  <c r="C1324"/>
  <c r="D1324"/>
  <c r="A1325"/>
  <c r="C1325"/>
  <c r="D1325"/>
  <c r="A1326"/>
  <c r="C1326"/>
  <c r="D1326"/>
  <c r="A1327"/>
  <c r="C1327"/>
  <c r="D1327"/>
  <c r="A1328"/>
  <c r="C1328"/>
  <c r="D1328"/>
  <c r="A1329"/>
  <c r="C1329"/>
  <c r="D1329"/>
  <c r="A1330"/>
  <c r="C1330"/>
  <c r="D1330"/>
  <c r="A1331"/>
  <c r="C1331"/>
  <c r="D1331"/>
  <c r="A1332"/>
  <c r="C1332"/>
  <c r="D1332"/>
  <c r="A1333"/>
  <c r="C1333"/>
  <c r="D1333"/>
  <c r="A1334"/>
  <c r="C1334"/>
  <c r="D1334"/>
  <c r="A1335"/>
  <c r="C1335"/>
  <c r="D1335"/>
  <c r="A1336"/>
  <c r="C1336"/>
  <c r="D1336"/>
  <c r="A1337"/>
  <c r="C1337"/>
  <c r="D1337"/>
  <c r="A1338"/>
  <c r="C1338"/>
  <c r="D1338"/>
  <c r="A1339"/>
  <c r="C1339"/>
  <c r="D1339"/>
  <c r="A1340"/>
  <c r="C1340"/>
  <c r="D1340"/>
  <c r="A1341"/>
  <c r="C1341"/>
  <c r="D1341"/>
  <c r="A1342"/>
  <c r="C1342"/>
  <c r="D1342"/>
  <c r="A1343"/>
  <c r="C1343"/>
  <c r="D1343"/>
  <c r="A1344"/>
  <c r="C1344"/>
  <c r="D1344"/>
  <c r="A1345"/>
  <c r="C1345"/>
  <c r="D1345"/>
  <c r="A1346"/>
  <c r="C1346"/>
  <c r="D1346"/>
  <c r="A1347"/>
  <c r="C1347"/>
  <c r="D1347"/>
  <c r="A1348"/>
  <c r="C1348"/>
  <c r="D1348"/>
  <c r="A1349"/>
  <c r="C1349"/>
  <c r="D1349"/>
  <c r="A1350"/>
  <c r="C1350"/>
  <c r="D1350"/>
  <c r="A1351"/>
  <c r="C1351"/>
  <c r="D1351"/>
  <c r="A1352"/>
  <c r="C1352"/>
  <c r="D1352"/>
  <c r="A1353"/>
  <c r="C1353"/>
  <c r="D1353"/>
  <c r="A1354"/>
  <c r="C1354"/>
  <c r="D1354"/>
  <c r="A1355"/>
  <c r="C1355"/>
  <c r="D1355"/>
  <c r="A1356"/>
  <c r="C1356"/>
  <c r="D1356"/>
  <c r="A1357"/>
  <c r="C1357"/>
  <c r="D1357"/>
  <c r="A1358"/>
  <c r="C1358"/>
  <c r="D1358"/>
  <c r="A1359"/>
  <c r="C1359"/>
  <c r="D1359"/>
  <c r="A1360"/>
  <c r="C1360"/>
  <c r="D1360"/>
  <c r="A1361"/>
  <c r="C1361"/>
  <c r="D1361"/>
  <c r="A1362"/>
  <c r="C1362"/>
  <c r="D1362"/>
  <c r="A1363"/>
  <c r="C1363"/>
  <c r="D1363"/>
  <c r="A1364"/>
  <c r="C1364"/>
  <c r="D1364"/>
  <c r="A1365"/>
  <c r="C1365"/>
  <c r="D1365"/>
  <c r="A1366"/>
  <c r="C1366"/>
  <c r="D1366"/>
  <c r="A1367"/>
  <c r="C1367"/>
  <c r="D1367"/>
  <c r="A1368"/>
  <c r="C1368"/>
  <c r="D1368"/>
  <c r="A1369"/>
  <c r="C1369"/>
  <c r="D1369"/>
  <c r="A1370"/>
  <c r="C1370"/>
  <c r="D1370"/>
  <c r="A1371"/>
  <c r="C1371"/>
  <c r="D1371"/>
  <c r="A1372"/>
  <c r="C1372"/>
  <c r="D1372"/>
  <c r="A1373"/>
  <c r="C1373"/>
  <c r="D1373"/>
  <c r="A1374"/>
  <c r="C1374"/>
  <c r="D1374"/>
  <c r="A1375"/>
  <c r="C1375"/>
  <c r="D1375"/>
  <c r="A1376"/>
  <c r="C1376"/>
  <c r="D1376"/>
  <c r="A1377"/>
  <c r="C1377"/>
  <c r="D1377"/>
  <c r="A1378"/>
  <c r="C1378"/>
  <c r="D1378"/>
  <c r="A1379"/>
  <c r="C1379"/>
  <c r="D1379"/>
  <c r="A1380"/>
  <c r="C1380"/>
  <c r="D1380"/>
  <c r="A1381"/>
  <c r="C1381"/>
  <c r="D1381"/>
  <c r="A1382"/>
  <c r="C1382"/>
  <c r="D1382"/>
  <c r="A1383"/>
  <c r="C1383"/>
  <c r="D1383"/>
  <c r="A1384"/>
  <c r="C1384"/>
  <c r="D1384"/>
  <c r="A1385"/>
  <c r="C1385"/>
  <c r="D1385"/>
  <c r="A1386"/>
  <c r="C1386"/>
  <c r="D1386"/>
  <c r="A1387"/>
  <c r="C1387"/>
  <c r="D1387"/>
  <c r="A1388"/>
  <c r="C1388"/>
  <c r="D1388"/>
  <c r="A1389"/>
  <c r="C1389"/>
  <c r="D1389"/>
  <c r="A1390"/>
  <c r="C1390"/>
  <c r="D1390"/>
  <c r="A1391"/>
  <c r="C1391"/>
  <c r="D1391"/>
  <c r="A1392"/>
  <c r="C1392"/>
  <c r="D1392"/>
  <c r="A1393"/>
  <c r="C1393"/>
  <c r="D1393"/>
  <c r="A1394"/>
  <c r="C1394"/>
  <c r="D1394"/>
  <c r="A1395"/>
  <c r="C1395"/>
  <c r="D1395"/>
  <c r="A1396"/>
  <c r="C1396"/>
  <c r="D1396"/>
  <c r="A1397"/>
  <c r="C1397"/>
  <c r="D1397"/>
  <c r="A1398"/>
  <c r="C1398"/>
  <c r="D1398"/>
  <c r="A1399"/>
  <c r="C1399"/>
  <c r="D1399"/>
  <c r="A1400"/>
  <c r="C1400"/>
  <c r="D1400"/>
  <c r="A1401"/>
  <c r="C1401"/>
  <c r="D1401"/>
  <c r="A1402"/>
  <c r="C1402"/>
  <c r="D1402"/>
  <c r="A1403"/>
  <c r="C1403"/>
  <c r="D1403"/>
  <c r="A1404"/>
  <c r="C1404"/>
  <c r="D1404"/>
  <c r="A1405"/>
  <c r="C1405"/>
  <c r="D1405"/>
  <c r="A1406"/>
  <c r="C1406"/>
  <c r="D1406"/>
  <c r="A1407"/>
  <c r="C1407"/>
  <c r="D1407"/>
  <c r="A1408"/>
  <c r="C1408"/>
  <c r="D1408"/>
  <c r="A1409"/>
  <c r="C1409"/>
  <c r="D1409"/>
  <c r="A1410"/>
  <c r="C1410"/>
  <c r="D1410"/>
  <c r="A1411"/>
  <c r="C1411"/>
  <c r="D1411"/>
  <c r="A1412"/>
  <c r="C1412"/>
  <c r="D1412"/>
  <c r="A1413"/>
  <c r="C1413"/>
  <c r="D1413"/>
  <c r="A1414"/>
  <c r="C1414"/>
  <c r="D1414"/>
  <c r="A1415"/>
  <c r="C1415"/>
  <c r="D1415"/>
  <c r="A1416"/>
  <c r="C1416"/>
  <c r="D1416"/>
  <c r="A1417"/>
  <c r="C1417"/>
  <c r="D1417"/>
  <c r="A1418"/>
  <c r="C1418"/>
  <c r="D1418"/>
  <c r="A1419"/>
  <c r="C1419"/>
  <c r="D1419"/>
  <c r="A1420"/>
  <c r="C1420"/>
  <c r="D1420"/>
  <c r="A1421"/>
  <c r="C1421"/>
  <c r="D1421"/>
  <c r="A1422"/>
  <c r="C1422"/>
  <c r="D1422"/>
  <c r="A1423"/>
  <c r="C1423"/>
  <c r="D1423"/>
  <c r="A1424"/>
  <c r="C1424"/>
  <c r="D1424"/>
  <c r="A1425"/>
  <c r="C1425"/>
  <c r="D1425"/>
  <c r="A1426"/>
  <c r="C1426"/>
  <c r="D1426"/>
  <c r="A1427"/>
  <c r="C1427"/>
  <c r="D1427"/>
  <c r="A1428"/>
  <c r="C1428"/>
  <c r="D1428"/>
  <c r="A1429"/>
  <c r="C1429"/>
  <c r="D1429"/>
  <c r="A1430"/>
  <c r="C1430"/>
  <c r="D1430"/>
  <c r="A1431"/>
  <c r="C1431"/>
  <c r="D1431"/>
  <c r="A1432"/>
  <c r="C1432"/>
  <c r="D1432"/>
  <c r="A1433"/>
  <c r="C1433"/>
  <c r="D1433"/>
  <c r="A1434"/>
  <c r="C1434"/>
  <c r="D1434"/>
  <c r="A1435"/>
  <c r="C1435"/>
  <c r="D1435"/>
  <c r="A1436"/>
  <c r="C1436"/>
  <c r="D1436"/>
  <c r="A1437"/>
  <c r="C1437"/>
  <c r="D1437"/>
  <c r="A1438"/>
  <c r="C1438"/>
  <c r="D1438"/>
  <c r="A1439"/>
  <c r="C1439"/>
  <c r="D1439"/>
  <c r="A1440"/>
  <c r="C1440"/>
  <c r="D1440"/>
  <c r="A1441"/>
  <c r="C1441"/>
  <c r="D1441"/>
  <c r="A1442"/>
  <c r="C1442"/>
  <c r="D1442"/>
  <c r="A1443"/>
  <c r="C1443"/>
  <c r="D1443"/>
  <c r="A1444"/>
  <c r="C1444"/>
  <c r="D1444"/>
  <c r="A1445"/>
  <c r="C1445"/>
  <c r="D1445"/>
  <c r="A1446"/>
  <c r="C1446"/>
  <c r="D1446"/>
  <c r="A1447"/>
  <c r="C1447"/>
  <c r="D1447"/>
  <c r="A1448"/>
  <c r="C1448"/>
  <c r="D1448"/>
  <c r="A1449"/>
  <c r="C1449"/>
  <c r="D1449"/>
  <c r="A1450"/>
  <c r="C1450"/>
  <c r="D1450"/>
  <c r="A1451"/>
  <c r="C1451"/>
  <c r="D1451"/>
  <c r="A1452"/>
  <c r="C1452"/>
  <c r="D1452"/>
  <c r="A1453"/>
  <c r="C1453"/>
  <c r="D1453"/>
  <c r="A1454"/>
  <c r="C1454"/>
  <c r="D1454"/>
  <c r="A1455"/>
  <c r="C1455"/>
  <c r="D1455"/>
  <c r="A1456"/>
  <c r="C1456"/>
  <c r="D1456"/>
  <c r="A1457"/>
  <c r="C1457"/>
  <c r="D1457"/>
  <c r="A1458"/>
  <c r="C1458"/>
  <c r="D1458"/>
  <c r="A1459"/>
  <c r="C1459"/>
  <c r="D1459"/>
  <c r="A1460"/>
  <c r="C1460"/>
  <c r="D1460"/>
  <c r="A1461"/>
  <c r="C1461"/>
  <c r="D1461"/>
  <c r="A1462"/>
  <c r="C1462"/>
  <c r="D1462"/>
  <c r="A1463"/>
  <c r="C1463"/>
  <c r="D1463"/>
  <c r="A1464"/>
  <c r="C1464"/>
  <c r="D1464"/>
  <c r="A1465"/>
  <c r="C1465"/>
  <c r="D1465"/>
  <c r="A1466"/>
  <c r="C1466"/>
  <c r="D1466"/>
  <c r="A1467"/>
  <c r="C1467"/>
  <c r="D1467"/>
  <c r="A1468"/>
  <c r="C1468"/>
  <c r="D1468"/>
  <c r="A1469"/>
  <c r="C1469"/>
  <c r="D1469"/>
  <c r="A1470"/>
  <c r="C1470"/>
  <c r="D1470"/>
  <c r="A1471"/>
  <c r="C1471"/>
  <c r="D1471"/>
  <c r="A1472"/>
  <c r="C1472"/>
  <c r="D1472"/>
  <c r="A1473"/>
  <c r="C1473"/>
  <c r="D1473"/>
  <c r="A1474"/>
  <c r="C1474"/>
  <c r="D1474"/>
  <c r="A1475"/>
  <c r="C1475"/>
  <c r="D1475"/>
  <c r="A1476"/>
  <c r="C1476"/>
  <c r="D1476"/>
  <c r="A1477"/>
  <c r="C1477"/>
  <c r="D1477"/>
  <c r="A1478"/>
  <c r="C1478"/>
  <c r="D1478"/>
  <c r="A1479"/>
  <c r="C1479"/>
  <c r="D1479"/>
  <c r="A1480"/>
  <c r="C1480"/>
  <c r="D1480"/>
  <c r="A1481"/>
  <c r="C1481"/>
  <c r="D1481"/>
  <c r="A1482"/>
  <c r="C1482"/>
  <c r="D1482"/>
  <c r="A1483"/>
  <c r="C1483"/>
  <c r="D1483"/>
  <c r="A1484"/>
  <c r="C1484"/>
  <c r="D1484"/>
  <c r="A1485"/>
  <c r="C1485"/>
  <c r="D1485"/>
  <c r="A1486"/>
  <c r="C1486"/>
  <c r="D1486"/>
  <c r="A1487"/>
  <c r="C1487"/>
  <c r="D1487"/>
  <c r="A1488"/>
  <c r="C1488"/>
  <c r="D1488"/>
  <c r="A1489"/>
  <c r="C1489"/>
  <c r="D1489"/>
  <c r="A1490"/>
  <c r="C1490"/>
  <c r="D1490"/>
  <c r="A1491"/>
  <c r="C1491"/>
  <c r="D1491"/>
  <c r="A1492"/>
  <c r="C1492"/>
  <c r="D1492"/>
  <c r="A1493"/>
  <c r="C1493"/>
  <c r="D1493"/>
  <c r="A1494"/>
  <c r="C1494"/>
  <c r="D1494"/>
  <c r="A1495"/>
  <c r="C1495"/>
  <c r="D1495"/>
  <c r="A1496"/>
  <c r="C1496"/>
  <c r="D1496"/>
  <c r="A1497"/>
  <c r="C1497"/>
  <c r="D1497"/>
  <c r="A1498"/>
  <c r="C1498"/>
  <c r="D1498"/>
  <c r="A1499"/>
  <c r="C1499"/>
  <c r="D1499"/>
  <c r="A1500"/>
  <c r="C1500"/>
  <c r="D1500"/>
  <c r="A1501"/>
  <c r="C1501"/>
  <c r="D1501"/>
  <c r="A1502"/>
  <c r="C1502"/>
  <c r="D1502"/>
  <c r="A1503"/>
  <c r="C1503"/>
  <c r="D1503"/>
  <c r="A1504"/>
  <c r="C1504"/>
  <c r="D1504"/>
  <c r="A1505"/>
  <c r="C1505"/>
  <c r="D1505"/>
  <c r="A1506"/>
  <c r="C1506"/>
  <c r="D1506"/>
  <c r="A1507"/>
  <c r="C1507"/>
  <c r="D1507"/>
  <c r="A1508"/>
  <c r="C1508"/>
  <c r="D1508"/>
  <c r="A1509"/>
  <c r="C1509"/>
  <c r="D1509"/>
  <c r="A1510"/>
  <c r="C1510"/>
  <c r="D1510"/>
  <c r="A1511"/>
  <c r="C1511"/>
  <c r="D1511"/>
  <c r="A1512"/>
  <c r="C1512"/>
  <c r="D1512"/>
  <c r="A1513"/>
  <c r="C1513"/>
  <c r="D1513"/>
  <c r="A1514"/>
  <c r="C1514"/>
  <c r="D1514"/>
  <c r="A1515"/>
  <c r="C1515"/>
  <c r="D1515"/>
  <c r="A1516"/>
  <c r="C1516"/>
  <c r="D1516"/>
  <c r="A1517"/>
  <c r="C1517"/>
  <c r="D1517"/>
  <c r="A1518"/>
  <c r="C1518"/>
  <c r="D1518"/>
  <c r="A1519"/>
  <c r="C1519"/>
  <c r="D1519"/>
  <c r="A1520"/>
  <c r="C1520"/>
  <c r="D1520"/>
  <c r="A1521"/>
  <c r="C1521"/>
  <c r="D1521"/>
  <c r="A1522"/>
  <c r="C1522"/>
  <c r="D1522"/>
  <c r="A1523"/>
  <c r="C1523"/>
  <c r="D1523"/>
  <c r="A1524"/>
  <c r="C1524"/>
  <c r="D1524"/>
  <c r="A1525"/>
  <c r="C1525"/>
  <c r="D1525"/>
  <c r="A1526"/>
  <c r="C1526"/>
  <c r="D1526"/>
  <c r="A1527"/>
  <c r="C1527"/>
  <c r="D1527"/>
  <c r="A1528"/>
  <c r="C1528"/>
  <c r="D1528"/>
  <c r="A1529"/>
  <c r="C1529"/>
  <c r="D1529"/>
  <c r="A1530"/>
  <c r="C1530"/>
  <c r="D1530"/>
  <c r="A1531"/>
  <c r="C1531"/>
  <c r="D1531"/>
  <c r="A1532"/>
  <c r="C1532"/>
  <c r="D1532"/>
  <c r="A1533"/>
  <c r="C1533"/>
  <c r="D1533"/>
  <c r="A1534"/>
  <c r="C1534"/>
  <c r="D1534"/>
  <c r="A1535"/>
  <c r="C1535"/>
  <c r="D1535"/>
  <c r="A1536"/>
  <c r="C1536"/>
  <c r="D1536"/>
  <c r="A1537"/>
  <c r="C1537"/>
  <c r="D1537"/>
  <c r="A1538"/>
  <c r="C1538"/>
  <c r="D1538"/>
  <c r="A1539"/>
  <c r="C1539"/>
  <c r="D1539"/>
  <c r="A1540"/>
  <c r="C1540"/>
  <c r="D1540"/>
  <c r="A1541"/>
  <c r="C1541"/>
  <c r="D1541"/>
  <c r="A1542"/>
  <c r="C1542"/>
  <c r="D1542"/>
  <c r="A1543"/>
  <c r="C1543"/>
  <c r="D1543"/>
  <c r="A1544"/>
  <c r="C1544"/>
  <c r="D1544"/>
  <c r="A1545"/>
  <c r="C1545"/>
  <c r="D1545"/>
  <c r="A1546"/>
  <c r="C1546"/>
  <c r="D1546"/>
  <c r="A1547"/>
  <c r="C1547"/>
  <c r="D1547"/>
  <c r="A1548"/>
  <c r="C1548"/>
  <c r="D1548"/>
  <c r="A1549"/>
  <c r="C1549"/>
  <c r="D1549"/>
  <c r="A1550"/>
  <c r="C1550"/>
  <c r="D1550"/>
  <c r="A1551"/>
  <c r="C1551"/>
  <c r="D1551"/>
  <c r="A1552"/>
  <c r="C1552"/>
  <c r="D1552"/>
  <c r="A1553"/>
  <c r="C1553"/>
  <c r="D1553"/>
  <c r="A1554"/>
  <c r="C1554"/>
  <c r="D1554"/>
  <c r="A1555"/>
  <c r="C1555"/>
  <c r="D1555"/>
  <c r="A1556"/>
  <c r="C1556"/>
  <c r="D1556"/>
  <c r="A1557"/>
  <c r="C1557"/>
  <c r="D1557"/>
  <c r="A1558"/>
  <c r="C1558"/>
  <c r="D1558"/>
  <c r="A1559"/>
  <c r="C1559"/>
  <c r="D1559"/>
  <c r="A1560"/>
  <c r="C1560"/>
  <c r="D1560"/>
  <c r="A1561"/>
  <c r="C1561"/>
  <c r="D1561"/>
  <c r="A1562"/>
  <c r="C1562"/>
  <c r="D1562"/>
  <c r="A1563"/>
  <c r="C1563"/>
  <c r="D1563"/>
  <c r="A1564"/>
  <c r="C1564"/>
  <c r="D1564"/>
  <c r="A1565"/>
  <c r="C1565"/>
  <c r="D1565"/>
  <c r="A1566"/>
  <c r="C1566"/>
  <c r="D1566"/>
  <c r="A1567"/>
  <c r="C1567"/>
  <c r="D1567"/>
  <c r="A1568"/>
  <c r="C1568"/>
  <c r="D1568"/>
  <c r="A1569"/>
  <c r="C1569"/>
  <c r="D1569"/>
  <c r="A1570"/>
  <c r="C1570"/>
  <c r="D1570"/>
  <c r="A1571"/>
  <c r="C1571"/>
  <c r="D1571"/>
  <c r="A1572"/>
  <c r="C1572"/>
  <c r="D1572"/>
  <c r="A1573"/>
  <c r="C1573"/>
  <c r="D1573"/>
  <c r="A1574"/>
  <c r="C1574"/>
  <c r="D1574"/>
  <c r="A1575"/>
  <c r="C1575"/>
  <c r="D1575"/>
  <c r="A1576"/>
  <c r="C1576"/>
  <c r="D1576"/>
  <c r="A1577"/>
  <c r="C1577"/>
  <c r="D1577"/>
  <c r="A1578"/>
  <c r="C1578"/>
  <c r="D1578"/>
  <c r="A1579"/>
  <c r="C1579"/>
  <c r="D1579"/>
  <c r="A1580"/>
  <c r="C1580"/>
  <c r="D1580"/>
  <c r="A1581"/>
  <c r="C1581"/>
  <c r="D1581"/>
  <c r="A1582"/>
  <c r="C1582"/>
  <c r="D1582"/>
  <c r="A1583"/>
  <c r="C1583"/>
  <c r="D1583"/>
  <c r="A1584"/>
  <c r="C1584"/>
  <c r="D1584"/>
  <c r="A1585"/>
  <c r="C1585"/>
  <c r="D1585"/>
  <c r="A1586"/>
  <c r="C1586"/>
  <c r="D1586"/>
  <c r="A1587"/>
  <c r="C1587"/>
  <c r="D1587"/>
  <c r="A1588"/>
  <c r="C1588"/>
  <c r="D1588"/>
  <c r="A1589"/>
  <c r="C1589"/>
  <c r="D1589"/>
  <c r="A1590"/>
  <c r="C1590"/>
  <c r="D1590"/>
  <c r="A1591"/>
  <c r="C1591"/>
  <c r="D1591"/>
  <c r="A1592"/>
  <c r="C1592"/>
  <c r="D1592"/>
  <c r="A1593"/>
  <c r="C1593"/>
  <c r="D1593"/>
  <c r="A1594"/>
  <c r="C1594"/>
  <c r="D1594"/>
  <c r="A1595"/>
  <c r="C1595"/>
  <c r="D1595"/>
  <c r="A1596"/>
  <c r="C1596"/>
  <c r="D1596"/>
  <c r="A1597"/>
  <c r="C1597"/>
  <c r="D1597"/>
  <c r="A1598"/>
  <c r="C1598"/>
  <c r="D1598"/>
  <c r="A1599"/>
  <c r="C1599"/>
  <c r="D1599"/>
  <c r="A1600"/>
  <c r="C1600"/>
  <c r="D1600"/>
  <c r="A1601"/>
  <c r="C1601"/>
  <c r="D1601"/>
  <c r="A1602"/>
  <c r="C1602"/>
  <c r="D1602"/>
  <c r="A1603"/>
  <c r="C1603"/>
  <c r="D1603"/>
  <c r="A1604"/>
  <c r="C1604"/>
  <c r="D1604"/>
  <c r="A1605"/>
  <c r="C1605"/>
  <c r="D1605"/>
  <c r="A1606"/>
  <c r="C1606"/>
  <c r="D1606"/>
  <c r="A1607"/>
  <c r="C1607"/>
  <c r="D1607"/>
  <c r="A1608"/>
  <c r="C1608"/>
  <c r="D1608"/>
  <c r="A1609"/>
  <c r="C1609"/>
  <c r="D1609"/>
  <c r="A1610"/>
  <c r="C1610"/>
  <c r="D1610"/>
  <c r="A1611"/>
  <c r="C1611"/>
  <c r="D1611"/>
  <c r="A1612"/>
  <c r="C1612"/>
  <c r="D1612"/>
  <c r="A1613"/>
  <c r="C1613"/>
  <c r="D1613"/>
  <c r="A1614"/>
  <c r="C1614"/>
  <c r="D1614"/>
  <c r="A1615"/>
  <c r="C1615"/>
  <c r="D1615"/>
  <c r="A1616"/>
  <c r="C1616"/>
  <c r="D1616"/>
  <c r="A1617"/>
  <c r="C1617"/>
  <c r="D1617"/>
  <c r="A1618"/>
  <c r="C1618"/>
  <c r="D1618"/>
  <c r="A1619"/>
  <c r="C1619"/>
  <c r="D1619"/>
  <c r="A1620"/>
  <c r="C1620"/>
  <c r="D1620"/>
  <c r="A1621"/>
  <c r="C1621"/>
  <c r="D1621"/>
  <c r="A1622"/>
  <c r="C1622"/>
  <c r="D1622"/>
  <c r="A1623"/>
  <c r="C1623"/>
  <c r="D1623"/>
  <c r="A1624"/>
  <c r="C1624"/>
  <c r="D1624"/>
  <c r="A1625"/>
  <c r="C1625"/>
  <c r="D1625"/>
  <c r="A1626"/>
  <c r="C1626"/>
  <c r="D1626"/>
  <c r="A1627"/>
  <c r="C1627"/>
  <c r="D1627"/>
  <c r="A1628"/>
  <c r="C1628"/>
  <c r="D1628"/>
  <c r="A1629"/>
  <c r="C1629"/>
  <c r="D1629"/>
  <c r="A1630"/>
  <c r="C1630"/>
  <c r="D1630"/>
  <c r="A1631"/>
  <c r="C1631"/>
  <c r="D1631"/>
  <c r="A1632"/>
  <c r="C1632"/>
  <c r="D1632"/>
  <c r="A1633"/>
  <c r="C1633"/>
  <c r="D1633"/>
  <c r="A1634"/>
  <c r="C1634"/>
  <c r="D1634"/>
  <c r="A1635"/>
  <c r="C1635"/>
  <c r="D1635"/>
  <c r="A1636"/>
  <c r="C1636"/>
  <c r="D1636"/>
  <c r="A1637"/>
  <c r="C1637"/>
  <c r="D1637"/>
  <c r="A1638"/>
  <c r="C1638"/>
  <c r="D1638"/>
  <c r="A1639"/>
  <c r="C1639"/>
  <c r="D1639"/>
  <c r="A1640"/>
  <c r="C1640"/>
  <c r="D1640"/>
  <c r="A1641"/>
  <c r="C1641"/>
  <c r="D1641"/>
  <c r="A1642"/>
  <c r="C1642"/>
  <c r="D1642"/>
  <c r="A1643"/>
  <c r="C1643"/>
  <c r="D1643"/>
  <c r="A1644"/>
  <c r="C1644"/>
  <c r="D1644"/>
  <c r="A1645"/>
  <c r="C1645"/>
  <c r="D1645"/>
  <c r="A1646"/>
  <c r="C1646"/>
  <c r="D1646"/>
  <c r="A1647"/>
  <c r="C1647"/>
  <c r="D1647"/>
  <c r="A1648"/>
  <c r="C1648"/>
  <c r="D1648"/>
  <c r="A1649"/>
  <c r="C1649"/>
  <c r="D1649"/>
  <c r="A1650"/>
  <c r="C1650"/>
  <c r="D1650"/>
  <c r="A1651"/>
  <c r="C1651"/>
  <c r="D1651"/>
  <c r="A1652"/>
  <c r="C1652"/>
  <c r="D1652"/>
  <c r="A1653"/>
  <c r="C1653"/>
  <c r="D1653"/>
  <c r="A1654"/>
  <c r="C1654"/>
  <c r="D1654"/>
  <c r="A1655"/>
  <c r="C1655"/>
  <c r="D1655"/>
  <c r="A1656"/>
  <c r="C1656"/>
  <c r="D1656"/>
  <c r="A1657"/>
  <c r="C1657"/>
  <c r="D1657"/>
  <c r="A1658"/>
  <c r="C1658"/>
  <c r="D1658"/>
  <c r="A1659"/>
  <c r="C1659"/>
  <c r="D1659"/>
  <c r="A1660"/>
  <c r="C1660"/>
  <c r="D1660"/>
  <c r="A1661"/>
  <c r="C1661"/>
  <c r="D1661"/>
  <c r="A1662"/>
  <c r="C1662"/>
  <c r="D1662"/>
  <c r="A1663"/>
  <c r="C1663"/>
  <c r="D1663"/>
  <c r="A1664"/>
  <c r="C1664"/>
  <c r="D1664"/>
  <c r="A1665"/>
  <c r="C1665"/>
  <c r="D1665"/>
  <c r="A1666"/>
  <c r="C1666"/>
  <c r="D1666"/>
  <c r="A1667"/>
  <c r="C1667"/>
  <c r="D1667"/>
  <c r="A1668"/>
  <c r="C1668"/>
  <c r="D1668"/>
  <c r="A1669"/>
  <c r="C1669"/>
  <c r="D1669"/>
  <c r="A1670"/>
  <c r="C1670"/>
  <c r="D1670"/>
  <c r="A1671"/>
  <c r="C1671"/>
  <c r="D1671"/>
  <c r="A1672"/>
  <c r="C1672"/>
  <c r="D1672"/>
  <c r="A1673"/>
  <c r="C1673"/>
  <c r="D1673"/>
  <c r="A1674"/>
  <c r="C1674"/>
  <c r="D1674"/>
  <c r="A1675"/>
  <c r="C1675"/>
  <c r="D1675"/>
  <c r="A1676"/>
  <c r="C1676"/>
  <c r="D1676"/>
  <c r="A1677"/>
  <c r="C1677"/>
  <c r="D1677"/>
  <c r="A1678"/>
  <c r="C1678"/>
  <c r="D1678"/>
  <c r="A1679"/>
  <c r="C1679"/>
  <c r="D1679"/>
  <c r="A1680"/>
  <c r="C1680"/>
  <c r="D1680"/>
  <c r="A1681"/>
  <c r="C1681"/>
  <c r="D1681"/>
  <c r="A1682"/>
  <c r="C1682"/>
  <c r="D1682"/>
  <c r="A1683"/>
  <c r="C1683"/>
  <c r="D1683"/>
  <c r="A1684"/>
  <c r="C1684"/>
  <c r="D1684"/>
  <c r="A1685"/>
  <c r="C1685"/>
  <c r="D1685"/>
  <c r="A1686"/>
  <c r="C1686"/>
  <c r="D1686"/>
  <c r="A1687"/>
  <c r="C1687"/>
  <c r="D1687"/>
  <c r="A1688"/>
  <c r="C1688"/>
  <c r="D1688"/>
  <c r="A1689"/>
  <c r="C1689"/>
  <c r="D1689"/>
  <c r="A1690"/>
  <c r="C1690"/>
  <c r="D1690"/>
  <c r="A1691"/>
  <c r="C1691"/>
  <c r="D1691"/>
  <c r="A1692"/>
  <c r="C1692"/>
  <c r="D1692"/>
  <c r="A1693"/>
  <c r="C1693"/>
  <c r="D1693"/>
  <c r="A1694"/>
  <c r="C1694"/>
  <c r="D1694"/>
  <c r="A1695"/>
  <c r="C1695"/>
  <c r="D1695"/>
  <c r="A1696"/>
  <c r="C1696"/>
  <c r="D1696"/>
  <c r="A1697"/>
  <c r="C1697"/>
  <c r="D1697"/>
  <c r="A1698"/>
  <c r="C1698"/>
  <c r="D1698"/>
  <c r="A1699"/>
  <c r="C1699"/>
  <c r="D1699"/>
  <c r="A1700"/>
  <c r="C1700"/>
  <c r="D1700"/>
  <c r="A1701"/>
  <c r="C1701"/>
  <c r="D1701"/>
  <c r="A1702"/>
  <c r="C1702"/>
  <c r="D1702"/>
  <c r="A1703"/>
  <c r="C1703"/>
  <c r="D1703"/>
  <c r="A1704"/>
  <c r="C1704"/>
  <c r="D1704"/>
  <c r="A1705"/>
  <c r="C1705"/>
  <c r="D1705"/>
  <c r="A1706"/>
  <c r="C1706"/>
  <c r="D1706"/>
  <c r="A1707"/>
  <c r="C1707"/>
  <c r="D1707"/>
  <c r="A1708"/>
  <c r="C1708"/>
  <c r="D1708"/>
  <c r="A1709"/>
  <c r="C1709"/>
  <c r="D1709"/>
  <c r="A1710"/>
  <c r="C1710"/>
  <c r="D1710"/>
  <c r="A1711"/>
  <c r="C1711"/>
  <c r="D1711"/>
  <c r="A1712"/>
  <c r="C1712"/>
  <c r="D1712"/>
  <c r="A1713"/>
  <c r="C1713"/>
  <c r="D1713"/>
  <c r="A1714"/>
  <c r="C1714"/>
  <c r="D1714"/>
  <c r="A1715"/>
  <c r="C1715"/>
  <c r="D1715"/>
  <c r="A1716"/>
  <c r="C1716"/>
  <c r="D1716"/>
  <c r="A1717"/>
  <c r="C1717"/>
  <c r="D1717"/>
  <c r="A1718"/>
  <c r="C1718"/>
  <c r="D1718"/>
  <c r="A1719"/>
  <c r="C1719"/>
  <c r="D1719"/>
  <c r="A1720"/>
  <c r="C1720"/>
  <c r="D1720"/>
  <c r="A1721"/>
  <c r="C1721"/>
  <c r="D1721"/>
  <c r="A1722"/>
  <c r="C1722"/>
  <c r="D1722"/>
  <c r="A1723"/>
  <c r="C1723"/>
  <c r="D1723"/>
  <c r="A1724"/>
  <c r="C1724"/>
  <c r="D1724"/>
  <c r="A1725"/>
  <c r="C1725"/>
  <c r="D1725"/>
  <c r="A1726"/>
  <c r="C1726"/>
  <c r="D1726"/>
  <c r="A1727"/>
  <c r="C1727"/>
  <c r="D1727"/>
  <c r="A1728"/>
  <c r="C1728"/>
  <c r="D1728"/>
  <c r="A1729"/>
  <c r="C1729"/>
  <c r="D1729"/>
  <c r="A1730"/>
  <c r="C1730"/>
  <c r="D1730"/>
  <c r="A1731"/>
  <c r="C1731"/>
  <c r="D1731"/>
  <c r="A1732"/>
  <c r="C1732"/>
  <c r="D1732"/>
  <c r="A1733"/>
  <c r="C1733"/>
  <c r="D1733"/>
  <c r="A1734"/>
  <c r="C1734"/>
  <c r="D1734"/>
  <c r="A1735"/>
  <c r="C1735"/>
  <c r="D1735"/>
  <c r="A1736"/>
  <c r="C1736"/>
  <c r="D1736"/>
  <c r="A1737"/>
  <c r="C1737"/>
  <c r="D1737"/>
  <c r="A1738"/>
  <c r="C1738"/>
  <c r="D1738"/>
  <c r="A1739"/>
  <c r="C1739"/>
  <c r="D1739"/>
  <c r="A1740"/>
  <c r="C1740"/>
  <c r="D1740"/>
  <c r="A1741"/>
  <c r="C1741"/>
  <c r="D1741"/>
  <c r="A1742"/>
  <c r="C1742"/>
  <c r="D1742"/>
  <c r="A1743"/>
  <c r="C1743"/>
  <c r="D1743"/>
  <c r="A1744"/>
  <c r="C1744"/>
  <c r="D1744"/>
  <c r="A1745"/>
  <c r="C1745"/>
  <c r="D1745"/>
  <c r="A1746"/>
  <c r="C1746"/>
  <c r="D1746"/>
  <c r="A1747"/>
  <c r="C1747"/>
  <c r="D1747"/>
  <c r="A1748"/>
  <c r="C1748"/>
  <c r="D1748"/>
  <c r="A1749"/>
  <c r="C1749"/>
  <c r="D1749"/>
  <c r="A1750"/>
  <c r="C1750"/>
  <c r="D1750"/>
  <c r="A1751"/>
  <c r="C1751"/>
  <c r="D1751"/>
  <c r="A1752"/>
  <c r="C1752"/>
  <c r="D1752"/>
  <c r="A1753"/>
  <c r="C1753"/>
  <c r="D1753"/>
  <c r="A1754"/>
  <c r="C1754"/>
  <c r="D1754"/>
  <c r="A1755"/>
  <c r="C1755"/>
  <c r="D1755"/>
  <c r="A1756"/>
  <c r="C1756"/>
  <c r="D1756"/>
  <c r="A1757"/>
  <c r="C1757"/>
  <c r="D1757"/>
  <c r="A1758"/>
  <c r="C1758"/>
  <c r="D1758"/>
  <c r="A1759"/>
  <c r="C1759"/>
  <c r="D1759"/>
  <c r="A1760"/>
  <c r="C1760"/>
  <c r="D1760"/>
  <c r="A1761"/>
  <c r="C1761"/>
  <c r="D1761"/>
  <c r="A1762"/>
  <c r="C1762"/>
  <c r="D1762"/>
  <c r="A1763"/>
  <c r="C1763"/>
  <c r="D1763"/>
  <c r="A1764"/>
  <c r="C1764"/>
  <c r="D1764"/>
  <c r="A1765"/>
  <c r="C1765"/>
  <c r="D1765"/>
  <c r="A1766"/>
  <c r="C1766"/>
  <c r="D1766"/>
  <c r="A1767"/>
  <c r="C1767"/>
  <c r="D1767"/>
  <c r="A1768"/>
  <c r="C1768"/>
  <c r="D1768"/>
  <c r="A1769"/>
  <c r="C1769"/>
  <c r="D1769"/>
  <c r="A1770"/>
  <c r="C1770"/>
  <c r="D1770"/>
  <c r="A1771"/>
  <c r="C1771"/>
  <c r="D1771"/>
  <c r="A1772"/>
  <c r="C1772"/>
  <c r="D1772"/>
  <c r="A1773"/>
  <c r="C1773"/>
  <c r="D1773"/>
  <c r="A1774"/>
  <c r="C1774"/>
  <c r="D1774"/>
  <c r="A1775"/>
  <c r="C1775"/>
  <c r="D1775"/>
  <c r="A1776"/>
  <c r="C1776"/>
  <c r="D1776"/>
  <c r="A1777"/>
  <c r="C1777"/>
  <c r="D1777"/>
  <c r="A1778"/>
  <c r="C1778"/>
  <c r="D1778"/>
  <c r="A1779"/>
  <c r="C1779"/>
  <c r="D1779"/>
  <c r="A1780"/>
  <c r="C1780"/>
  <c r="D1780"/>
  <c r="A1781"/>
  <c r="C1781"/>
  <c r="D1781"/>
  <c r="A1782"/>
  <c r="C1782"/>
  <c r="D1782"/>
  <c r="A1783"/>
  <c r="C1783"/>
  <c r="D1783"/>
  <c r="A1784"/>
  <c r="C1784"/>
  <c r="D1784"/>
  <c r="A1785"/>
  <c r="C1785"/>
  <c r="D1785"/>
  <c r="A1786"/>
  <c r="C1786"/>
  <c r="D1786"/>
  <c r="A1787"/>
  <c r="C1787"/>
  <c r="D1787"/>
  <c r="A1788"/>
  <c r="C1788"/>
  <c r="D1788"/>
  <c r="A1789"/>
  <c r="C1789"/>
  <c r="D1789"/>
  <c r="A1790"/>
  <c r="C1790"/>
  <c r="D1790"/>
  <c r="A1791"/>
  <c r="C1791"/>
  <c r="D1791"/>
  <c r="A1792"/>
  <c r="C1792"/>
  <c r="D1792"/>
  <c r="A1793"/>
  <c r="C1793"/>
  <c r="D1793"/>
  <c r="A1794"/>
  <c r="C1794"/>
  <c r="D1794"/>
  <c r="A1795"/>
  <c r="C1795"/>
  <c r="D1795"/>
  <c r="A1796"/>
  <c r="C1796"/>
  <c r="D1796"/>
  <c r="A1797"/>
  <c r="C1797"/>
  <c r="D1797"/>
  <c r="A1798"/>
  <c r="C1798"/>
  <c r="D1798"/>
  <c r="A1799"/>
  <c r="C1799"/>
  <c r="D1799"/>
  <c r="A1800"/>
  <c r="C1800"/>
  <c r="D1800"/>
  <c r="A1801"/>
  <c r="C1801"/>
  <c r="D1801"/>
  <c r="A1802"/>
  <c r="C1802"/>
  <c r="D1802"/>
  <c r="A1803"/>
  <c r="C1803"/>
  <c r="D1803"/>
  <c r="A1804"/>
  <c r="C1804"/>
  <c r="D1804"/>
  <c r="A1805"/>
  <c r="C1805"/>
  <c r="D1805"/>
  <c r="A1806"/>
  <c r="C1806"/>
  <c r="D1806"/>
  <c r="A1807"/>
  <c r="C1807"/>
  <c r="D1807"/>
  <c r="A1808"/>
  <c r="C1808"/>
  <c r="D1808"/>
  <c r="A1809"/>
  <c r="C1809"/>
  <c r="D1809"/>
  <c r="A1810"/>
  <c r="C1810"/>
  <c r="D1810"/>
  <c r="A1811"/>
  <c r="C1811"/>
  <c r="D1811"/>
  <c r="A1812"/>
  <c r="C1812"/>
  <c r="D1812"/>
  <c r="A1813"/>
  <c r="C1813"/>
  <c r="D1813"/>
  <c r="A1814"/>
  <c r="C1814"/>
  <c r="D1814"/>
  <c r="A1815"/>
  <c r="C1815"/>
  <c r="D1815"/>
  <c r="A1816"/>
  <c r="C1816"/>
  <c r="D1816"/>
  <c r="A1817"/>
  <c r="C1817"/>
  <c r="D1817"/>
  <c r="A1818"/>
  <c r="C1818"/>
  <c r="D1818"/>
  <c r="A1819"/>
  <c r="C1819"/>
  <c r="D1819"/>
  <c r="A1820"/>
  <c r="C1820"/>
  <c r="D1820"/>
  <c r="A1821"/>
  <c r="C1821"/>
  <c r="D1821"/>
  <c r="A1822"/>
  <c r="C1822"/>
  <c r="D1822"/>
  <c r="A1823"/>
  <c r="C1823"/>
  <c r="D1823"/>
  <c r="A1824"/>
  <c r="C1824"/>
  <c r="D1824"/>
  <c r="A1825"/>
  <c r="C1825"/>
  <c r="D1825"/>
  <c r="A1826"/>
  <c r="C1826"/>
  <c r="D1826"/>
  <c r="A1827"/>
  <c r="C1827"/>
  <c r="D1827"/>
  <c r="A1828"/>
  <c r="C1828"/>
  <c r="D1828"/>
  <c r="A1829"/>
  <c r="C1829"/>
  <c r="D1829"/>
  <c r="A1830"/>
  <c r="C1830"/>
  <c r="D1830"/>
  <c r="A1831"/>
  <c r="C1831"/>
  <c r="D1831"/>
  <c r="A1832"/>
  <c r="C1832"/>
  <c r="D1832"/>
  <c r="A1833"/>
  <c r="C1833"/>
  <c r="D1833"/>
  <c r="A1834"/>
  <c r="C1834"/>
  <c r="D1834"/>
  <c r="A1835"/>
  <c r="C1835"/>
  <c r="D1835"/>
  <c r="A1836"/>
  <c r="C1836"/>
  <c r="D1836"/>
  <c r="A1837"/>
  <c r="C1837"/>
  <c r="D1837"/>
  <c r="A1838"/>
  <c r="C1838"/>
  <c r="D1838"/>
  <c r="A1839"/>
  <c r="C1839"/>
  <c r="D1839"/>
  <c r="A1840"/>
  <c r="C1840"/>
  <c r="D1840"/>
  <c r="A1841"/>
  <c r="C1841"/>
  <c r="D1841"/>
  <c r="A1842"/>
  <c r="C1842"/>
  <c r="D1842"/>
  <c r="A1843"/>
  <c r="C1843"/>
  <c r="D1843"/>
  <c r="A1844"/>
  <c r="C1844"/>
  <c r="D1844"/>
  <c r="A1845"/>
  <c r="C1845"/>
  <c r="D1845"/>
  <c r="A1846"/>
  <c r="C1846"/>
  <c r="D1846"/>
  <c r="A1847"/>
  <c r="C1847"/>
  <c r="D1847"/>
  <c r="A1848"/>
  <c r="C1848"/>
  <c r="D1848"/>
  <c r="A1849"/>
  <c r="C1849"/>
  <c r="D1849"/>
  <c r="A1850"/>
  <c r="C1850"/>
  <c r="D1850"/>
  <c r="A1851"/>
  <c r="C1851"/>
  <c r="D1851"/>
  <c r="A1852"/>
  <c r="C1852"/>
  <c r="D1852"/>
  <c r="A1853"/>
  <c r="C1853"/>
  <c r="D1853"/>
  <c r="A1854"/>
  <c r="C1854"/>
  <c r="D1854"/>
  <c r="A1855"/>
  <c r="C1855"/>
  <c r="D1855"/>
  <c r="A1856"/>
  <c r="C1856"/>
  <c r="D1856"/>
  <c r="A1857"/>
  <c r="C1857"/>
  <c r="D1857"/>
  <c r="A1858"/>
  <c r="C1858"/>
  <c r="D1858"/>
  <c r="A1859"/>
  <c r="C1859"/>
  <c r="D1859"/>
  <c r="A1860"/>
  <c r="C1860"/>
  <c r="D1860"/>
  <c r="A1861"/>
  <c r="C1861"/>
  <c r="D1861"/>
  <c r="A1862"/>
  <c r="C1862"/>
  <c r="D1862"/>
  <c r="A1863"/>
  <c r="C1863"/>
  <c r="D1863"/>
  <c r="A1864"/>
  <c r="C1864"/>
  <c r="D1864"/>
  <c r="A1865"/>
  <c r="C1865"/>
  <c r="D1865"/>
  <c r="A1866"/>
  <c r="C1866"/>
  <c r="D1866"/>
  <c r="A1867"/>
  <c r="C1867"/>
  <c r="D1867"/>
  <c r="A1868"/>
  <c r="C1868"/>
  <c r="D1868"/>
  <c r="A1869"/>
  <c r="C1869"/>
  <c r="D1869"/>
  <c r="A1870"/>
  <c r="C1870"/>
  <c r="D1870"/>
  <c r="A1871"/>
  <c r="C1871"/>
  <c r="D1871"/>
  <c r="A1872"/>
  <c r="C1872"/>
  <c r="D1872"/>
  <c r="A1873"/>
  <c r="C1873"/>
  <c r="D1873"/>
  <c r="A1874"/>
  <c r="C1874"/>
  <c r="D1874"/>
  <c r="A1875"/>
  <c r="C1875"/>
  <c r="D1875"/>
  <c r="A1876"/>
  <c r="C1876"/>
  <c r="D1876"/>
  <c r="A1877"/>
  <c r="C1877"/>
  <c r="D1877"/>
  <c r="A1878"/>
  <c r="C1878"/>
  <c r="D1878"/>
  <c r="A1879"/>
  <c r="C1879"/>
  <c r="D1879"/>
  <c r="A1880"/>
  <c r="C1880"/>
  <c r="D1880"/>
  <c r="A1881"/>
  <c r="C1881"/>
  <c r="D1881"/>
  <c r="A1882"/>
  <c r="C1882"/>
  <c r="D1882"/>
  <c r="A1883"/>
  <c r="C1883"/>
  <c r="D1883"/>
  <c r="A1884"/>
  <c r="C1884"/>
  <c r="D1884"/>
  <c r="A1885"/>
  <c r="C1885"/>
  <c r="D1885"/>
  <c r="A1886"/>
  <c r="C1886"/>
  <c r="D1886"/>
  <c r="A1887"/>
  <c r="C1887"/>
  <c r="D1887"/>
  <c r="A1888"/>
  <c r="C1888"/>
  <c r="D1888"/>
  <c r="A1889"/>
  <c r="C1889"/>
  <c r="D1889"/>
  <c r="A1890"/>
  <c r="C1890"/>
  <c r="D1890"/>
  <c r="A1891"/>
  <c r="C1891"/>
  <c r="D1891"/>
  <c r="A1892"/>
  <c r="C1892"/>
  <c r="D1892"/>
  <c r="A1893"/>
  <c r="C1893"/>
  <c r="D1893"/>
  <c r="A1894"/>
  <c r="C1894"/>
  <c r="D1894"/>
  <c r="A1895"/>
  <c r="C1895"/>
  <c r="D1895"/>
  <c r="A1896"/>
  <c r="C1896"/>
  <c r="D1896"/>
  <c r="A1897"/>
  <c r="C1897"/>
  <c r="D1897"/>
  <c r="A1898"/>
  <c r="C1898"/>
  <c r="D1898"/>
  <c r="A1899"/>
  <c r="C1899"/>
  <c r="D1899"/>
  <c r="A1900"/>
  <c r="C1900"/>
  <c r="D1900"/>
  <c r="A1901"/>
  <c r="C1901"/>
  <c r="D1901"/>
  <c r="A1902"/>
  <c r="C1902"/>
  <c r="D1902"/>
  <c r="A1903"/>
  <c r="C1903"/>
  <c r="D1903"/>
  <c r="A1904"/>
  <c r="C1904"/>
  <c r="D1904"/>
  <c r="A1905"/>
  <c r="C1905"/>
  <c r="D1905"/>
  <c r="A1906"/>
  <c r="C1906"/>
  <c r="D1906"/>
  <c r="A1907"/>
  <c r="C1907"/>
  <c r="D1907"/>
  <c r="A1908"/>
  <c r="C1908"/>
  <c r="D1908"/>
  <c r="A1909"/>
  <c r="C1909"/>
  <c r="D1909"/>
  <c r="A1910"/>
  <c r="C1910"/>
  <c r="D1910"/>
  <c r="A1911"/>
  <c r="C1911"/>
  <c r="D1911"/>
  <c r="A1912"/>
  <c r="C1912"/>
  <c r="D1912"/>
  <c r="A1913"/>
  <c r="C1913"/>
  <c r="D1913"/>
  <c r="A1914"/>
  <c r="C1914"/>
  <c r="D1914"/>
  <c r="A1915"/>
  <c r="C1915"/>
  <c r="D1915"/>
  <c r="A1916"/>
  <c r="C1916"/>
  <c r="D1916"/>
  <c r="A1917"/>
  <c r="C1917"/>
  <c r="D1917"/>
  <c r="A1918"/>
  <c r="C1918"/>
  <c r="D1918"/>
  <c r="A1919"/>
  <c r="C1919"/>
  <c r="D1919"/>
  <c r="A1920"/>
  <c r="C1920"/>
  <c r="D1920"/>
  <c r="A1921"/>
  <c r="C1921"/>
  <c r="D1921"/>
  <c r="A1922"/>
  <c r="C1922"/>
  <c r="D1922"/>
  <c r="A1923"/>
  <c r="C1923"/>
  <c r="D1923"/>
  <c r="A1924"/>
  <c r="C1924"/>
  <c r="D1924"/>
  <c r="A1925"/>
  <c r="C1925"/>
  <c r="D1925"/>
  <c r="A1926"/>
  <c r="C1926"/>
  <c r="D1926"/>
  <c r="A1927"/>
  <c r="C1927"/>
  <c r="D1927"/>
  <c r="A1928"/>
  <c r="C1928"/>
  <c r="D1928"/>
  <c r="A1929"/>
  <c r="C1929"/>
  <c r="D1929"/>
  <c r="A1930"/>
  <c r="C1930"/>
  <c r="D1930"/>
  <c r="A1931"/>
  <c r="C1931"/>
  <c r="D1931"/>
  <c r="A1932"/>
  <c r="C1932"/>
  <c r="D1932"/>
  <c r="A1933"/>
  <c r="C1933"/>
  <c r="D1933"/>
  <c r="A1934"/>
  <c r="C1934"/>
  <c r="D1934"/>
  <c r="A1935"/>
  <c r="C1935"/>
  <c r="D1935"/>
  <c r="A1936"/>
  <c r="C1936"/>
  <c r="D1936"/>
  <c r="A1937"/>
  <c r="C1937"/>
  <c r="D1937"/>
  <c r="A1938"/>
  <c r="C1938"/>
  <c r="D1938"/>
  <c r="A1939"/>
  <c r="C1939"/>
  <c r="D1939"/>
  <c r="A1940"/>
  <c r="C1940"/>
  <c r="D1940"/>
  <c r="A1941"/>
  <c r="C1941"/>
  <c r="D1941"/>
  <c r="A1942"/>
  <c r="C1942"/>
  <c r="D1942"/>
  <c r="A1943"/>
  <c r="C1943"/>
  <c r="D1943"/>
  <c r="A1944"/>
  <c r="C1944"/>
  <c r="D1944"/>
  <c r="A1945"/>
  <c r="C1945"/>
  <c r="D1945"/>
  <c r="A1946"/>
  <c r="C1946"/>
  <c r="D1946"/>
  <c r="A1947"/>
  <c r="C1947"/>
  <c r="D1947"/>
  <c r="A1948"/>
  <c r="C1948"/>
  <c r="D1948"/>
  <c r="A1949"/>
  <c r="C1949"/>
  <c r="D1949"/>
  <c r="A1950"/>
  <c r="C1950"/>
  <c r="D1950"/>
  <c r="A1951"/>
  <c r="C1951"/>
  <c r="D1951"/>
  <c r="A1952"/>
  <c r="C1952"/>
  <c r="D1952"/>
  <c r="A1953"/>
  <c r="C1953"/>
  <c r="D1953"/>
  <c r="A1954"/>
  <c r="C1954"/>
  <c r="D1954"/>
  <c r="A1955"/>
  <c r="C1955"/>
  <c r="D1955"/>
  <c r="A1956"/>
  <c r="C1956"/>
  <c r="D1956"/>
  <c r="A1957"/>
  <c r="C1957"/>
  <c r="D1957"/>
  <c r="A1958"/>
  <c r="C1958"/>
  <c r="D1958"/>
  <c r="A1959"/>
  <c r="C1959"/>
  <c r="D1959"/>
  <c r="A1960"/>
  <c r="C1960"/>
  <c r="D1960"/>
  <c r="A1961"/>
  <c r="C1961"/>
  <c r="D1961"/>
  <c r="A1962"/>
  <c r="C1962"/>
  <c r="D1962"/>
  <c r="A1963"/>
  <c r="C1963"/>
  <c r="D1963"/>
  <c r="A1964"/>
  <c r="C1964"/>
  <c r="D1964"/>
  <c r="A1965"/>
  <c r="C1965"/>
  <c r="D1965"/>
  <c r="A1966"/>
  <c r="C1966"/>
  <c r="D1966"/>
  <c r="A1967"/>
  <c r="C1967"/>
  <c r="D1967"/>
  <c r="A1968"/>
  <c r="C1968"/>
  <c r="D1968"/>
  <c r="A1969"/>
  <c r="C1969"/>
  <c r="D1969"/>
  <c r="A1970"/>
  <c r="C1970"/>
  <c r="D1970"/>
  <c r="A1971"/>
  <c r="C1971"/>
  <c r="D1971"/>
  <c r="A1972"/>
  <c r="C1972"/>
  <c r="D1972"/>
  <c r="A1973"/>
  <c r="C1973"/>
  <c r="D1973"/>
  <c r="A1974"/>
  <c r="C1974"/>
  <c r="D1974"/>
  <c r="A1975"/>
  <c r="C1975"/>
  <c r="D1975"/>
  <c r="A1976"/>
  <c r="C1976"/>
  <c r="D1976"/>
  <c r="A1977"/>
  <c r="C1977"/>
  <c r="D1977"/>
  <c r="A1978"/>
  <c r="C1978"/>
  <c r="D1978"/>
  <c r="A1979"/>
  <c r="C1979"/>
  <c r="D1979"/>
  <c r="A1980"/>
  <c r="C1980"/>
  <c r="D1980"/>
  <c r="A1981"/>
  <c r="C1981"/>
  <c r="D1981"/>
  <c r="A1982"/>
  <c r="C1982"/>
  <c r="D1982"/>
  <c r="A1983"/>
  <c r="C1983"/>
  <c r="D1983"/>
  <c r="A1984"/>
  <c r="C1984"/>
  <c r="D1984"/>
  <c r="A1985"/>
  <c r="C1985"/>
  <c r="D1985"/>
  <c r="A1986"/>
  <c r="C1986"/>
  <c r="D1986"/>
  <c r="A1987"/>
  <c r="C1987"/>
  <c r="D1987"/>
  <c r="A1988"/>
  <c r="C1988"/>
  <c r="D1988"/>
  <c r="A1989"/>
  <c r="C1989"/>
  <c r="D1989"/>
  <c r="A1990"/>
  <c r="C1990"/>
  <c r="D1990"/>
  <c r="A1991"/>
  <c r="C1991"/>
  <c r="D1991"/>
  <c r="A1992"/>
  <c r="C1992"/>
  <c r="D1992"/>
  <c r="A1993"/>
  <c r="C1993"/>
  <c r="D1993"/>
  <c r="A1994"/>
  <c r="C1994"/>
  <c r="D1994"/>
  <c r="A1995"/>
  <c r="C1995"/>
  <c r="D1995"/>
  <c r="A1996"/>
  <c r="C1996"/>
  <c r="D1996"/>
  <c r="A1997"/>
  <c r="C1997"/>
  <c r="D1997"/>
  <c r="A1998"/>
  <c r="C1998"/>
  <c r="D1998"/>
  <c r="A1999"/>
  <c r="C1999"/>
  <c r="D1999"/>
  <c r="A2000"/>
  <c r="C2000"/>
  <c r="D2000"/>
  <c r="A2001"/>
  <c r="C2001"/>
  <c r="D2001"/>
  <c r="A2002"/>
  <c r="C2002"/>
  <c r="D2002"/>
  <c r="A2003"/>
  <c r="C2003"/>
  <c r="D2003"/>
  <c r="A2004"/>
  <c r="C2004"/>
  <c r="D2004"/>
  <c r="A2005"/>
  <c r="C2005"/>
  <c r="D2005"/>
  <c r="A2006"/>
  <c r="C2006"/>
  <c r="D2006"/>
  <c r="A2007"/>
  <c r="C2007"/>
  <c r="D2007"/>
  <c r="A2008"/>
  <c r="C2008"/>
  <c r="D2008"/>
  <c r="A2009"/>
  <c r="C2009"/>
  <c r="D2009"/>
  <c r="A2010"/>
  <c r="C2010"/>
  <c r="D2010"/>
  <c r="A2011"/>
  <c r="C2011"/>
  <c r="D2011"/>
  <c r="A2012"/>
  <c r="C2012"/>
  <c r="D2012"/>
  <c r="A2013"/>
  <c r="C2013"/>
  <c r="D2013"/>
  <c r="A2014"/>
  <c r="C2014"/>
  <c r="D2014"/>
  <c r="A2015"/>
  <c r="C2015"/>
  <c r="D2015"/>
  <c r="A2016"/>
  <c r="C2016"/>
  <c r="D2016"/>
  <c r="A2017"/>
  <c r="C2017"/>
  <c r="D2017"/>
  <c r="A2018"/>
  <c r="C2018"/>
  <c r="D2018"/>
  <c r="A2019"/>
  <c r="C2019"/>
  <c r="D2019"/>
  <c r="A2020"/>
  <c r="C2020"/>
  <c r="D2020"/>
  <c r="A2021"/>
  <c r="C2021"/>
  <c r="D2021"/>
  <c r="A2022"/>
  <c r="C2022"/>
  <c r="D2022"/>
  <c r="A2023"/>
  <c r="C2023"/>
  <c r="D2023"/>
  <c r="A2024"/>
  <c r="C2024"/>
  <c r="D2024"/>
  <c r="A2025"/>
  <c r="C2025"/>
  <c r="D2025"/>
  <c r="A2026"/>
  <c r="C2026"/>
  <c r="D2026"/>
  <c r="A2027"/>
  <c r="C2027"/>
  <c r="D2027"/>
  <c r="A2028"/>
  <c r="C2028"/>
  <c r="D2028"/>
  <c r="A2029"/>
  <c r="C2029"/>
  <c r="D2029"/>
  <c r="A2030"/>
  <c r="C2030"/>
  <c r="D2030"/>
  <c r="A2031"/>
  <c r="C2031"/>
  <c r="D2031"/>
  <c r="A2032"/>
  <c r="C2032"/>
  <c r="D2032"/>
  <c r="A2033"/>
  <c r="C2033"/>
  <c r="D2033"/>
  <c r="A2034"/>
  <c r="C2034"/>
  <c r="D2034"/>
  <c r="A2035"/>
  <c r="C2035"/>
  <c r="D2035"/>
  <c r="A2036"/>
  <c r="C2036"/>
  <c r="D2036"/>
  <c r="A2037"/>
  <c r="C2037"/>
  <c r="D2037"/>
  <c r="A2038"/>
  <c r="C2038"/>
  <c r="D2038"/>
  <c r="A2039"/>
  <c r="C2039"/>
  <c r="D2039"/>
  <c r="A2040"/>
  <c r="C2040"/>
  <c r="D2040"/>
  <c r="A2041"/>
  <c r="C2041"/>
  <c r="D2041"/>
  <c r="A2042"/>
  <c r="C2042"/>
  <c r="D2042"/>
  <c r="A2043"/>
  <c r="C2043"/>
  <c r="D2043"/>
  <c r="A2044"/>
  <c r="C2044"/>
  <c r="D2044"/>
  <c r="A2045"/>
  <c r="C2045"/>
  <c r="D2045"/>
  <c r="A2046"/>
  <c r="C2046"/>
  <c r="D2046"/>
  <c r="A2047"/>
  <c r="C2047"/>
  <c r="D2047"/>
  <c r="A2048"/>
  <c r="C2048"/>
  <c r="D2048"/>
  <c r="A2049"/>
  <c r="C2049"/>
  <c r="D2049"/>
  <c r="A2050"/>
  <c r="C2050"/>
  <c r="D2050"/>
  <c r="A2051"/>
  <c r="C2051"/>
  <c r="D2051"/>
  <c r="A2052"/>
  <c r="C2052"/>
  <c r="D2052"/>
  <c r="A2053"/>
  <c r="C2053"/>
  <c r="D2053"/>
  <c r="A2054"/>
  <c r="C2054"/>
  <c r="D2054"/>
  <c r="A2055"/>
  <c r="C2055"/>
  <c r="D2055"/>
  <c r="A2056"/>
  <c r="C2056"/>
  <c r="D2056"/>
  <c r="A2057"/>
  <c r="C2057"/>
  <c r="D2057"/>
  <c r="A2058"/>
  <c r="C2058"/>
  <c r="D2058"/>
  <c r="A2059"/>
  <c r="C2059"/>
  <c r="D2059"/>
  <c r="A2060"/>
  <c r="C2060"/>
  <c r="D2060"/>
  <c r="A2061"/>
  <c r="C2061"/>
  <c r="D2061"/>
  <c r="A2062"/>
  <c r="C2062"/>
  <c r="D2062"/>
  <c r="A2063"/>
  <c r="C2063"/>
  <c r="D2063"/>
  <c r="A2064"/>
  <c r="C2064"/>
  <c r="D2064"/>
  <c r="A2065"/>
  <c r="C2065"/>
  <c r="D2065"/>
  <c r="A2066"/>
  <c r="C2066"/>
  <c r="D2066"/>
  <c r="A2067"/>
  <c r="C2067"/>
  <c r="D2067"/>
  <c r="A2068"/>
  <c r="C2068"/>
  <c r="D2068"/>
  <c r="A2069"/>
  <c r="C2069"/>
  <c r="D2069"/>
  <c r="A2070"/>
  <c r="C2070"/>
  <c r="D2070"/>
  <c r="A2071"/>
  <c r="C2071"/>
  <c r="D2071"/>
  <c r="A2072"/>
  <c r="C2072"/>
  <c r="D2072"/>
  <c r="A2073"/>
  <c r="C2073"/>
  <c r="D2073"/>
  <c r="A2074"/>
  <c r="C2074"/>
  <c r="D2074"/>
  <c r="A2075"/>
  <c r="C2075"/>
  <c r="D2075"/>
  <c r="A2076"/>
  <c r="C2076"/>
  <c r="D2076"/>
  <c r="A2077"/>
  <c r="C2077"/>
  <c r="D2077"/>
  <c r="A2078"/>
  <c r="C2078"/>
  <c r="D2078"/>
  <c r="A2079"/>
  <c r="C2079"/>
  <c r="D2079"/>
  <c r="A2080"/>
  <c r="C2080"/>
  <c r="D2080"/>
  <c r="A2081"/>
  <c r="C2081"/>
  <c r="D2081"/>
  <c r="A2082"/>
  <c r="C2082"/>
  <c r="D2082"/>
  <c r="A2083"/>
  <c r="C2083"/>
  <c r="D2083"/>
  <c r="A2084"/>
  <c r="C2084"/>
  <c r="D2084"/>
  <c r="A2085"/>
  <c r="C2085"/>
  <c r="D2085"/>
  <c r="A2086"/>
  <c r="C2086"/>
  <c r="D2086"/>
  <c r="A2087"/>
  <c r="C2087"/>
  <c r="D2087"/>
  <c r="A2088"/>
  <c r="C2088"/>
  <c r="D2088"/>
  <c r="A2089"/>
  <c r="C2089"/>
  <c r="D2089"/>
  <c r="A2090"/>
  <c r="C2090"/>
  <c r="D2090"/>
  <c r="A2091"/>
  <c r="C2091"/>
  <c r="D2091"/>
  <c r="A2092"/>
  <c r="C2092"/>
  <c r="D2092"/>
  <c r="A2093"/>
  <c r="C2093"/>
  <c r="D2093"/>
  <c r="A2094"/>
  <c r="C2094"/>
  <c r="D2094"/>
  <c r="A2095"/>
  <c r="C2095"/>
  <c r="D2095"/>
  <c r="A2096"/>
  <c r="C2096"/>
  <c r="D2096"/>
  <c r="A2097"/>
  <c r="C2097"/>
  <c r="D2097"/>
  <c r="A2098"/>
  <c r="C2098"/>
  <c r="D2098"/>
  <c r="A2099"/>
  <c r="C2099"/>
  <c r="D2099"/>
  <c r="A2100"/>
  <c r="C2100"/>
  <c r="D2100"/>
  <c r="A2101"/>
  <c r="C2101"/>
  <c r="D2101"/>
  <c r="A2102"/>
  <c r="C2102"/>
  <c r="D2102"/>
  <c r="A2103"/>
  <c r="C2103"/>
  <c r="D2103"/>
  <c r="A2104"/>
  <c r="C2104"/>
  <c r="D2104"/>
  <c r="A2105"/>
  <c r="C2105"/>
  <c r="D2105"/>
  <c r="A2106"/>
  <c r="C2106"/>
  <c r="D2106"/>
  <c r="A2107"/>
  <c r="C2107"/>
  <c r="D2107"/>
  <c r="A2108"/>
  <c r="C2108"/>
  <c r="D2108"/>
  <c r="A2109"/>
  <c r="C2109"/>
  <c r="D2109"/>
  <c r="A2110"/>
  <c r="C2110"/>
  <c r="D2110"/>
  <c r="A2111"/>
  <c r="C2111"/>
  <c r="D2111"/>
  <c r="A2112"/>
  <c r="C2112"/>
  <c r="D2112"/>
  <c r="A2113"/>
  <c r="C2113"/>
  <c r="D2113"/>
  <c r="A2114"/>
  <c r="C2114"/>
  <c r="D2114"/>
  <c r="A2115"/>
  <c r="C2115"/>
  <c r="D2115"/>
</calcChain>
</file>

<file path=xl/sharedStrings.xml><?xml version="1.0" encoding="utf-8"?>
<sst xmlns="http://schemas.openxmlformats.org/spreadsheetml/2006/main" count="2118" uniqueCount="61">
  <si>
    <t>报考号</t>
  </si>
  <si>
    <t>报考岗位</t>
  </si>
  <si>
    <t>姓名</t>
  </si>
  <si>
    <t>性别</t>
  </si>
  <si>
    <t>A057_管理人员</t>
  </si>
  <si>
    <t>A004_管理人员</t>
  </si>
  <si>
    <t>A039_管理人员</t>
  </si>
  <si>
    <t>A033_管理人员</t>
  </si>
  <si>
    <t>A021_管理人员</t>
  </si>
  <si>
    <t>A036_管理人员</t>
  </si>
  <si>
    <t>A037_管理人员</t>
  </si>
  <si>
    <t>A040_管理人员</t>
  </si>
  <si>
    <t>A013_管理人员</t>
  </si>
  <si>
    <t>A047_管理人员</t>
  </si>
  <si>
    <t>A022_专技人员</t>
  </si>
  <si>
    <t>A054_专技人员</t>
  </si>
  <si>
    <t>A025_管理人员</t>
  </si>
  <si>
    <t>A026_管理人员</t>
  </si>
  <si>
    <t>A014_管理人员</t>
  </si>
  <si>
    <t>A019_管理人员</t>
  </si>
  <si>
    <t>A041_管理人员</t>
  </si>
  <si>
    <t>A027_管理人员</t>
  </si>
  <si>
    <t>A020_专技人员</t>
  </si>
  <si>
    <t>A050_专技人员</t>
  </si>
  <si>
    <t>A055_专技人员</t>
  </si>
  <si>
    <t>A051_专技人员</t>
  </si>
  <si>
    <t>A011_管理人员</t>
  </si>
  <si>
    <t>A009_管理人员</t>
  </si>
  <si>
    <t>A042_专技人员1</t>
  </si>
  <si>
    <t>A029_专技人员2</t>
  </si>
  <si>
    <t>A034_专技人员</t>
  </si>
  <si>
    <t>A008_管理人员</t>
  </si>
  <si>
    <t>A023_管理人员</t>
  </si>
  <si>
    <t>A010_管理人员</t>
  </si>
  <si>
    <t>A017_管理人员</t>
  </si>
  <si>
    <t>A056_管理人员</t>
  </si>
  <si>
    <t>A031_专技人员4</t>
  </si>
  <si>
    <t>A006_专技人员2</t>
  </si>
  <si>
    <t>A052_专技人员</t>
  </si>
  <si>
    <t>A043_专技人员2</t>
  </si>
  <si>
    <t>A018_管理人员</t>
  </si>
  <si>
    <t>A038_管理人员</t>
  </si>
  <si>
    <t>A032_专技人员5</t>
  </si>
  <si>
    <t>A030_专技人员3</t>
  </si>
  <si>
    <t>A048_专技人员1</t>
  </si>
  <si>
    <t>A003_专技人员</t>
  </si>
  <si>
    <t>A046_管理人员</t>
  </si>
  <si>
    <t>A049_专技人员2</t>
  </si>
  <si>
    <t>A015_管理人员</t>
  </si>
  <si>
    <t>A012_管理人员</t>
  </si>
  <si>
    <t>A005_专技人员1</t>
  </si>
  <si>
    <t>A045_专技人员2</t>
  </si>
  <si>
    <t>A016_管理人员</t>
  </si>
  <si>
    <t>A024_管理人员</t>
  </si>
  <si>
    <t>A035_管理人员</t>
  </si>
  <si>
    <t>A007_专技人员</t>
  </si>
  <si>
    <t>A028_专技人员1</t>
  </si>
  <si>
    <t>A044_专技人员1</t>
  </si>
  <si>
    <t>A053_专技人员</t>
  </si>
  <si>
    <t>A001_管理人员</t>
  </si>
  <si>
    <t>A002_管理人员</t>
  </si>
</sst>
</file>

<file path=xl/styles.xml><?xml version="1.0" encoding="utf-8"?>
<styleSheet xmlns="http://schemas.openxmlformats.org/spreadsheetml/2006/main">
  <fonts count="19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5"/>
  <sheetViews>
    <sheetView tabSelected="1" topLeftCell="B1" workbookViewId="0">
      <selection activeCell="E19" sqref="E19"/>
    </sheetView>
  </sheetViews>
  <sheetFormatPr defaultRowHeight="24" customHeight="1"/>
  <cols>
    <col min="1" max="1" width="0" hidden="1" customWidth="1"/>
    <col min="2" max="2" width="18.375" customWidth="1"/>
    <col min="3" max="3" width="10.5" customWidth="1"/>
  </cols>
  <sheetData>
    <row r="1" spans="1:4" ht="24" customHeight="1">
      <c r="A1" t="s">
        <v>0</v>
      </c>
      <c r="B1" t="s">
        <v>1</v>
      </c>
      <c r="C1" t="s">
        <v>2</v>
      </c>
      <c r="D1" t="s">
        <v>3</v>
      </c>
    </row>
    <row r="2" spans="1:4" ht="24" customHeight="1">
      <c r="A2" t="str">
        <f>"10512020072608310628854"</f>
        <v>10512020072608310628854</v>
      </c>
      <c r="B2" t="s">
        <v>4</v>
      </c>
      <c r="C2" t="str">
        <f>"蔡幸"</f>
        <v>蔡幸</v>
      </c>
      <c r="D2" t="str">
        <f>"女"</f>
        <v>女</v>
      </c>
    </row>
    <row r="3" spans="1:4" ht="24" customHeight="1">
      <c r="A3" t="str">
        <f>"10512020072608310828855"</f>
        <v>10512020072608310828855</v>
      </c>
      <c r="B3" t="s">
        <v>5</v>
      </c>
      <c r="C3" t="str">
        <f>"葛江"</f>
        <v>葛江</v>
      </c>
      <c r="D3" t="str">
        <f>"男"</f>
        <v>男</v>
      </c>
    </row>
    <row r="4" spans="1:4" ht="24" customHeight="1">
      <c r="A4" t="str">
        <f>"10512020072608313328856"</f>
        <v>10512020072608313328856</v>
      </c>
      <c r="B4" t="s">
        <v>6</v>
      </c>
      <c r="C4" t="str">
        <f>"何园园"</f>
        <v>何园园</v>
      </c>
      <c r="D4" t="str">
        <f>"女"</f>
        <v>女</v>
      </c>
    </row>
    <row r="5" spans="1:4" ht="24" customHeight="1">
      <c r="A5" t="str">
        <f>"10512020072608320328857"</f>
        <v>10512020072608320328857</v>
      </c>
      <c r="B5" t="s">
        <v>7</v>
      </c>
      <c r="C5" t="str">
        <f>"沈琪林"</f>
        <v>沈琪林</v>
      </c>
      <c r="D5" t="str">
        <f>"男"</f>
        <v>男</v>
      </c>
    </row>
    <row r="6" spans="1:4" ht="24" customHeight="1">
      <c r="A6" t="str">
        <f>"10512020072608320728858"</f>
        <v>10512020072608320728858</v>
      </c>
      <c r="B6" t="s">
        <v>8</v>
      </c>
      <c r="C6" t="str">
        <f>"李芬芬"</f>
        <v>李芬芬</v>
      </c>
      <c r="D6" t="str">
        <f>"女"</f>
        <v>女</v>
      </c>
    </row>
    <row r="7" spans="1:4" ht="24" customHeight="1">
      <c r="A7" t="str">
        <f>"10512020072608332328860"</f>
        <v>10512020072608332328860</v>
      </c>
      <c r="B7" t="s">
        <v>9</v>
      </c>
      <c r="C7" t="str">
        <f>"周思敏"</f>
        <v>周思敏</v>
      </c>
      <c r="D7" t="str">
        <f>"女"</f>
        <v>女</v>
      </c>
    </row>
    <row r="8" spans="1:4" ht="24" customHeight="1">
      <c r="A8" t="str">
        <f>"10512020072608334728861"</f>
        <v>10512020072608334728861</v>
      </c>
      <c r="B8" t="s">
        <v>10</v>
      </c>
      <c r="C8" t="str">
        <f>"徐丹"</f>
        <v>徐丹</v>
      </c>
      <c r="D8" t="str">
        <f>"女"</f>
        <v>女</v>
      </c>
    </row>
    <row r="9" spans="1:4" ht="24" customHeight="1">
      <c r="A9" t="str">
        <f>"10512020072608341828862"</f>
        <v>10512020072608341828862</v>
      </c>
      <c r="B9" t="s">
        <v>11</v>
      </c>
      <c r="C9" t="str">
        <f>"蔡杨军"</f>
        <v>蔡杨军</v>
      </c>
      <c r="D9" t="str">
        <f>"男"</f>
        <v>男</v>
      </c>
    </row>
    <row r="10" spans="1:4" ht="24" customHeight="1">
      <c r="A10" t="str">
        <f>"10512020072608344228863"</f>
        <v>10512020072608344228863</v>
      </c>
      <c r="B10" t="s">
        <v>12</v>
      </c>
      <c r="C10" t="str">
        <f>"宋萍"</f>
        <v>宋萍</v>
      </c>
      <c r="D10" t="str">
        <f>"女"</f>
        <v>女</v>
      </c>
    </row>
    <row r="11" spans="1:4" ht="24" customHeight="1">
      <c r="A11" t="str">
        <f>"10512020072608354228864"</f>
        <v>10512020072608354228864</v>
      </c>
      <c r="B11" t="s">
        <v>13</v>
      </c>
      <c r="C11" t="str">
        <f>"郑月圆"</f>
        <v>郑月圆</v>
      </c>
      <c r="D11" t="str">
        <f>"女"</f>
        <v>女</v>
      </c>
    </row>
    <row r="12" spans="1:4" ht="24" customHeight="1">
      <c r="A12" t="str">
        <f>"10512020072608371228865"</f>
        <v>10512020072608371228865</v>
      </c>
      <c r="B12" t="s">
        <v>13</v>
      </c>
      <c r="C12" t="str">
        <f>"王惠子"</f>
        <v>王惠子</v>
      </c>
      <c r="D12" t="str">
        <f>"女"</f>
        <v>女</v>
      </c>
    </row>
    <row r="13" spans="1:4" ht="24" customHeight="1">
      <c r="A13" t="str">
        <f>"10512020072608385328866"</f>
        <v>10512020072608385328866</v>
      </c>
      <c r="B13" t="s">
        <v>11</v>
      </c>
      <c r="C13" t="str">
        <f>"吴宇翔"</f>
        <v>吴宇翔</v>
      </c>
      <c r="D13" t="str">
        <f>"男"</f>
        <v>男</v>
      </c>
    </row>
    <row r="14" spans="1:4" ht="24" customHeight="1">
      <c r="A14" t="str">
        <f>"10512020072608422728867"</f>
        <v>10512020072608422728867</v>
      </c>
      <c r="B14" t="s">
        <v>6</v>
      </c>
      <c r="C14" t="str">
        <f>"程传"</f>
        <v>程传</v>
      </c>
      <c r="D14" t="str">
        <f>"女"</f>
        <v>女</v>
      </c>
    </row>
    <row r="15" spans="1:4" ht="24" customHeight="1">
      <c r="A15" t="str">
        <f>"10512020072608423828868"</f>
        <v>10512020072608423828868</v>
      </c>
      <c r="B15" t="s">
        <v>13</v>
      </c>
      <c r="C15" t="str">
        <f>"李钊钢"</f>
        <v>李钊钢</v>
      </c>
      <c r="D15" t="str">
        <f>"男"</f>
        <v>男</v>
      </c>
    </row>
    <row r="16" spans="1:4" ht="24" customHeight="1">
      <c r="A16" t="str">
        <f>"10512020072608444328869"</f>
        <v>10512020072608444328869</v>
      </c>
      <c r="B16" t="s">
        <v>13</v>
      </c>
      <c r="C16" t="str">
        <f>"蔡星晨"</f>
        <v>蔡星晨</v>
      </c>
      <c r="D16" t="str">
        <f>"女"</f>
        <v>女</v>
      </c>
    </row>
    <row r="17" spans="1:4" ht="24" customHeight="1">
      <c r="A17" t="str">
        <f>"10512020072608451228870"</f>
        <v>10512020072608451228870</v>
      </c>
      <c r="B17" t="s">
        <v>14</v>
      </c>
      <c r="C17" t="str">
        <f>"康绍华"</f>
        <v>康绍华</v>
      </c>
      <c r="D17" t="str">
        <f>"男"</f>
        <v>男</v>
      </c>
    </row>
    <row r="18" spans="1:4" ht="24" customHeight="1">
      <c r="A18" t="str">
        <f>"10512020072608484628871"</f>
        <v>10512020072608484628871</v>
      </c>
      <c r="B18" t="s">
        <v>15</v>
      </c>
      <c r="C18" t="str">
        <f>"熊皓琛"</f>
        <v>熊皓琛</v>
      </c>
      <c r="D18" t="str">
        <f>"男"</f>
        <v>男</v>
      </c>
    </row>
    <row r="19" spans="1:4" ht="24" customHeight="1">
      <c r="A19" t="str">
        <f>"10512020072608521328872"</f>
        <v>10512020072608521328872</v>
      </c>
      <c r="B19" t="s">
        <v>16</v>
      </c>
      <c r="C19" t="str">
        <f>"李红桥"</f>
        <v>李红桥</v>
      </c>
      <c r="D19" t="str">
        <f>"男"</f>
        <v>男</v>
      </c>
    </row>
    <row r="20" spans="1:4" ht="24" customHeight="1">
      <c r="A20" t="str">
        <f>"10512020072608531928873"</f>
        <v>10512020072608531928873</v>
      </c>
      <c r="B20" t="s">
        <v>17</v>
      </c>
      <c r="C20" t="str">
        <f>"陈佳妮"</f>
        <v>陈佳妮</v>
      </c>
      <c r="D20" t="str">
        <f>"女"</f>
        <v>女</v>
      </c>
    </row>
    <row r="21" spans="1:4" ht="24" customHeight="1">
      <c r="A21" t="str">
        <f>"10512020072608535228874"</f>
        <v>10512020072608535228874</v>
      </c>
      <c r="B21" t="s">
        <v>13</v>
      </c>
      <c r="C21" t="str">
        <f>"孙田明"</f>
        <v>孙田明</v>
      </c>
      <c r="D21" t="str">
        <f>"男"</f>
        <v>男</v>
      </c>
    </row>
    <row r="22" spans="1:4" ht="24" customHeight="1">
      <c r="A22" t="str">
        <f>"10512020072608551428875"</f>
        <v>10512020072608551428875</v>
      </c>
      <c r="B22" t="s">
        <v>18</v>
      </c>
      <c r="C22" t="str">
        <f>"胡植乔"</f>
        <v>胡植乔</v>
      </c>
      <c r="D22" t="str">
        <f>"男"</f>
        <v>男</v>
      </c>
    </row>
    <row r="23" spans="1:4" ht="24" customHeight="1">
      <c r="A23" t="str">
        <f>"10512020072608553128876"</f>
        <v>10512020072608553128876</v>
      </c>
      <c r="B23" t="s">
        <v>19</v>
      </c>
      <c r="C23" t="str">
        <f>"刘伶俐"</f>
        <v>刘伶俐</v>
      </c>
      <c r="D23" t="str">
        <f>"女"</f>
        <v>女</v>
      </c>
    </row>
    <row r="24" spans="1:4" ht="24" customHeight="1">
      <c r="A24" t="str">
        <f>"10512020072608555828877"</f>
        <v>10512020072608555828877</v>
      </c>
      <c r="B24" t="s">
        <v>11</v>
      </c>
      <c r="C24" t="str">
        <f>"黄文"</f>
        <v>黄文</v>
      </c>
      <c r="D24" t="str">
        <f>"男"</f>
        <v>男</v>
      </c>
    </row>
    <row r="25" spans="1:4" ht="24" customHeight="1">
      <c r="A25" t="str">
        <f>"10512020072608561028878"</f>
        <v>10512020072608561028878</v>
      </c>
      <c r="B25" t="s">
        <v>8</v>
      </c>
      <c r="C25" t="str">
        <f>"张元"</f>
        <v>张元</v>
      </c>
      <c r="D25" t="str">
        <f>"男"</f>
        <v>男</v>
      </c>
    </row>
    <row r="26" spans="1:4" ht="24" customHeight="1">
      <c r="A26" t="str">
        <f>"10512020072608570428879"</f>
        <v>10512020072608570428879</v>
      </c>
      <c r="B26" t="s">
        <v>12</v>
      </c>
      <c r="C26" t="str">
        <f>"封雪萍"</f>
        <v>封雪萍</v>
      </c>
      <c r="D26" t="str">
        <f>"女"</f>
        <v>女</v>
      </c>
    </row>
    <row r="27" spans="1:4" ht="24" customHeight="1">
      <c r="A27" t="str">
        <f>"10512020072608570828880"</f>
        <v>10512020072608570828880</v>
      </c>
      <c r="B27" t="s">
        <v>20</v>
      </c>
      <c r="C27" t="str">
        <f>"熊靖安"</f>
        <v>熊靖安</v>
      </c>
      <c r="D27" t="str">
        <f>"男"</f>
        <v>男</v>
      </c>
    </row>
    <row r="28" spans="1:4" ht="24" customHeight="1">
      <c r="A28" t="str">
        <f>"10512020072608572328881"</f>
        <v>10512020072608572328881</v>
      </c>
      <c r="B28" t="s">
        <v>15</v>
      </c>
      <c r="C28" t="str">
        <f>"赵源民"</f>
        <v>赵源民</v>
      </c>
      <c r="D28" t="str">
        <f>"男"</f>
        <v>男</v>
      </c>
    </row>
    <row r="29" spans="1:4" ht="24" customHeight="1">
      <c r="A29" t="str">
        <f>"10512020072608584128882"</f>
        <v>10512020072608584128882</v>
      </c>
      <c r="B29" t="s">
        <v>21</v>
      </c>
      <c r="C29" t="str">
        <f>"刘正茂"</f>
        <v>刘正茂</v>
      </c>
      <c r="D29" t="str">
        <f>"男"</f>
        <v>男</v>
      </c>
    </row>
    <row r="30" spans="1:4" ht="24" customHeight="1">
      <c r="A30" t="str">
        <f>"10512020072608592928883"</f>
        <v>10512020072608592928883</v>
      </c>
      <c r="B30" t="s">
        <v>22</v>
      </c>
      <c r="C30" t="str">
        <f>"郑明祺"</f>
        <v>郑明祺</v>
      </c>
      <c r="D30" t="str">
        <f>"男"</f>
        <v>男</v>
      </c>
    </row>
    <row r="31" spans="1:4" ht="24" customHeight="1">
      <c r="A31" t="str">
        <f>"10512020072609021628884"</f>
        <v>10512020072609021628884</v>
      </c>
      <c r="B31" t="s">
        <v>16</v>
      </c>
      <c r="C31" t="str">
        <f>"万庆庆"</f>
        <v>万庆庆</v>
      </c>
      <c r="D31" t="str">
        <f>"女"</f>
        <v>女</v>
      </c>
    </row>
    <row r="32" spans="1:4" ht="24" customHeight="1">
      <c r="A32" t="str">
        <f>"10512020072609064128885"</f>
        <v>10512020072609064128885</v>
      </c>
      <c r="B32" t="s">
        <v>5</v>
      </c>
      <c r="C32" t="str">
        <f>"左书豪"</f>
        <v>左书豪</v>
      </c>
      <c r="D32" t="str">
        <f>"男"</f>
        <v>男</v>
      </c>
    </row>
    <row r="33" spans="1:4" ht="24" customHeight="1">
      <c r="A33" t="str">
        <f>"10512020072609094828887"</f>
        <v>10512020072609094828887</v>
      </c>
      <c r="B33" t="s">
        <v>5</v>
      </c>
      <c r="C33" t="str">
        <f>"左鸣"</f>
        <v>左鸣</v>
      </c>
      <c r="D33" t="str">
        <f>"男"</f>
        <v>男</v>
      </c>
    </row>
    <row r="34" spans="1:4" ht="24" customHeight="1">
      <c r="A34" t="str">
        <f>"10512020072609095128888"</f>
        <v>10512020072609095128888</v>
      </c>
      <c r="B34" t="s">
        <v>23</v>
      </c>
      <c r="C34" t="str">
        <f>"黄雅琳"</f>
        <v>黄雅琳</v>
      </c>
      <c r="D34" t="str">
        <f>"女"</f>
        <v>女</v>
      </c>
    </row>
    <row r="35" spans="1:4" ht="24" customHeight="1">
      <c r="A35" t="str">
        <f>"10512020072609095428889"</f>
        <v>10512020072609095428889</v>
      </c>
      <c r="B35" t="s">
        <v>7</v>
      </c>
      <c r="C35" t="str">
        <f>"杨泽浩"</f>
        <v>杨泽浩</v>
      </c>
      <c r="D35" t="str">
        <f>"男"</f>
        <v>男</v>
      </c>
    </row>
    <row r="36" spans="1:4" ht="24" customHeight="1">
      <c r="A36" t="str">
        <f>"10512020072609104528890"</f>
        <v>10512020072609104528890</v>
      </c>
      <c r="B36" t="s">
        <v>16</v>
      </c>
      <c r="C36" t="str">
        <f>"于蓉"</f>
        <v>于蓉</v>
      </c>
      <c r="D36" t="str">
        <f>"女"</f>
        <v>女</v>
      </c>
    </row>
    <row r="37" spans="1:4" ht="24" customHeight="1">
      <c r="A37" t="str">
        <f>"10512020072609111328891"</f>
        <v>10512020072609111328891</v>
      </c>
      <c r="B37" t="s">
        <v>7</v>
      </c>
      <c r="C37" t="str">
        <f>"夏若灵"</f>
        <v>夏若灵</v>
      </c>
      <c r="D37" t="str">
        <f>"女"</f>
        <v>女</v>
      </c>
    </row>
    <row r="38" spans="1:4" ht="24" customHeight="1">
      <c r="A38" t="str">
        <f>"10512020072609114428892"</f>
        <v>10512020072609114428892</v>
      </c>
      <c r="B38" t="s">
        <v>24</v>
      </c>
      <c r="C38" t="str">
        <f>"林鹏程"</f>
        <v>林鹏程</v>
      </c>
      <c r="D38" t="str">
        <f>"男"</f>
        <v>男</v>
      </c>
    </row>
    <row r="39" spans="1:4" ht="24" customHeight="1">
      <c r="A39" t="str">
        <f>"10512020072609121628893"</f>
        <v>10512020072609121628893</v>
      </c>
      <c r="B39" t="s">
        <v>7</v>
      </c>
      <c r="C39" t="str">
        <f>"邬益瑾"</f>
        <v>邬益瑾</v>
      </c>
      <c r="D39" t="str">
        <f>"女"</f>
        <v>女</v>
      </c>
    </row>
    <row r="40" spans="1:4" ht="24" customHeight="1">
      <c r="A40" t="str">
        <f>"10512020072609123328894"</f>
        <v>10512020072609123328894</v>
      </c>
      <c r="B40" t="s">
        <v>13</v>
      </c>
      <c r="C40" t="str">
        <f>"汪子翔"</f>
        <v>汪子翔</v>
      </c>
      <c r="D40" t="str">
        <f>"男"</f>
        <v>男</v>
      </c>
    </row>
    <row r="41" spans="1:4" ht="24" customHeight="1">
      <c r="A41" t="str">
        <f>"10512020072609125328895"</f>
        <v>10512020072609125328895</v>
      </c>
      <c r="B41" t="s">
        <v>21</v>
      </c>
      <c r="C41" t="str">
        <f>"尹子荷"</f>
        <v>尹子荷</v>
      </c>
      <c r="D41" t="str">
        <f>"女"</f>
        <v>女</v>
      </c>
    </row>
    <row r="42" spans="1:4" ht="24" customHeight="1">
      <c r="A42" t="str">
        <f>"10512020072609130028896"</f>
        <v>10512020072609130028896</v>
      </c>
      <c r="B42" t="s">
        <v>14</v>
      </c>
      <c r="C42" t="str">
        <f>"全慧"</f>
        <v>全慧</v>
      </c>
      <c r="D42" t="str">
        <f>"女"</f>
        <v>女</v>
      </c>
    </row>
    <row r="43" spans="1:4" ht="24" customHeight="1">
      <c r="A43" t="str">
        <f>"10512020072609130428897"</f>
        <v>10512020072609130428897</v>
      </c>
      <c r="B43" t="s">
        <v>16</v>
      </c>
      <c r="C43" t="str">
        <f>"韩倩婷"</f>
        <v>韩倩婷</v>
      </c>
      <c r="D43" t="str">
        <f>"女"</f>
        <v>女</v>
      </c>
    </row>
    <row r="44" spans="1:4" ht="24" customHeight="1">
      <c r="A44" t="str">
        <f>"10512020072609131928898"</f>
        <v>10512020072609131928898</v>
      </c>
      <c r="B44" t="s">
        <v>8</v>
      </c>
      <c r="C44" t="str">
        <f>"杨谨源"</f>
        <v>杨谨源</v>
      </c>
      <c r="D44" t="str">
        <f>"男"</f>
        <v>男</v>
      </c>
    </row>
    <row r="45" spans="1:4" ht="24" customHeight="1">
      <c r="A45" t="str">
        <f>"10512020072609133528899"</f>
        <v>10512020072609133528899</v>
      </c>
      <c r="B45" t="s">
        <v>18</v>
      </c>
      <c r="C45" t="str">
        <f>"黄倩雯"</f>
        <v>黄倩雯</v>
      </c>
      <c r="D45" t="str">
        <f>"女"</f>
        <v>女</v>
      </c>
    </row>
    <row r="46" spans="1:4" ht="24" customHeight="1">
      <c r="A46" t="str">
        <f>"10512020072609143228900"</f>
        <v>10512020072609143228900</v>
      </c>
      <c r="B46" t="s">
        <v>12</v>
      </c>
      <c r="C46" t="str">
        <f>"蔡毅明"</f>
        <v>蔡毅明</v>
      </c>
      <c r="D46" t="str">
        <f>"男"</f>
        <v>男</v>
      </c>
    </row>
    <row r="47" spans="1:4" ht="24" customHeight="1">
      <c r="A47" t="str">
        <f>"10512020072609151628901"</f>
        <v>10512020072609151628901</v>
      </c>
      <c r="B47" t="s">
        <v>10</v>
      </c>
      <c r="C47" t="str">
        <f>"毛先觉"</f>
        <v>毛先觉</v>
      </c>
      <c r="D47" t="str">
        <f>"男"</f>
        <v>男</v>
      </c>
    </row>
    <row r="48" spans="1:4" ht="24" customHeight="1">
      <c r="A48" t="str">
        <f>"10512020072609155728902"</f>
        <v>10512020072609155728902</v>
      </c>
      <c r="B48" t="s">
        <v>25</v>
      </c>
      <c r="C48" t="str">
        <f>"赵兰"</f>
        <v>赵兰</v>
      </c>
      <c r="D48" t="str">
        <f>"女"</f>
        <v>女</v>
      </c>
    </row>
    <row r="49" spans="1:4" ht="24" customHeight="1">
      <c r="A49" t="str">
        <f>"10512020072609163228903"</f>
        <v>10512020072609163228903</v>
      </c>
      <c r="B49" t="s">
        <v>26</v>
      </c>
      <c r="C49" t="str">
        <f>"杨馥年"</f>
        <v>杨馥年</v>
      </c>
      <c r="D49" t="str">
        <f>"女"</f>
        <v>女</v>
      </c>
    </row>
    <row r="50" spans="1:4" ht="24" customHeight="1">
      <c r="A50" t="str">
        <f>"10512020072609164728904"</f>
        <v>10512020072609164728904</v>
      </c>
      <c r="B50" t="s">
        <v>26</v>
      </c>
      <c r="C50" t="str">
        <f>"马华"</f>
        <v>马华</v>
      </c>
      <c r="D50" t="str">
        <f>"女"</f>
        <v>女</v>
      </c>
    </row>
    <row r="51" spans="1:4" ht="24" customHeight="1">
      <c r="A51" t="str">
        <f>"10512020072609165128905"</f>
        <v>10512020072609165128905</v>
      </c>
      <c r="B51" t="s">
        <v>5</v>
      </c>
      <c r="C51" t="str">
        <f>"任晓霞"</f>
        <v>任晓霞</v>
      </c>
      <c r="D51" t="str">
        <f>"女"</f>
        <v>女</v>
      </c>
    </row>
    <row r="52" spans="1:4" ht="24" customHeight="1">
      <c r="A52" t="str">
        <f>"10512020072609182628906"</f>
        <v>10512020072609182628906</v>
      </c>
      <c r="B52" t="s">
        <v>27</v>
      </c>
      <c r="C52" t="str">
        <f>"刘琰"</f>
        <v>刘琰</v>
      </c>
      <c r="D52" t="str">
        <f>"男"</f>
        <v>男</v>
      </c>
    </row>
    <row r="53" spans="1:4" ht="24" customHeight="1">
      <c r="A53" t="str">
        <f>"10512020072609190028907"</f>
        <v>10512020072609190028907</v>
      </c>
      <c r="B53" t="s">
        <v>9</v>
      </c>
      <c r="C53" t="str">
        <f>"汤蕊"</f>
        <v>汤蕊</v>
      </c>
      <c r="D53" t="str">
        <f>"女"</f>
        <v>女</v>
      </c>
    </row>
    <row r="54" spans="1:4" ht="24" customHeight="1">
      <c r="A54" t="str">
        <f>"10512020072609191628908"</f>
        <v>10512020072609191628908</v>
      </c>
      <c r="B54" t="s">
        <v>12</v>
      </c>
      <c r="C54" t="str">
        <f>"刘芳"</f>
        <v>刘芳</v>
      </c>
      <c r="D54" t="str">
        <f>"女"</f>
        <v>女</v>
      </c>
    </row>
    <row r="55" spans="1:4" ht="24" customHeight="1">
      <c r="A55" t="str">
        <f>"10512020072609192628909"</f>
        <v>10512020072609192628909</v>
      </c>
      <c r="B55" t="s">
        <v>28</v>
      </c>
      <c r="C55" t="str">
        <f>"高颖"</f>
        <v>高颖</v>
      </c>
      <c r="D55" t="str">
        <f>"女"</f>
        <v>女</v>
      </c>
    </row>
    <row r="56" spans="1:4" ht="24" customHeight="1">
      <c r="A56" t="str">
        <f>"10512020072609200228910"</f>
        <v>10512020072609200228910</v>
      </c>
      <c r="B56" t="s">
        <v>20</v>
      </c>
      <c r="C56" t="str">
        <f>"彭瑞祥"</f>
        <v>彭瑞祥</v>
      </c>
      <c r="D56" t="str">
        <f>"男"</f>
        <v>男</v>
      </c>
    </row>
    <row r="57" spans="1:4" ht="24" customHeight="1">
      <c r="A57" t="str">
        <f>"10512020072609204328912"</f>
        <v>10512020072609204328912</v>
      </c>
      <c r="B57" t="s">
        <v>16</v>
      </c>
      <c r="C57" t="str">
        <f>"周碧文"</f>
        <v>周碧文</v>
      </c>
      <c r="D57" t="str">
        <f>"男"</f>
        <v>男</v>
      </c>
    </row>
    <row r="58" spans="1:4" ht="24" customHeight="1">
      <c r="A58" t="str">
        <f>"10512020072609230228913"</f>
        <v>10512020072609230228913</v>
      </c>
      <c r="B58" t="s">
        <v>6</v>
      </c>
      <c r="C58" t="str">
        <f>"贺珊珊"</f>
        <v>贺珊珊</v>
      </c>
      <c r="D58" t="str">
        <f>"女"</f>
        <v>女</v>
      </c>
    </row>
    <row r="59" spans="1:4" ht="24" customHeight="1">
      <c r="A59" t="str">
        <f>"10512020072609233428914"</f>
        <v>10512020072609233428914</v>
      </c>
      <c r="B59" t="s">
        <v>28</v>
      </c>
      <c r="C59" t="str">
        <f>"刘俊伶"</f>
        <v>刘俊伶</v>
      </c>
      <c r="D59" t="str">
        <f>"女"</f>
        <v>女</v>
      </c>
    </row>
    <row r="60" spans="1:4" ht="24" customHeight="1">
      <c r="A60" t="str">
        <f>"10512020072609234128915"</f>
        <v>10512020072609234128915</v>
      </c>
      <c r="B60" t="s">
        <v>29</v>
      </c>
      <c r="C60" t="str">
        <f>"李晔"</f>
        <v>李晔</v>
      </c>
      <c r="D60" t="str">
        <f>"男"</f>
        <v>男</v>
      </c>
    </row>
    <row r="61" spans="1:4" ht="24" customHeight="1">
      <c r="A61" t="str">
        <f>"10512020072609243128916"</f>
        <v>10512020072609243128916</v>
      </c>
      <c r="B61" t="s">
        <v>30</v>
      </c>
      <c r="C61" t="str">
        <f>"黄涛"</f>
        <v>黄涛</v>
      </c>
      <c r="D61" t="str">
        <f>"男"</f>
        <v>男</v>
      </c>
    </row>
    <row r="62" spans="1:4" ht="24" customHeight="1">
      <c r="A62" t="str">
        <f>"10512020072609252728918"</f>
        <v>10512020072609252728918</v>
      </c>
      <c r="B62" t="s">
        <v>6</v>
      </c>
      <c r="C62" t="str">
        <f>"陈思强"</f>
        <v>陈思强</v>
      </c>
      <c r="D62" t="str">
        <f>"男"</f>
        <v>男</v>
      </c>
    </row>
    <row r="63" spans="1:4" ht="24" customHeight="1">
      <c r="A63" t="str">
        <f>"10512020072609260128919"</f>
        <v>10512020072609260128919</v>
      </c>
      <c r="B63" t="s">
        <v>30</v>
      </c>
      <c r="C63" t="str">
        <f>"何硕勋"</f>
        <v>何硕勋</v>
      </c>
      <c r="D63" t="str">
        <f>"男"</f>
        <v>男</v>
      </c>
    </row>
    <row r="64" spans="1:4" ht="24" customHeight="1">
      <c r="A64" t="str">
        <f>"10512020072609271828920"</f>
        <v>10512020072609271828920</v>
      </c>
      <c r="B64" t="s">
        <v>10</v>
      </c>
      <c r="C64" t="str">
        <f>"胡雨茜"</f>
        <v>胡雨茜</v>
      </c>
      <c r="D64" t="str">
        <f>"女"</f>
        <v>女</v>
      </c>
    </row>
    <row r="65" spans="1:4" ht="24" customHeight="1">
      <c r="A65" t="str">
        <f>"10512020072609273928921"</f>
        <v>10512020072609273928921</v>
      </c>
      <c r="B65" t="s">
        <v>5</v>
      </c>
      <c r="C65" t="str">
        <f>"朱格冲"</f>
        <v>朱格冲</v>
      </c>
      <c r="D65" t="str">
        <f>"男"</f>
        <v>男</v>
      </c>
    </row>
    <row r="66" spans="1:4" ht="24" customHeight="1">
      <c r="A66" t="str">
        <f>"10512020072609292928922"</f>
        <v>10512020072609292928922</v>
      </c>
      <c r="B66" t="s">
        <v>31</v>
      </c>
      <c r="C66" t="str">
        <f>"杨欣"</f>
        <v>杨欣</v>
      </c>
      <c r="D66" t="str">
        <f>"女"</f>
        <v>女</v>
      </c>
    </row>
    <row r="67" spans="1:4" ht="24" customHeight="1">
      <c r="A67" t="str">
        <f>"10512020072609311128923"</f>
        <v>10512020072609311128923</v>
      </c>
      <c r="B67" t="s">
        <v>23</v>
      </c>
      <c r="C67" t="str">
        <f>"白宇彬"</f>
        <v>白宇彬</v>
      </c>
      <c r="D67" t="str">
        <f>"男"</f>
        <v>男</v>
      </c>
    </row>
    <row r="68" spans="1:4" ht="24" customHeight="1">
      <c r="A68" t="str">
        <f>"10512020072609313528924"</f>
        <v>10512020072609313528924</v>
      </c>
      <c r="B68" t="s">
        <v>5</v>
      </c>
      <c r="C68" t="str">
        <f>"罗凤娇"</f>
        <v>罗凤娇</v>
      </c>
      <c r="D68" t="str">
        <f>"女"</f>
        <v>女</v>
      </c>
    </row>
    <row r="69" spans="1:4" ht="24" customHeight="1">
      <c r="A69" t="str">
        <f>"10512020072609323528925"</f>
        <v>10512020072609323528925</v>
      </c>
      <c r="B69" t="s">
        <v>32</v>
      </c>
      <c r="C69" t="str">
        <f>"何娇"</f>
        <v>何娇</v>
      </c>
      <c r="D69" t="str">
        <f>"女"</f>
        <v>女</v>
      </c>
    </row>
    <row r="70" spans="1:4" ht="24" customHeight="1">
      <c r="A70" t="str">
        <f>"10512020072609331628926"</f>
        <v>10512020072609331628926</v>
      </c>
      <c r="B70" t="s">
        <v>6</v>
      </c>
      <c r="C70" t="str">
        <f>"卜绮俊"</f>
        <v>卜绮俊</v>
      </c>
      <c r="D70" t="str">
        <f>"男"</f>
        <v>男</v>
      </c>
    </row>
    <row r="71" spans="1:4" ht="24" customHeight="1">
      <c r="A71" t="str">
        <f>"10512020072609333628927"</f>
        <v>10512020072609333628927</v>
      </c>
      <c r="B71" t="s">
        <v>25</v>
      </c>
      <c r="C71" t="str">
        <f>"刘彦君"</f>
        <v>刘彦君</v>
      </c>
      <c r="D71" t="str">
        <f>"女"</f>
        <v>女</v>
      </c>
    </row>
    <row r="72" spans="1:4" ht="24" customHeight="1">
      <c r="A72" t="str">
        <f>"10512020072609341028928"</f>
        <v>10512020072609341028928</v>
      </c>
      <c r="B72" t="s">
        <v>18</v>
      </c>
      <c r="C72" t="str">
        <f>"赵明川"</f>
        <v>赵明川</v>
      </c>
      <c r="D72" t="str">
        <f>"男"</f>
        <v>男</v>
      </c>
    </row>
    <row r="73" spans="1:4" ht="24" customHeight="1">
      <c r="A73" t="str">
        <f>"10512020072609342228929"</f>
        <v>10512020072609342228929</v>
      </c>
      <c r="B73" t="s">
        <v>32</v>
      </c>
      <c r="C73" t="str">
        <f>"叶伟伟"</f>
        <v>叶伟伟</v>
      </c>
      <c r="D73" t="str">
        <f>"男"</f>
        <v>男</v>
      </c>
    </row>
    <row r="74" spans="1:4" ht="24" customHeight="1">
      <c r="A74" t="str">
        <f>"10512020072609342228930"</f>
        <v>10512020072609342228930</v>
      </c>
      <c r="B74" t="s">
        <v>18</v>
      </c>
      <c r="C74" t="str">
        <f>"田贝贝"</f>
        <v>田贝贝</v>
      </c>
      <c r="D74" t="str">
        <f>"女"</f>
        <v>女</v>
      </c>
    </row>
    <row r="75" spans="1:4" ht="24" customHeight="1">
      <c r="A75" t="str">
        <f>"10512020072609355328931"</f>
        <v>10512020072609355328931</v>
      </c>
      <c r="B75" t="s">
        <v>16</v>
      </c>
      <c r="C75" t="str">
        <f>"黄一娟"</f>
        <v>黄一娟</v>
      </c>
      <c r="D75" t="str">
        <f>"女"</f>
        <v>女</v>
      </c>
    </row>
    <row r="76" spans="1:4" ht="24" customHeight="1">
      <c r="A76" t="str">
        <f>"10512020072609355328932"</f>
        <v>10512020072609355328932</v>
      </c>
      <c r="B76" t="s">
        <v>13</v>
      </c>
      <c r="C76" t="str">
        <f>"薛棣化"</f>
        <v>薛棣化</v>
      </c>
      <c r="D76" t="str">
        <f>"女"</f>
        <v>女</v>
      </c>
    </row>
    <row r="77" spans="1:4" ht="24" customHeight="1">
      <c r="A77" t="str">
        <f>"10512020072609364928933"</f>
        <v>10512020072609364928933</v>
      </c>
      <c r="B77" t="s">
        <v>6</v>
      </c>
      <c r="C77" t="str">
        <f>"梁静萍"</f>
        <v>梁静萍</v>
      </c>
      <c r="D77" t="str">
        <f>"女"</f>
        <v>女</v>
      </c>
    </row>
    <row r="78" spans="1:4" ht="24" customHeight="1">
      <c r="A78" t="str">
        <f>"10512020072609371528934"</f>
        <v>10512020072609371528934</v>
      </c>
      <c r="B78" t="s">
        <v>5</v>
      </c>
      <c r="C78" t="str">
        <f>"廖婉辰"</f>
        <v>廖婉辰</v>
      </c>
      <c r="D78" t="str">
        <f>"女"</f>
        <v>女</v>
      </c>
    </row>
    <row r="79" spans="1:4" ht="24" customHeight="1">
      <c r="A79" t="str">
        <f>"10512020072609373828935"</f>
        <v>10512020072609373828935</v>
      </c>
      <c r="B79" t="s">
        <v>33</v>
      </c>
      <c r="C79" t="str">
        <f>"陶洋"</f>
        <v>陶洋</v>
      </c>
      <c r="D79" t="str">
        <f>"男"</f>
        <v>男</v>
      </c>
    </row>
    <row r="80" spans="1:4" ht="24" customHeight="1">
      <c r="A80" t="str">
        <f>"10512020072609384228937"</f>
        <v>10512020072609384228937</v>
      </c>
      <c r="B80" t="s">
        <v>6</v>
      </c>
      <c r="C80" t="str">
        <f>"王志"</f>
        <v>王志</v>
      </c>
      <c r="D80" t="str">
        <f>"男"</f>
        <v>男</v>
      </c>
    </row>
    <row r="81" spans="1:4" ht="24" customHeight="1">
      <c r="A81" t="str">
        <f>"10512020072609384528938"</f>
        <v>10512020072609384528938</v>
      </c>
      <c r="B81" t="s">
        <v>13</v>
      </c>
      <c r="C81" t="str">
        <f>"杨亚龙"</f>
        <v>杨亚龙</v>
      </c>
      <c r="D81" t="str">
        <f>"男"</f>
        <v>男</v>
      </c>
    </row>
    <row r="82" spans="1:4" ht="24" customHeight="1">
      <c r="A82" t="str">
        <f>"10512020072609394228939"</f>
        <v>10512020072609394228939</v>
      </c>
      <c r="B82" t="s">
        <v>5</v>
      </c>
      <c r="C82" t="str">
        <f>"朱梓文"</f>
        <v>朱梓文</v>
      </c>
      <c r="D82" t="str">
        <f>"男"</f>
        <v>男</v>
      </c>
    </row>
    <row r="83" spans="1:4" ht="24" customHeight="1">
      <c r="A83" t="str">
        <f>"10512020072609410128940"</f>
        <v>10512020072609410128940</v>
      </c>
      <c r="B83" t="s">
        <v>6</v>
      </c>
      <c r="C83" t="str">
        <f>"陈曦"</f>
        <v>陈曦</v>
      </c>
      <c r="D83" t="str">
        <f>"女"</f>
        <v>女</v>
      </c>
    </row>
    <row r="84" spans="1:4" ht="24" customHeight="1">
      <c r="A84" t="str">
        <f>"10512020072609422728941"</f>
        <v>10512020072609422728941</v>
      </c>
      <c r="B84" t="s">
        <v>5</v>
      </c>
      <c r="C84" t="str">
        <f>"任洁"</f>
        <v>任洁</v>
      </c>
      <c r="D84" t="str">
        <f>"女"</f>
        <v>女</v>
      </c>
    </row>
    <row r="85" spans="1:4" ht="24" customHeight="1">
      <c r="A85" t="str">
        <f>"10512020072609430428942"</f>
        <v>10512020072609430428942</v>
      </c>
      <c r="B85" t="s">
        <v>33</v>
      </c>
      <c r="C85" t="str">
        <f>"杨宇驰"</f>
        <v>杨宇驰</v>
      </c>
      <c r="D85" t="str">
        <f>"男"</f>
        <v>男</v>
      </c>
    </row>
    <row r="86" spans="1:4" ht="24" customHeight="1">
      <c r="A86" t="str">
        <f>"10512020072609431428943"</f>
        <v>10512020072609431428943</v>
      </c>
      <c r="B86" t="s">
        <v>34</v>
      </c>
      <c r="C86" t="str">
        <f>"谢莎"</f>
        <v>谢莎</v>
      </c>
      <c r="D86" t="str">
        <f>"女"</f>
        <v>女</v>
      </c>
    </row>
    <row r="87" spans="1:4" ht="24" customHeight="1">
      <c r="A87" t="str">
        <f>"10512020072609444428944"</f>
        <v>10512020072609444428944</v>
      </c>
      <c r="B87" t="s">
        <v>10</v>
      </c>
      <c r="C87" t="str">
        <f>"李文彬"</f>
        <v>李文彬</v>
      </c>
      <c r="D87" t="str">
        <f>"男"</f>
        <v>男</v>
      </c>
    </row>
    <row r="88" spans="1:4" ht="24" customHeight="1">
      <c r="A88" t="str">
        <f>"10512020072609452628945"</f>
        <v>10512020072609452628945</v>
      </c>
      <c r="B88" t="s">
        <v>13</v>
      </c>
      <c r="C88" t="str">
        <f>"贺星毓"</f>
        <v>贺星毓</v>
      </c>
      <c r="D88" t="str">
        <f>"男"</f>
        <v>男</v>
      </c>
    </row>
    <row r="89" spans="1:4" ht="24" customHeight="1">
      <c r="A89" t="str">
        <f>"10512020072609455628946"</f>
        <v>10512020072609455628946</v>
      </c>
      <c r="B89" t="s">
        <v>5</v>
      </c>
      <c r="C89" t="str">
        <f>"罗煌"</f>
        <v>罗煌</v>
      </c>
      <c r="D89" t="str">
        <f>"男"</f>
        <v>男</v>
      </c>
    </row>
    <row r="90" spans="1:4" ht="24" customHeight="1">
      <c r="A90" t="str">
        <f>"10512020072609460128947"</f>
        <v>10512020072609460128947</v>
      </c>
      <c r="B90" t="s">
        <v>28</v>
      </c>
      <c r="C90" t="str">
        <f>"邹昊格"</f>
        <v>邹昊格</v>
      </c>
      <c r="D90" t="str">
        <f>"男"</f>
        <v>男</v>
      </c>
    </row>
    <row r="91" spans="1:4" ht="24" customHeight="1">
      <c r="A91" t="str">
        <f>"10512020072609463428948"</f>
        <v>10512020072609463428948</v>
      </c>
      <c r="B91" t="s">
        <v>11</v>
      </c>
      <c r="C91" t="str">
        <f>"郑衡"</f>
        <v>郑衡</v>
      </c>
      <c r="D91" t="str">
        <f>"男"</f>
        <v>男</v>
      </c>
    </row>
    <row r="92" spans="1:4" ht="24" customHeight="1">
      <c r="A92" t="str">
        <f>"10512020072609465828949"</f>
        <v>10512020072609465828949</v>
      </c>
      <c r="B92" t="s">
        <v>28</v>
      </c>
      <c r="C92" t="str">
        <f>"唐楚楚"</f>
        <v>唐楚楚</v>
      </c>
      <c r="D92" t="str">
        <f>"女"</f>
        <v>女</v>
      </c>
    </row>
    <row r="93" spans="1:4" ht="24" customHeight="1">
      <c r="A93" t="str">
        <f>"10512020072609484728950"</f>
        <v>10512020072609484728950</v>
      </c>
      <c r="B93" t="s">
        <v>35</v>
      </c>
      <c r="C93" t="str">
        <f>"刘杨波"</f>
        <v>刘杨波</v>
      </c>
      <c r="D93" t="str">
        <f>"男"</f>
        <v>男</v>
      </c>
    </row>
    <row r="94" spans="1:4" ht="24" customHeight="1">
      <c r="A94" t="str">
        <f>"10512020072609501728951"</f>
        <v>10512020072609501728951</v>
      </c>
      <c r="B94" t="s">
        <v>36</v>
      </c>
      <c r="C94" t="str">
        <f>"黄磊"</f>
        <v>黄磊</v>
      </c>
      <c r="D94" t="str">
        <f>"男"</f>
        <v>男</v>
      </c>
    </row>
    <row r="95" spans="1:4" ht="24" customHeight="1">
      <c r="A95" t="str">
        <f>"10512020072609503528952"</f>
        <v>10512020072609503528952</v>
      </c>
      <c r="B95" t="s">
        <v>5</v>
      </c>
      <c r="C95" t="str">
        <f>"李汶霖"</f>
        <v>李汶霖</v>
      </c>
      <c r="D95" t="str">
        <f>"男"</f>
        <v>男</v>
      </c>
    </row>
    <row r="96" spans="1:4" ht="24" customHeight="1">
      <c r="A96" t="str">
        <f>"10512020072609505128953"</f>
        <v>10512020072609505128953</v>
      </c>
      <c r="B96" t="s">
        <v>26</v>
      </c>
      <c r="C96" t="str">
        <f>"李佳颖"</f>
        <v>李佳颖</v>
      </c>
      <c r="D96" t="str">
        <f>"女"</f>
        <v>女</v>
      </c>
    </row>
    <row r="97" spans="1:4" ht="24" customHeight="1">
      <c r="A97" t="str">
        <f>"10512020072609512428954"</f>
        <v>10512020072609512428954</v>
      </c>
      <c r="B97" t="s">
        <v>14</v>
      </c>
      <c r="C97" t="str">
        <f>"罗庆"</f>
        <v>罗庆</v>
      </c>
      <c r="D97" t="str">
        <f>"女"</f>
        <v>女</v>
      </c>
    </row>
    <row r="98" spans="1:4" ht="24" customHeight="1">
      <c r="A98" t="str">
        <f>"10512020072609520828955"</f>
        <v>10512020072609520828955</v>
      </c>
      <c r="B98" t="s">
        <v>32</v>
      </c>
      <c r="C98" t="str">
        <f>"鲁璟瑜"</f>
        <v>鲁璟瑜</v>
      </c>
      <c r="D98" t="str">
        <f>"女"</f>
        <v>女</v>
      </c>
    </row>
    <row r="99" spans="1:4" ht="24" customHeight="1">
      <c r="A99" t="str">
        <f>"10512020072609521428956"</f>
        <v>10512020072609521428956</v>
      </c>
      <c r="B99" t="s">
        <v>18</v>
      </c>
      <c r="C99" t="str">
        <f>"张汤杰"</f>
        <v>张汤杰</v>
      </c>
      <c r="D99" t="str">
        <f>"男"</f>
        <v>男</v>
      </c>
    </row>
    <row r="100" spans="1:4" ht="24" customHeight="1">
      <c r="A100" t="str">
        <f>"10512020072609522828957"</f>
        <v>10512020072609522828957</v>
      </c>
      <c r="B100" t="s">
        <v>4</v>
      </c>
      <c r="C100" t="str">
        <f>"汪希"</f>
        <v>汪希</v>
      </c>
      <c r="D100" t="str">
        <f>"男"</f>
        <v>男</v>
      </c>
    </row>
    <row r="101" spans="1:4" ht="24" customHeight="1">
      <c r="A101" t="str">
        <f>"10512020072609530128958"</f>
        <v>10512020072609530128958</v>
      </c>
      <c r="B101" t="s">
        <v>32</v>
      </c>
      <c r="C101" t="str">
        <f>"彭佳佳"</f>
        <v>彭佳佳</v>
      </c>
      <c r="D101" t="str">
        <f>"女"</f>
        <v>女</v>
      </c>
    </row>
    <row r="102" spans="1:4" ht="24" customHeight="1">
      <c r="A102" t="str">
        <f>"10512020072609530828959"</f>
        <v>10512020072609530828959</v>
      </c>
      <c r="B102" t="s">
        <v>11</v>
      </c>
      <c r="C102" t="str">
        <f>"林小慧"</f>
        <v>林小慧</v>
      </c>
      <c r="D102" t="str">
        <f>"女"</f>
        <v>女</v>
      </c>
    </row>
    <row r="103" spans="1:4" ht="24" customHeight="1">
      <c r="A103" t="str">
        <f>"10512020072609533628960"</f>
        <v>10512020072609533628960</v>
      </c>
      <c r="B103" t="s">
        <v>33</v>
      </c>
      <c r="C103" t="str">
        <f>"张科"</f>
        <v>张科</v>
      </c>
      <c r="D103" t="str">
        <f>"男"</f>
        <v>男</v>
      </c>
    </row>
    <row r="104" spans="1:4" ht="24" customHeight="1">
      <c r="A104" t="str">
        <f>"10512020072609543428961"</f>
        <v>10512020072609543428961</v>
      </c>
      <c r="B104" t="s">
        <v>5</v>
      </c>
      <c r="C104" t="str">
        <f>"李敏"</f>
        <v>李敏</v>
      </c>
      <c r="D104" t="str">
        <f>"男"</f>
        <v>男</v>
      </c>
    </row>
    <row r="105" spans="1:4" ht="24" customHeight="1">
      <c r="A105" t="str">
        <f>"10512020072609550428962"</f>
        <v>10512020072609550428962</v>
      </c>
      <c r="B105" t="s">
        <v>10</v>
      </c>
      <c r="C105" t="str">
        <f>"崔烜"</f>
        <v>崔烜</v>
      </c>
      <c r="D105" t="str">
        <f>"男"</f>
        <v>男</v>
      </c>
    </row>
    <row r="106" spans="1:4" ht="24" customHeight="1">
      <c r="A106" t="str">
        <f>"10512020072609555928963"</f>
        <v>10512020072609555928963</v>
      </c>
      <c r="B106" t="s">
        <v>15</v>
      </c>
      <c r="C106" t="str">
        <f>"李达"</f>
        <v>李达</v>
      </c>
      <c r="D106" t="str">
        <f>"男"</f>
        <v>男</v>
      </c>
    </row>
    <row r="107" spans="1:4" ht="24" customHeight="1">
      <c r="A107" t="str">
        <f>"10512020072609574028964"</f>
        <v>10512020072609574028964</v>
      </c>
      <c r="B107" t="s">
        <v>13</v>
      </c>
      <c r="C107" t="str">
        <f>"周繁"</f>
        <v>周繁</v>
      </c>
      <c r="D107" t="str">
        <f>"女"</f>
        <v>女</v>
      </c>
    </row>
    <row r="108" spans="1:4" ht="24" customHeight="1">
      <c r="A108" t="str">
        <f>"10512020072609574128965"</f>
        <v>10512020072609574128965</v>
      </c>
      <c r="B108" t="s">
        <v>31</v>
      </c>
      <c r="C108" t="str">
        <f>"唐浩颖"</f>
        <v>唐浩颖</v>
      </c>
      <c r="D108" t="str">
        <f>"男"</f>
        <v>男</v>
      </c>
    </row>
    <row r="109" spans="1:4" ht="24" customHeight="1">
      <c r="A109" t="str">
        <f>"10512020072609575228966"</f>
        <v>10512020072609575228966</v>
      </c>
      <c r="B109" t="s">
        <v>11</v>
      </c>
      <c r="C109" t="str">
        <f>"鲁瑜欣"</f>
        <v>鲁瑜欣</v>
      </c>
      <c r="D109" t="str">
        <f>"女"</f>
        <v>女</v>
      </c>
    </row>
    <row r="110" spans="1:4" ht="24" customHeight="1">
      <c r="A110" t="str">
        <f>"10512020072609575828967"</f>
        <v>10512020072609575828967</v>
      </c>
      <c r="B110" t="s">
        <v>5</v>
      </c>
      <c r="C110" t="str">
        <f>"李萌飞"</f>
        <v>李萌飞</v>
      </c>
      <c r="D110" t="str">
        <f>"男"</f>
        <v>男</v>
      </c>
    </row>
    <row r="111" spans="1:4" ht="24" customHeight="1">
      <c r="A111" t="str">
        <f>"10512020072609580828968"</f>
        <v>10512020072609580828968</v>
      </c>
      <c r="B111" t="s">
        <v>4</v>
      </c>
      <c r="C111" t="str">
        <f>"杨通铠"</f>
        <v>杨通铠</v>
      </c>
      <c r="D111" t="str">
        <f>"男"</f>
        <v>男</v>
      </c>
    </row>
    <row r="112" spans="1:4" ht="24" customHeight="1">
      <c r="A112" t="str">
        <f>"10512020072609595228969"</f>
        <v>10512020072609595228969</v>
      </c>
      <c r="B112" t="s">
        <v>37</v>
      </c>
      <c r="C112" t="str">
        <f>"胡紫怡"</f>
        <v>胡紫怡</v>
      </c>
      <c r="D112" t="str">
        <f>"女"</f>
        <v>女</v>
      </c>
    </row>
    <row r="113" spans="1:4" ht="24" customHeight="1">
      <c r="A113" t="str">
        <f>"10512020072609595428970"</f>
        <v>10512020072609595428970</v>
      </c>
      <c r="B113" t="s">
        <v>19</v>
      </c>
      <c r="C113" t="str">
        <f>"王磊"</f>
        <v>王磊</v>
      </c>
      <c r="D113" t="str">
        <f>"男"</f>
        <v>男</v>
      </c>
    </row>
    <row r="114" spans="1:4" ht="24" customHeight="1">
      <c r="A114" t="str">
        <f>"10512020072610005028971"</f>
        <v>10512020072610005028971</v>
      </c>
      <c r="B114" t="s">
        <v>38</v>
      </c>
      <c r="C114" t="str">
        <f>"李泓锐"</f>
        <v>李泓锐</v>
      </c>
      <c r="D114" t="str">
        <f>"女"</f>
        <v>女</v>
      </c>
    </row>
    <row r="115" spans="1:4" ht="24" customHeight="1">
      <c r="A115" t="str">
        <f>"10512020072610015528972"</f>
        <v>10512020072610015528972</v>
      </c>
      <c r="B115" t="s">
        <v>29</v>
      </c>
      <c r="C115" t="str">
        <f>"游璟"</f>
        <v>游璟</v>
      </c>
      <c r="D115" t="str">
        <f>"男"</f>
        <v>男</v>
      </c>
    </row>
    <row r="116" spans="1:4" ht="24" customHeight="1">
      <c r="A116" t="str">
        <f>"10512020072610040028973"</f>
        <v>10512020072610040028973</v>
      </c>
      <c r="B116" t="s">
        <v>38</v>
      </c>
      <c r="C116" t="str">
        <f>"石馨怡"</f>
        <v>石馨怡</v>
      </c>
      <c r="D116" t="str">
        <f>"女"</f>
        <v>女</v>
      </c>
    </row>
    <row r="117" spans="1:4" ht="24" customHeight="1">
      <c r="A117" t="str">
        <f>"10512020072610045028974"</f>
        <v>10512020072610045028974</v>
      </c>
      <c r="B117" t="s">
        <v>6</v>
      </c>
      <c r="C117" t="str">
        <f>"李欢"</f>
        <v>李欢</v>
      </c>
      <c r="D117" t="str">
        <f>"女"</f>
        <v>女</v>
      </c>
    </row>
    <row r="118" spans="1:4" ht="24" customHeight="1">
      <c r="A118" t="str">
        <f>"10512020072610053128975"</f>
        <v>10512020072610053128975</v>
      </c>
      <c r="B118" t="s">
        <v>5</v>
      </c>
      <c r="C118" t="str">
        <f>"吴利"</f>
        <v>吴利</v>
      </c>
      <c r="D118" t="str">
        <f>"女"</f>
        <v>女</v>
      </c>
    </row>
    <row r="119" spans="1:4" ht="24" customHeight="1">
      <c r="A119" t="str">
        <f>"10512020072610060028976"</f>
        <v>10512020072610060028976</v>
      </c>
      <c r="B119" t="s">
        <v>5</v>
      </c>
      <c r="C119" t="str">
        <f>"余知澄"</f>
        <v>余知澄</v>
      </c>
      <c r="D119" t="str">
        <f>"男"</f>
        <v>男</v>
      </c>
    </row>
    <row r="120" spans="1:4" ht="24" customHeight="1">
      <c r="A120" t="str">
        <f>"10512020072610074928978"</f>
        <v>10512020072610074928978</v>
      </c>
      <c r="B120" t="s">
        <v>9</v>
      </c>
      <c r="C120" t="str">
        <f>"彭焕清"</f>
        <v>彭焕清</v>
      </c>
      <c r="D120" t="str">
        <f>"女"</f>
        <v>女</v>
      </c>
    </row>
    <row r="121" spans="1:4" ht="24" customHeight="1">
      <c r="A121" t="str">
        <f>"10512020072610083228979"</f>
        <v>10512020072610083228979</v>
      </c>
      <c r="B121" t="s">
        <v>5</v>
      </c>
      <c r="C121" t="str">
        <f>"唐娟"</f>
        <v>唐娟</v>
      </c>
      <c r="D121" t="str">
        <f>"女"</f>
        <v>女</v>
      </c>
    </row>
    <row r="122" spans="1:4" ht="24" customHeight="1">
      <c r="A122" t="str">
        <f>"10512020072610094128980"</f>
        <v>10512020072610094128980</v>
      </c>
      <c r="B122" t="s">
        <v>12</v>
      </c>
      <c r="C122" t="str">
        <f>"王婉琦"</f>
        <v>王婉琦</v>
      </c>
      <c r="D122" t="str">
        <f>"女"</f>
        <v>女</v>
      </c>
    </row>
    <row r="123" spans="1:4" ht="24" customHeight="1">
      <c r="A123" t="str">
        <f>"10512020072610094528981"</f>
        <v>10512020072610094528981</v>
      </c>
      <c r="B123" t="s">
        <v>16</v>
      </c>
      <c r="C123" t="str">
        <f>"姜汶霖"</f>
        <v>姜汶霖</v>
      </c>
      <c r="D123" t="str">
        <f>"男"</f>
        <v>男</v>
      </c>
    </row>
    <row r="124" spans="1:4" ht="24" customHeight="1">
      <c r="A124" t="str">
        <f>"10512020072610100328982"</f>
        <v>10512020072610100328982</v>
      </c>
      <c r="B124" t="s">
        <v>8</v>
      </c>
      <c r="C124" t="str">
        <f>"余京宗"</f>
        <v>余京宗</v>
      </c>
      <c r="D124" t="str">
        <f>"男"</f>
        <v>男</v>
      </c>
    </row>
    <row r="125" spans="1:4" ht="24" customHeight="1">
      <c r="A125" t="str">
        <f>"10512020072610105728983"</f>
        <v>10512020072610105728983</v>
      </c>
      <c r="B125" t="s">
        <v>11</v>
      </c>
      <c r="C125" t="str">
        <f>"钱颖"</f>
        <v>钱颖</v>
      </c>
      <c r="D125" t="str">
        <f>"女"</f>
        <v>女</v>
      </c>
    </row>
    <row r="126" spans="1:4" ht="24" customHeight="1">
      <c r="A126" t="str">
        <f>"10512020072610113328984"</f>
        <v>10512020072610113328984</v>
      </c>
      <c r="B126" t="s">
        <v>21</v>
      </c>
      <c r="C126" t="str">
        <f>"唐旖琪"</f>
        <v>唐旖琪</v>
      </c>
      <c r="D126" t="str">
        <f>"女"</f>
        <v>女</v>
      </c>
    </row>
    <row r="127" spans="1:4" ht="24" customHeight="1">
      <c r="A127" t="str">
        <f>"10512020072610115928985"</f>
        <v>10512020072610115928985</v>
      </c>
      <c r="B127" t="s">
        <v>10</v>
      </c>
      <c r="C127" t="str">
        <f>"周飞龙"</f>
        <v>周飞龙</v>
      </c>
      <c r="D127" t="str">
        <f>"男"</f>
        <v>男</v>
      </c>
    </row>
    <row r="128" spans="1:4" ht="24" customHeight="1">
      <c r="A128" t="str">
        <f>"10512020072610120928986"</f>
        <v>10512020072610120928986</v>
      </c>
      <c r="B128" t="s">
        <v>21</v>
      </c>
      <c r="C128" t="str">
        <f>"周婵"</f>
        <v>周婵</v>
      </c>
      <c r="D128" t="str">
        <f>"女"</f>
        <v>女</v>
      </c>
    </row>
    <row r="129" spans="1:4" ht="24" customHeight="1">
      <c r="A129" t="str">
        <f>"10512020072610130828987"</f>
        <v>10512020072610130828987</v>
      </c>
      <c r="B129" t="s">
        <v>5</v>
      </c>
      <c r="C129" t="str">
        <f>"涂虎"</f>
        <v>涂虎</v>
      </c>
      <c r="D129" t="str">
        <f>"男"</f>
        <v>男</v>
      </c>
    </row>
    <row r="130" spans="1:4" ht="24" customHeight="1">
      <c r="A130" t="str">
        <f>"10512020072610132528988"</f>
        <v>10512020072610132528988</v>
      </c>
      <c r="B130" t="s">
        <v>16</v>
      </c>
      <c r="C130" t="str">
        <f>"龚盼"</f>
        <v>龚盼</v>
      </c>
      <c r="D130" t="str">
        <f t="shared" ref="D130:D142" si="0">"女"</f>
        <v>女</v>
      </c>
    </row>
    <row r="131" spans="1:4" ht="24" customHeight="1">
      <c r="A131" t="str">
        <f>"10512020072610150728989"</f>
        <v>10512020072610150728989</v>
      </c>
      <c r="B131" t="s">
        <v>26</v>
      </c>
      <c r="C131" t="str">
        <f>"李永湖"</f>
        <v>李永湖</v>
      </c>
      <c r="D131" t="str">
        <f t="shared" si="0"/>
        <v>女</v>
      </c>
    </row>
    <row r="132" spans="1:4" ht="24" customHeight="1">
      <c r="A132" t="str">
        <f>"10512020072610151728990"</f>
        <v>10512020072610151728990</v>
      </c>
      <c r="B132" t="s">
        <v>36</v>
      </c>
      <c r="C132" t="str">
        <f>"冯云"</f>
        <v>冯云</v>
      </c>
      <c r="D132" t="str">
        <f t="shared" si="0"/>
        <v>女</v>
      </c>
    </row>
    <row r="133" spans="1:4" ht="24" customHeight="1">
      <c r="A133" t="str">
        <f>"10512020072610162328991"</f>
        <v>10512020072610162328991</v>
      </c>
      <c r="B133" t="s">
        <v>5</v>
      </c>
      <c r="C133" t="str">
        <f>"梁丽蓉"</f>
        <v>梁丽蓉</v>
      </c>
      <c r="D133" t="str">
        <f t="shared" si="0"/>
        <v>女</v>
      </c>
    </row>
    <row r="134" spans="1:4" ht="24" customHeight="1">
      <c r="A134" t="str">
        <f>"10512020072610162428992"</f>
        <v>10512020072610162428992</v>
      </c>
      <c r="B134" t="s">
        <v>39</v>
      </c>
      <c r="C134" t="str">
        <f>"左雪羚"</f>
        <v>左雪羚</v>
      </c>
      <c r="D134" t="str">
        <f t="shared" si="0"/>
        <v>女</v>
      </c>
    </row>
    <row r="135" spans="1:4" ht="24" customHeight="1">
      <c r="A135" t="str">
        <f>"10512020072610171628993"</f>
        <v>10512020072610171628993</v>
      </c>
      <c r="B135" t="s">
        <v>27</v>
      </c>
      <c r="C135" t="str">
        <f>"王潘"</f>
        <v>王潘</v>
      </c>
      <c r="D135" t="str">
        <f t="shared" si="0"/>
        <v>女</v>
      </c>
    </row>
    <row r="136" spans="1:4" ht="24" customHeight="1">
      <c r="A136" t="str">
        <f>"10512020072610181028994"</f>
        <v>10512020072610181028994</v>
      </c>
      <c r="B136" t="s">
        <v>40</v>
      </c>
      <c r="C136" t="str">
        <f>"王惠"</f>
        <v>王惠</v>
      </c>
      <c r="D136" t="str">
        <f t="shared" si="0"/>
        <v>女</v>
      </c>
    </row>
    <row r="137" spans="1:4" ht="24" customHeight="1">
      <c r="A137" t="str">
        <f>"10512020072610182828995"</f>
        <v>10512020072610182828995</v>
      </c>
      <c r="B137" t="s">
        <v>40</v>
      </c>
      <c r="C137" t="str">
        <f>"李芷欣"</f>
        <v>李芷欣</v>
      </c>
      <c r="D137" t="str">
        <f t="shared" si="0"/>
        <v>女</v>
      </c>
    </row>
    <row r="138" spans="1:4" ht="24" customHeight="1">
      <c r="A138" t="str">
        <f>"10512020072610185128996"</f>
        <v>10512020072610185128996</v>
      </c>
      <c r="B138" t="s">
        <v>13</v>
      </c>
      <c r="C138" t="str">
        <f>"李群"</f>
        <v>李群</v>
      </c>
      <c r="D138" t="str">
        <f t="shared" si="0"/>
        <v>女</v>
      </c>
    </row>
    <row r="139" spans="1:4" ht="24" customHeight="1">
      <c r="A139" t="str">
        <f>"10512020072610185728997"</f>
        <v>10512020072610185728997</v>
      </c>
      <c r="B139" t="s">
        <v>41</v>
      </c>
      <c r="C139" t="str">
        <f>"李惠蓉"</f>
        <v>李惠蓉</v>
      </c>
      <c r="D139" t="str">
        <f t="shared" si="0"/>
        <v>女</v>
      </c>
    </row>
    <row r="140" spans="1:4" ht="24" customHeight="1">
      <c r="A140" t="str">
        <f>"10512020072610185828998"</f>
        <v>10512020072610185828998</v>
      </c>
      <c r="B140" t="s">
        <v>23</v>
      </c>
      <c r="C140" t="str">
        <f>"万紫烨"</f>
        <v>万紫烨</v>
      </c>
      <c r="D140" t="str">
        <f t="shared" si="0"/>
        <v>女</v>
      </c>
    </row>
    <row r="141" spans="1:4" ht="24" customHeight="1">
      <c r="A141" t="str">
        <f>"10512020072610185828999"</f>
        <v>10512020072610185828999</v>
      </c>
      <c r="B141" t="s">
        <v>13</v>
      </c>
      <c r="C141" t="str">
        <f>"康莱尔"</f>
        <v>康莱尔</v>
      </c>
      <c r="D141" t="str">
        <f t="shared" si="0"/>
        <v>女</v>
      </c>
    </row>
    <row r="142" spans="1:4" ht="24" customHeight="1">
      <c r="A142" t="str">
        <f>"10512020072610190129000"</f>
        <v>10512020072610190129000</v>
      </c>
      <c r="B142" t="s">
        <v>13</v>
      </c>
      <c r="C142" t="str">
        <f>"文雅俐"</f>
        <v>文雅俐</v>
      </c>
      <c r="D142" t="str">
        <f t="shared" si="0"/>
        <v>女</v>
      </c>
    </row>
    <row r="143" spans="1:4" ht="24" customHeight="1">
      <c r="A143" t="str">
        <f>"10512020072610194229001"</f>
        <v>10512020072610194229001</v>
      </c>
      <c r="B143" t="s">
        <v>15</v>
      </c>
      <c r="C143" t="str">
        <f>"卓庆"</f>
        <v>卓庆</v>
      </c>
      <c r="D143" t="str">
        <f>"男"</f>
        <v>男</v>
      </c>
    </row>
    <row r="144" spans="1:4" ht="24" customHeight="1">
      <c r="A144" t="str">
        <f>"10512020072610203229003"</f>
        <v>10512020072610203229003</v>
      </c>
      <c r="B144" t="s">
        <v>20</v>
      </c>
      <c r="C144" t="str">
        <f>"胡梦飞"</f>
        <v>胡梦飞</v>
      </c>
      <c r="D144" t="str">
        <f>"男"</f>
        <v>男</v>
      </c>
    </row>
    <row r="145" spans="1:4" ht="24" customHeight="1">
      <c r="A145" t="str">
        <f>"10512020072610211029004"</f>
        <v>10512020072610211029004</v>
      </c>
      <c r="B145" t="s">
        <v>27</v>
      </c>
      <c r="C145" t="str">
        <f>"谭敦涵"</f>
        <v>谭敦涵</v>
      </c>
      <c r="D145" t="str">
        <f>"男"</f>
        <v>男</v>
      </c>
    </row>
    <row r="146" spans="1:4" ht="24" customHeight="1">
      <c r="A146" t="str">
        <f>"10512020072610214729005"</f>
        <v>10512020072610214729005</v>
      </c>
      <c r="B146" t="s">
        <v>5</v>
      </c>
      <c r="C146" t="str">
        <f>"吴兵"</f>
        <v>吴兵</v>
      </c>
      <c r="D146" t="str">
        <f>"男"</f>
        <v>男</v>
      </c>
    </row>
    <row r="147" spans="1:4" ht="24" customHeight="1">
      <c r="A147" t="str">
        <f>"10512020072610230129006"</f>
        <v>10512020072610230129006</v>
      </c>
      <c r="B147" t="s">
        <v>25</v>
      </c>
      <c r="C147" t="str">
        <f>"李净蓉"</f>
        <v>李净蓉</v>
      </c>
      <c r="D147" t="str">
        <f>"女"</f>
        <v>女</v>
      </c>
    </row>
    <row r="148" spans="1:4" ht="24" customHeight="1">
      <c r="A148" t="str">
        <f>"10512020072610230729007"</f>
        <v>10512020072610230729007</v>
      </c>
      <c r="B148" t="s">
        <v>13</v>
      </c>
      <c r="C148" t="str">
        <f>"曾洪桃"</f>
        <v>曾洪桃</v>
      </c>
      <c r="D148" t="str">
        <f>"女"</f>
        <v>女</v>
      </c>
    </row>
    <row r="149" spans="1:4" ht="24" customHeight="1">
      <c r="A149" t="str">
        <f>"10512020072610230929008"</f>
        <v>10512020072610230929008</v>
      </c>
      <c r="B149" t="s">
        <v>18</v>
      </c>
      <c r="C149" t="str">
        <f>"高碧林"</f>
        <v>高碧林</v>
      </c>
      <c r="D149" t="str">
        <f>"男"</f>
        <v>男</v>
      </c>
    </row>
    <row r="150" spans="1:4" ht="24" customHeight="1">
      <c r="A150" t="str">
        <f>"10512020072610251329009"</f>
        <v>10512020072610251329009</v>
      </c>
      <c r="B150" t="s">
        <v>6</v>
      </c>
      <c r="C150" t="str">
        <f>"崔洪培"</f>
        <v>崔洪培</v>
      </c>
      <c r="D150" t="str">
        <f>"男"</f>
        <v>男</v>
      </c>
    </row>
    <row r="151" spans="1:4" ht="24" customHeight="1">
      <c r="A151" t="str">
        <f>"10512020072610253529010"</f>
        <v>10512020072610253529010</v>
      </c>
      <c r="B151" t="s">
        <v>16</v>
      </c>
      <c r="C151" t="str">
        <f>"罗睿"</f>
        <v>罗睿</v>
      </c>
      <c r="D151" t="str">
        <f>"男"</f>
        <v>男</v>
      </c>
    </row>
    <row r="152" spans="1:4" ht="24" customHeight="1">
      <c r="A152" t="str">
        <f>"10512020072610280329011"</f>
        <v>10512020072610280329011</v>
      </c>
      <c r="B152" t="s">
        <v>40</v>
      </c>
      <c r="C152" t="str">
        <f>"孔祥梦"</f>
        <v>孔祥梦</v>
      </c>
      <c r="D152" t="str">
        <f t="shared" ref="D152:D158" si="1">"女"</f>
        <v>女</v>
      </c>
    </row>
    <row r="153" spans="1:4" ht="24" customHeight="1">
      <c r="A153" t="str">
        <f>"10512020072610281129012"</f>
        <v>10512020072610281129012</v>
      </c>
      <c r="B153" t="s">
        <v>41</v>
      </c>
      <c r="C153" t="str">
        <f>"唐纯雅"</f>
        <v>唐纯雅</v>
      </c>
      <c r="D153" t="str">
        <f t="shared" si="1"/>
        <v>女</v>
      </c>
    </row>
    <row r="154" spans="1:4" ht="24" customHeight="1">
      <c r="A154" t="str">
        <f>"10512020072610313829013"</f>
        <v>10512020072610313829013</v>
      </c>
      <c r="B154" t="s">
        <v>23</v>
      </c>
      <c r="C154" t="str">
        <f>"王蕊"</f>
        <v>王蕊</v>
      </c>
      <c r="D154" t="str">
        <f t="shared" si="1"/>
        <v>女</v>
      </c>
    </row>
    <row r="155" spans="1:4" ht="24" customHeight="1">
      <c r="A155" t="str">
        <f>"10512020072610314529014"</f>
        <v>10512020072610314529014</v>
      </c>
      <c r="B155" t="s">
        <v>13</v>
      </c>
      <c r="C155" t="str">
        <f>"徐非凡"</f>
        <v>徐非凡</v>
      </c>
      <c r="D155" t="str">
        <f t="shared" si="1"/>
        <v>女</v>
      </c>
    </row>
    <row r="156" spans="1:4" ht="24" customHeight="1">
      <c r="A156" t="str">
        <f>"10512020072610320129015"</f>
        <v>10512020072610320129015</v>
      </c>
      <c r="B156" t="s">
        <v>13</v>
      </c>
      <c r="C156" t="str">
        <f>"刘敏"</f>
        <v>刘敏</v>
      </c>
      <c r="D156" t="str">
        <f t="shared" si="1"/>
        <v>女</v>
      </c>
    </row>
    <row r="157" spans="1:4" ht="24" customHeight="1">
      <c r="A157" t="str">
        <f>"10512020072610320529016"</f>
        <v>10512020072610320529016</v>
      </c>
      <c r="B157" t="s">
        <v>21</v>
      </c>
      <c r="C157" t="str">
        <f>"易丹"</f>
        <v>易丹</v>
      </c>
      <c r="D157" t="str">
        <f t="shared" si="1"/>
        <v>女</v>
      </c>
    </row>
    <row r="158" spans="1:4" ht="24" customHeight="1">
      <c r="A158" t="str">
        <f>"10512020072610320629017"</f>
        <v>10512020072610320629017</v>
      </c>
      <c r="B158" t="s">
        <v>9</v>
      </c>
      <c r="C158" t="str">
        <f>"尹玲"</f>
        <v>尹玲</v>
      </c>
      <c r="D158" t="str">
        <f t="shared" si="1"/>
        <v>女</v>
      </c>
    </row>
    <row r="159" spans="1:4" ht="24" customHeight="1">
      <c r="A159" t="str">
        <f>"10512020072610364129018"</f>
        <v>10512020072610364129018</v>
      </c>
      <c r="B159" t="s">
        <v>13</v>
      </c>
      <c r="C159" t="str">
        <f>"陈强"</f>
        <v>陈强</v>
      </c>
      <c r="D159" t="str">
        <f>"男"</f>
        <v>男</v>
      </c>
    </row>
    <row r="160" spans="1:4" ht="24" customHeight="1">
      <c r="A160" t="str">
        <f>"10512020072610365929019"</f>
        <v>10512020072610365929019</v>
      </c>
      <c r="B160" t="s">
        <v>7</v>
      </c>
      <c r="C160" t="str">
        <f>"赵欣雅"</f>
        <v>赵欣雅</v>
      </c>
      <c r="D160" t="str">
        <f>"女"</f>
        <v>女</v>
      </c>
    </row>
    <row r="161" spans="1:4" ht="24" customHeight="1">
      <c r="A161" t="str">
        <f>"10512020072610395329020"</f>
        <v>10512020072610395329020</v>
      </c>
      <c r="B161" t="s">
        <v>27</v>
      </c>
      <c r="C161" t="str">
        <f>"钱慧"</f>
        <v>钱慧</v>
      </c>
      <c r="D161" t="str">
        <f>"女"</f>
        <v>女</v>
      </c>
    </row>
    <row r="162" spans="1:4" ht="24" customHeight="1">
      <c r="A162" t="str">
        <f>"10512020072610414429021"</f>
        <v>10512020072610414429021</v>
      </c>
      <c r="B162" t="s">
        <v>8</v>
      </c>
      <c r="C162" t="str">
        <f>"陈佳"</f>
        <v>陈佳</v>
      </c>
      <c r="D162" t="str">
        <f>"男"</f>
        <v>男</v>
      </c>
    </row>
    <row r="163" spans="1:4" ht="24" customHeight="1">
      <c r="A163" t="str">
        <f>"10512020072610423129022"</f>
        <v>10512020072610423129022</v>
      </c>
      <c r="B163" t="s">
        <v>18</v>
      </c>
      <c r="C163" t="str">
        <f>"周烜宇"</f>
        <v>周烜宇</v>
      </c>
      <c r="D163" t="str">
        <f>"男"</f>
        <v>男</v>
      </c>
    </row>
    <row r="164" spans="1:4" ht="24" customHeight="1">
      <c r="A164" t="str">
        <f>"10512020072610435029023"</f>
        <v>10512020072610435029023</v>
      </c>
      <c r="B164" t="s">
        <v>21</v>
      </c>
      <c r="C164" t="str">
        <f>"严翊宁"</f>
        <v>严翊宁</v>
      </c>
      <c r="D164" t="str">
        <f>"女"</f>
        <v>女</v>
      </c>
    </row>
    <row r="165" spans="1:4" ht="24" customHeight="1">
      <c r="A165" t="str">
        <f>"10512020072610441329024"</f>
        <v>10512020072610441329024</v>
      </c>
      <c r="B165" t="s">
        <v>6</v>
      </c>
      <c r="C165" t="str">
        <f>"陈才"</f>
        <v>陈才</v>
      </c>
      <c r="D165" t="str">
        <f>"男"</f>
        <v>男</v>
      </c>
    </row>
    <row r="166" spans="1:4" ht="24" customHeight="1">
      <c r="A166" t="str">
        <f>"10512020072610441929025"</f>
        <v>10512020072610441929025</v>
      </c>
      <c r="B166" t="s">
        <v>5</v>
      </c>
      <c r="C166" t="str">
        <f>"任治国"</f>
        <v>任治国</v>
      </c>
      <c r="D166" t="str">
        <f>"男"</f>
        <v>男</v>
      </c>
    </row>
    <row r="167" spans="1:4" ht="24" customHeight="1">
      <c r="A167" t="str">
        <f>"10512020072610451629026"</f>
        <v>10512020072610451629026</v>
      </c>
      <c r="B167" t="s">
        <v>16</v>
      </c>
      <c r="C167" t="str">
        <f>"孙嘉伟"</f>
        <v>孙嘉伟</v>
      </c>
      <c r="D167" t="str">
        <f>"男"</f>
        <v>男</v>
      </c>
    </row>
    <row r="168" spans="1:4" ht="24" customHeight="1">
      <c r="A168" t="str">
        <f>"10512020072610452229027"</f>
        <v>10512020072610452229027</v>
      </c>
      <c r="B168" t="s">
        <v>14</v>
      </c>
      <c r="C168" t="str">
        <f>"郭霞"</f>
        <v>郭霞</v>
      </c>
      <c r="D168" t="str">
        <f>"女"</f>
        <v>女</v>
      </c>
    </row>
    <row r="169" spans="1:4" ht="24" customHeight="1">
      <c r="A169" t="str">
        <f>"10512020072610452429028"</f>
        <v>10512020072610452429028</v>
      </c>
      <c r="B169" t="s">
        <v>42</v>
      </c>
      <c r="C169" t="str">
        <f>"宋天成"</f>
        <v>宋天成</v>
      </c>
      <c r="D169" t="str">
        <f>"男"</f>
        <v>男</v>
      </c>
    </row>
    <row r="170" spans="1:4" ht="24" customHeight="1">
      <c r="A170" t="str">
        <f>"10512020072610453429029"</f>
        <v>10512020072610453429029</v>
      </c>
      <c r="B170" t="s">
        <v>21</v>
      </c>
      <c r="C170" t="str">
        <f>"刘炎衡"</f>
        <v>刘炎衡</v>
      </c>
      <c r="D170" t="str">
        <f>"女"</f>
        <v>女</v>
      </c>
    </row>
    <row r="171" spans="1:4" ht="24" customHeight="1">
      <c r="A171" t="str">
        <f>"10512020072610454929030"</f>
        <v>10512020072610454929030</v>
      </c>
      <c r="B171" t="s">
        <v>39</v>
      </c>
      <c r="C171" t="str">
        <f>"胡顺"</f>
        <v>胡顺</v>
      </c>
      <c r="D171" t="str">
        <f>"女"</f>
        <v>女</v>
      </c>
    </row>
    <row r="172" spans="1:4" ht="24" customHeight="1">
      <c r="A172" t="str">
        <f>"10512020072610470429031"</f>
        <v>10512020072610470429031</v>
      </c>
      <c r="B172" t="s">
        <v>6</v>
      </c>
      <c r="C172" t="str">
        <f>"王毅"</f>
        <v>王毅</v>
      </c>
      <c r="D172" t="str">
        <f>"男"</f>
        <v>男</v>
      </c>
    </row>
    <row r="173" spans="1:4" ht="24" customHeight="1">
      <c r="A173" t="str">
        <f>"10512020072610470829032"</f>
        <v>10512020072610470829032</v>
      </c>
      <c r="B173" t="s">
        <v>43</v>
      </c>
      <c r="C173" t="str">
        <f>"聂琳力"</f>
        <v>聂琳力</v>
      </c>
      <c r="D173" t="str">
        <f>"女"</f>
        <v>女</v>
      </c>
    </row>
    <row r="174" spans="1:4" ht="24" customHeight="1">
      <c r="A174" t="str">
        <f>"10512020072610473929033"</f>
        <v>10512020072610473929033</v>
      </c>
      <c r="B174" t="s">
        <v>10</v>
      </c>
      <c r="C174" t="str">
        <f>"彭璐"</f>
        <v>彭璐</v>
      </c>
      <c r="D174" t="str">
        <f>"女"</f>
        <v>女</v>
      </c>
    </row>
    <row r="175" spans="1:4" ht="24" customHeight="1">
      <c r="A175" t="str">
        <f>"10512020072610480629034"</f>
        <v>10512020072610480629034</v>
      </c>
      <c r="B175" t="s">
        <v>28</v>
      </c>
      <c r="C175" t="str">
        <f>"刘永好"</f>
        <v>刘永好</v>
      </c>
      <c r="D175" t="str">
        <f>"男"</f>
        <v>男</v>
      </c>
    </row>
    <row r="176" spans="1:4" ht="24" customHeight="1">
      <c r="A176" t="str">
        <f>"10512020072610483529035"</f>
        <v>10512020072610483529035</v>
      </c>
      <c r="B176" t="s">
        <v>21</v>
      </c>
      <c r="C176" t="str">
        <f>"李承耘"</f>
        <v>李承耘</v>
      </c>
      <c r="D176" t="str">
        <f>"男"</f>
        <v>男</v>
      </c>
    </row>
    <row r="177" spans="1:4" ht="24" customHeight="1">
      <c r="A177" t="str">
        <f>"10512020072610485129036"</f>
        <v>10512020072610485129036</v>
      </c>
      <c r="B177" t="s">
        <v>20</v>
      </c>
      <c r="C177" t="str">
        <f>"黄筱"</f>
        <v>黄筱</v>
      </c>
      <c r="D177" t="str">
        <f>"女"</f>
        <v>女</v>
      </c>
    </row>
    <row r="178" spans="1:4" ht="24" customHeight="1">
      <c r="A178" t="str">
        <f>"10512020072610491929037"</f>
        <v>10512020072610491929037</v>
      </c>
      <c r="B178" t="s">
        <v>44</v>
      </c>
      <c r="C178" t="str">
        <f>"王靖舜"</f>
        <v>王靖舜</v>
      </c>
      <c r="D178" t="str">
        <f>"男"</f>
        <v>男</v>
      </c>
    </row>
    <row r="179" spans="1:4" ht="24" customHeight="1">
      <c r="A179" t="str">
        <f>"10512020072610492129038"</f>
        <v>10512020072610492129038</v>
      </c>
      <c r="B179" t="s">
        <v>10</v>
      </c>
      <c r="C179" t="str">
        <f>"蒯同权"</f>
        <v>蒯同权</v>
      </c>
      <c r="D179" t="str">
        <f>"男"</f>
        <v>男</v>
      </c>
    </row>
    <row r="180" spans="1:4" ht="24" customHeight="1">
      <c r="A180" t="str">
        <f>"10512020072610510829039"</f>
        <v>10512020072610510829039</v>
      </c>
      <c r="B180" t="s">
        <v>7</v>
      </c>
      <c r="C180" t="str">
        <f>"王藜静"</f>
        <v>王藜静</v>
      </c>
      <c r="D180" t="str">
        <f>"女"</f>
        <v>女</v>
      </c>
    </row>
    <row r="181" spans="1:4" ht="24" customHeight="1">
      <c r="A181" t="str">
        <f>"10512020072610522929040"</f>
        <v>10512020072610522929040</v>
      </c>
      <c r="B181" t="s">
        <v>12</v>
      </c>
      <c r="C181" t="str">
        <f>"李超"</f>
        <v>李超</v>
      </c>
      <c r="D181" t="str">
        <f>"男"</f>
        <v>男</v>
      </c>
    </row>
    <row r="182" spans="1:4" ht="24" customHeight="1">
      <c r="A182" t="str">
        <f>"10512020072610530229041"</f>
        <v>10512020072610530229041</v>
      </c>
      <c r="B182" t="s">
        <v>24</v>
      </c>
      <c r="C182" t="str">
        <f>"蒋磊"</f>
        <v>蒋磊</v>
      </c>
      <c r="D182" t="str">
        <f>"男"</f>
        <v>男</v>
      </c>
    </row>
    <row r="183" spans="1:4" ht="24" customHeight="1">
      <c r="A183" t="str">
        <f>"10512020072610552329042"</f>
        <v>10512020072610552329042</v>
      </c>
      <c r="B183" t="s">
        <v>21</v>
      </c>
      <c r="C183" t="str">
        <f>"罗岚"</f>
        <v>罗岚</v>
      </c>
      <c r="D183" t="str">
        <f>"女"</f>
        <v>女</v>
      </c>
    </row>
    <row r="184" spans="1:4" ht="24" customHeight="1">
      <c r="A184" t="str">
        <f>"10512020072610554929043"</f>
        <v>10512020072610554929043</v>
      </c>
      <c r="B184" t="s">
        <v>6</v>
      </c>
      <c r="C184" t="str">
        <f>"向苗苗"</f>
        <v>向苗苗</v>
      </c>
      <c r="D184" t="str">
        <f>"女"</f>
        <v>女</v>
      </c>
    </row>
    <row r="185" spans="1:4" ht="24" customHeight="1">
      <c r="A185" t="str">
        <f>"10512020072610590229045"</f>
        <v>10512020072610590229045</v>
      </c>
      <c r="B185" t="s">
        <v>9</v>
      </c>
      <c r="C185" t="str">
        <f>"夏凡"</f>
        <v>夏凡</v>
      </c>
      <c r="D185" t="str">
        <f>"男"</f>
        <v>男</v>
      </c>
    </row>
    <row r="186" spans="1:4" ht="24" customHeight="1">
      <c r="A186" t="str">
        <f>"10512020072611025529046"</f>
        <v>10512020072611025529046</v>
      </c>
      <c r="B186" t="s">
        <v>45</v>
      </c>
      <c r="C186" t="str">
        <f>"陈凡"</f>
        <v>陈凡</v>
      </c>
      <c r="D186" t="str">
        <f>"男"</f>
        <v>男</v>
      </c>
    </row>
    <row r="187" spans="1:4" ht="24" customHeight="1">
      <c r="A187" t="str">
        <f>"10512020072611032829047"</f>
        <v>10512020072611032829047</v>
      </c>
      <c r="B187" t="s">
        <v>41</v>
      </c>
      <c r="C187" t="str">
        <f>"黄宇翔"</f>
        <v>黄宇翔</v>
      </c>
      <c r="D187" t="str">
        <f>"女"</f>
        <v>女</v>
      </c>
    </row>
    <row r="188" spans="1:4" ht="24" customHeight="1">
      <c r="A188" t="str">
        <f>"10512020072611033029048"</f>
        <v>10512020072611033029048</v>
      </c>
      <c r="B188" t="s">
        <v>46</v>
      </c>
      <c r="C188" t="str">
        <f>"黄胜"</f>
        <v>黄胜</v>
      </c>
      <c r="D188" t="str">
        <f>"男"</f>
        <v>男</v>
      </c>
    </row>
    <row r="189" spans="1:4" ht="24" customHeight="1">
      <c r="A189" t="str">
        <f>"10512020072611043929049"</f>
        <v>10512020072611043929049</v>
      </c>
      <c r="B189" t="s">
        <v>35</v>
      </c>
      <c r="C189" t="str">
        <f>"丁肖"</f>
        <v>丁肖</v>
      </c>
      <c r="D189" t="str">
        <f>"女"</f>
        <v>女</v>
      </c>
    </row>
    <row r="190" spans="1:4" ht="24" customHeight="1">
      <c r="A190" t="str">
        <f>"10512020072611045829050"</f>
        <v>10512020072611045829050</v>
      </c>
      <c r="B190" t="s">
        <v>30</v>
      </c>
      <c r="C190" t="str">
        <f>"唐川哲"</f>
        <v>唐川哲</v>
      </c>
      <c r="D190" t="str">
        <f>"男"</f>
        <v>男</v>
      </c>
    </row>
    <row r="191" spans="1:4" ht="24" customHeight="1">
      <c r="A191" t="str">
        <f>"10512020072611052529051"</f>
        <v>10512020072611052529051</v>
      </c>
      <c r="B191" t="s">
        <v>42</v>
      </c>
      <c r="C191" t="str">
        <f>"杨艳"</f>
        <v>杨艳</v>
      </c>
      <c r="D191" t="str">
        <f>"女"</f>
        <v>女</v>
      </c>
    </row>
    <row r="192" spans="1:4" ht="24" customHeight="1">
      <c r="A192" t="str">
        <f>"10512020072611060929052"</f>
        <v>10512020072611060929052</v>
      </c>
      <c r="B192" t="s">
        <v>18</v>
      </c>
      <c r="C192" t="str">
        <f>"闵黎威"</f>
        <v>闵黎威</v>
      </c>
      <c r="D192" t="str">
        <f>"男"</f>
        <v>男</v>
      </c>
    </row>
    <row r="193" spans="1:4" ht="24" customHeight="1">
      <c r="A193" t="str">
        <f>"10512020072611061829053"</f>
        <v>10512020072611061829053</v>
      </c>
      <c r="B193" t="s">
        <v>9</v>
      </c>
      <c r="C193" t="str">
        <f>"夏荣彬"</f>
        <v>夏荣彬</v>
      </c>
      <c r="D193" t="str">
        <f>"男"</f>
        <v>男</v>
      </c>
    </row>
    <row r="194" spans="1:4" ht="24" customHeight="1">
      <c r="A194" t="str">
        <f>"10512020072611062229054"</f>
        <v>10512020072611062229054</v>
      </c>
      <c r="B194" t="s">
        <v>16</v>
      </c>
      <c r="C194" t="str">
        <f>"汤霞"</f>
        <v>汤霞</v>
      </c>
      <c r="D194" t="str">
        <f>"女"</f>
        <v>女</v>
      </c>
    </row>
    <row r="195" spans="1:4" ht="24" customHeight="1">
      <c r="A195" t="str">
        <f>"10512020072611082629055"</f>
        <v>10512020072611082629055</v>
      </c>
      <c r="B195" t="s">
        <v>21</v>
      </c>
      <c r="C195" t="str">
        <f>"高忱"</f>
        <v>高忱</v>
      </c>
      <c r="D195" t="str">
        <f>"女"</f>
        <v>女</v>
      </c>
    </row>
    <row r="196" spans="1:4" ht="24" customHeight="1">
      <c r="A196" t="str">
        <f>"10512020072611085729056"</f>
        <v>10512020072611085729056</v>
      </c>
      <c r="B196" t="s">
        <v>13</v>
      </c>
      <c r="C196" t="str">
        <f>"樊扩"</f>
        <v>樊扩</v>
      </c>
      <c r="D196" t="str">
        <f>"男"</f>
        <v>男</v>
      </c>
    </row>
    <row r="197" spans="1:4" ht="24" customHeight="1">
      <c r="A197" t="str">
        <f>"10512020072611093729057"</f>
        <v>10512020072611093729057</v>
      </c>
      <c r="B197" t="s">
        <v>41</v>
      </c>
      <c r="C197" t="str">
        <f>"胡凯莉"</f>
        <v>胡凯莉</v>
      </c>
      <c r="D197" t="str">
        <f>"女"</f>
        <v>女</v>
      </c>
    </row>
    <row r="198" spans="1:4" ht="24" customHeight="1">
      <c r="A198" t="str">
        <f>"10512020072611100529058"</f>
        <v>10512020072611100529058</v>
      </c>
      <c r="B198" t="s">
        <v>40</v>
      </c>
      <c r="C198" t="str">
        <f>"熊小燕"</f>
        <v>熊小燕</v>
      </c>
      <c r="D198" t="str">
        <f>"女"</f>
        <v>女</v>
      </c>
    </row>
    <row r="199" spans="1:4" ht="24" customHeight="1">
      <c r="A199" t="str">
        <f>"10512020072611113429059"</f>
        <v>10512020072611113429059</v>
      </c>
      <c r="B199" t="s">
        <v>7</v>
      </c>
      <c r="C199" t="str">
        <f>"谭贝"</f>
        <v>谭贝</v>
      </c>
      <c r="D199" t="str">
        <f>"女"</f>
        <v>女</v>
      </c>
    </row>
    <row r="200" spans="1:4" ht="24" customHeight="1">
      <c r="A200" t="str">
        <f>"10512020072611120729060"</f>
        <v>10512020072611120729060</v>
      </c>
      <c r="B200" t="s">
        <v>47</v>
      </c>
      <c r="C200" t="str">
        <f>"杨坤晓"</f>
        <v>杨坤晓</v>
      </c>
      <c r="D200" t="str">
        <f>"女"</f>
        <v>女</v>
      </c>
    </row>
    <row r="201" spans="1:4" ht="24" customHeight="1">
      <c r="A201" t="str">
        <f>"10512020072611123329061"</f>
        <v>10512020072611123329061</v>
      </c>
      <c r="B201" t="s">
        <v>4</v>
      </c>
      <c r="C201" t="str">
        <f>"张荣"</f>
        <v>张荣</v>
      </c>
      <c r="D201" t="str">
        <f>"男"</f>
        <v>男</v>
      </c>
    </row>
    <row r="202" spans="1:4" ht="24" customHeight="1">
      <c r="A202" t="str">
        <f>"10512020072611125629062"</f>
        <v>10512020072611125629062</v>
      </c>
      <c r="B202" t="s">
        <v>38</v>
      </c>
      <c r="C202" t="str">
        <f>"丁昊"</f>
        <v>丁昊</v>
      </c>
      <c r="D202" t="str">
        <f>"女"</f>
        <v>女</v>
      </c>
    </row>
    <row r="203" spans="1:4" ht="24" customHeight="1">
      <c r="A203" t="str">
        <f>"10512020072611133229063"</f>
        <v>10512020072611133229063</v>
      </c>
      <c r="B203" t="s">
        <v>12</v>
      </c>
      <c r="C203" t="str">
        <f>"邹伟"</f>
        <v>邹伟</v>
      </c>
      <c r="D203" t="str">
        <f>"男"</f>
        <v>男</v>
      </c>
    </row>
    <row r="204" spans="1:4" ht="24" customHeight="1">
      <c r="A204" t="str">
        <f>"10512020072611145629064"</f>
        <v>10512020072611145629064</v>
      </c>
      <c r="B204" t="s">
        <v>20</v>
      </c>
      <c r="C204" t="str">
        <f>"曾跃中"</f>
        <v>曾跃中</v>
      </c>
      <c r="D204" t="str">
        <f>"男"</f>
        <v>男</v>
      </c>
    </row>
    <row r="205" spans="1:4" ht="24" customHeight="1">
      <c r="A205" t="str">
        <f>"10512020072611160029065"</f>
        <v>10512020072611160029065</v>
      </c>
      <c r="B205" t="s">
        <v>10</v>
      </c>
      <c r="C205" t="str">
        <f>"孟傅琛"</f>
        <v>孟傅琛</v>
      </c>
      <c r="D205" t="str">
        <f>"男"</f>
        <v>男</v>
      </c>
    </row>
    <row r="206" spans="1:4" ht="24" customHeight="1">
      <c r="A206" t="str">
        <f>"10512020072611164529066"</f>
        <v>10512020072611164529066</v>
      </c>
      <c r="B206" t="s">
        <v>46</v>
      </c>
      <c r="C206" t="str">
        <f>"李佩儒"</f>
        <v>李佩儒</v>
      </c>
      <c r="D206" t="str">
        <f>"女"</f>
        <v>女</v>
      </c>
    </row>
    <row r="207" spans="1:4" ht="24" customHeight="1">
      <c r="A207" t="str">
        <f>"10512020072611192929067"</f>
        <v>10512020072611192929067</v>
      </c>
      <c r="B207" t="s">
        <v>25</v>
      </c>
      <c r="C207" t="str">
        <f>"杜婉琴"</f>
        <v>杜婉琴</v>
      </c>
      <c r="D207" t="str">
        <f>"女"</f>
        <v>女</v>
      </c>
    </row>
    <row r="208" spans="1:4" ht="24" customHeight="1">
      <c r="A208" t="str">
        <f>"10512020072611195929068"</f>
        <v>10512020072611195929068</v>
      </c>
      <c r="B208" t="s">
        <v>38</v>
      </c>
      <c r="C208" t="str">
        <f>"刘思敏"</f>
        <v>刘思敏</v>
      </c>
      <c r="D208" t="str">
        <f>"女"</f>
        <v>女</v>
      </c>
    </row>
    <row r="209" spans="1:4" ht="24" customHeight="1">
      <c r="A209" t="str">
        <f>"10512020072611200629069"</f>
        <v>10512020072611200629069</v>
      </c>
      <c r="B209" t="s">
        <v>29</v>
      </c>
      <c r="C209" t="str">
        <f>"严麦丹"</f>
        <v>严麦丹</v>
      </c>
      <c r="D209" t="str">
        <f>"女"</f>
        <v>女</v>
      </c>
    </row>
    <row r="210" spans="1:4" ht="24" customHeight="1">
      <c r="A210" t="str">
        <f>"10512020072611202329070"</f>
        <v>10512020072611202329070</v>
      </c>
      <c r="B210" t="s">
        <v>45</v>
      </c>
      <c r="C210" t="str">
        <f>"胡俊"</f>
        <v>胡俊</v>
      </c>
      <c r="D210" t="str">
        <f>"男"</f>
        <v>男</v>
      </c>
    </row>
    <row r="211" spans="1:4" ht="24" customHeight="1">
      <c r="A211" t="str">
        <f>"10512020072611203429071"</f>
        <v>10512020072611203429071</v>
      </c>
      <c r="B211" t="s">
        <v>14</v>
      </c>
      <c r="C211" t="str">
        <f>"王冰颖"</f>
        <v>王冰颖</v>
      </c>
      <c r="D211" t="str">
        <f>"女"</f>
        <v>女</v>
      </c>
    </row>
    <row r="212" spans="1:4" ht="24" customHeight="1">
      <c r="A212" t="str">
        <f>"10512020072611222529072"</f>
        <v>10512020072611222529072</v>
      </c>
      <c r="B212" t="s">
        <v>16</v>
      </c>
      <c r="C212" t="str">
        <f>"张懿福"</f>
        <v>张懿福</v>
      </c>
      <c r="D212" t="str">
        <f>"男"</f>
        <v>男</v>
      </c>
    </row>
    <row r="213" spans="1:4" ht="24" customHeight="1">
      <c r="A213" t="str">
        <f>"10512020072611234729073"</f>
        <v>10512020072611234729073</v>
      </c>
      <c r="B213" t="s">
        <v>26</v>
      </c>
      <c r="C213" t="str">
        <f>"宋铭"</f>
        <v>宋铭</v>
      </c>
      <c r="D213" t="str">
        <f>"女"</f>
        <v>女</v>
      </c>
    </row>
    <row r="214" spans="1:4" ht="24" customHeight="1">
      <c r="A214" t="str">
        <f>"10512020072611244729074"</f>
        <v>10512020072611244729074</v>
      </c>
      <c r="B214" t="s">
        <v>41</v>
      </c>
      <c r="C214" t="str">
        <f>"杜昕瑾"</f>
        <v>杜昕瑾</v>
      </c>
      <c r="D214" t="str">
        <f>"女"</f>
        <v>女</v>
      </c>
    </row>
    <row r="215" spans="1:4" ht="24" customHeight="1">
      <c r="A215" t="str">
        <f>"10512020072611273129075"</f>
        <v>10512020072611273129075</v>
      </c>
      <c r="B215" t="s">
        <v>30</v>
      </c>
      <c r="C215" t="str">
        <f>"计方明"</f>
        <v>计方明</v>
      </c>
      <c r="D215" t="str">
        <f t="shared" ref="D215:D221" si="2">"男"</f>
        <v>男</v>
      </c>
    </row>
    <row r="216" spans="1:4" ht="24" customHeight="1">
      <c r="A216" t="str">
        <f>"10512020072611303129077"</f>
        <v>10512020072611303129077</v>
      </c>
      <c r="B216" t="s">
        <v>48</v>
      </c>
      <c r="C216" t="str">
        <f>"罗扬"</f>
        <v>罗扬</v>
      </c>
      <c r="D216" t="str">
        <f t="shared" si="2"/>
        <v>男</v>
      </c>
    </row>
    <row r="217" spans="1:4" ht="24" customHeight="1">
      <c r="A217" t="str">
        <f>"10512020072611304329078"</f>
        <v>10512020072611304329078</v>
      </c>
      <c r="B217" t="s">
        <v>23</v>
      </c>
      <c r="C217" t="str">
        <f>"谢朝俊"</f>
        <v>谢朝俊</v>
      </c>
      <c r="D217" t="str">
        <f t="shared" si="2"/>
        <v>男</v>
      </c>
    </row>
    <row r="218" spans="1:4" ht="24" customHeight="1">
      <c r="A218" t="str">
        <f>"10512020072611311729079"</f>
        <v>10512020072611311729079</v>
      </c>
      <c r="B218" t="s">
        <v>6</v>
      </c>
      <c r="C218" t="str">
        <f>"陆承"</f>
        <v>陆承</v>
      </c>
      <c r="D218" t="str">
        <f t="shared" si="2"/>
        <v>男</v>
      </c>
    </row>
    <row r="219" spans="1:4" ht="24" customHeight="1">
      <c r="A219" t="str">
        <f>"10512020072611312129080"</f>
        <v>10512020072611312129080</v>
      </c>
      <c r="B219" t="s">
        <v>19</v>
      </c>
      <c r="C219" t="str">
        <f>"蒋鹏举"</f>
        <v>蒋鹏举</v>
      </c>
      <c r="D219" t="str">
        <f t="shared" si="2"/>
        <v>男</v>
      </c>
    </row>
    <row r="220" spans="1:4" ht="24" customHeight="1">
      <c r="A220" t="str">
        <f>"10512020072611313129081"</f>
        <v>10512020072611313129081</v>
      </c>
      <c r="B220" t="s">
        <v>15</v>
      </c>
      <c r="C220" t="str">
        <f>"唐浩洋"</f>
        <v>唐浩洋</v>
      </c>
      <c r="D220" t="str">
        <f t="shared" si="2"/>
        <v>男</v>
      </c>
    </row>
    <row r="221" spans="1:4" ht="24" customHeight="1">
      <c r="A221" t="str">
        <f>"10512020072611320429082"</f>
        <v>10512020072611320429082</v>
      </c>
      <c r="B221" t="s">
        <v>27</v>
      </c>
      <c r="C221" t="str">
        <f>"王立"</f>
        <v>王立</v>
      </c>
      <c r="D221" t="str">
        <f t="shared" si="2"/>
        <v>男</v>
      </c>
    </row>
    <row r="222" spans="1:4" ht="24" customHeight="1">
      <c r="A222" t="str">
        <f>"10512020072611323129083"</f>
        <v>10512020072611323129083</v>
      </c>
      <c r="B222" t="s">
        <v>32</v>
      </c>
      <c r="C222" t="str">
        <f>"盛宇希"</f>
        <v>盛宇希</v>
      </c>
      <c r="D222" t="str">
        <f>"女"</f>
        <v>女</v>
      </c>
    </row>
    <row r="223" spans="1:4" ht="24" customHeight="1">
      <c r="A223" t="str">
        <f>"10512020072611325229084"</f>
        <v>10512020072611325229084</v>
      </c>
      <c r="B223" t="s">
        <v>12</v>
      </c>
      <c r="C223" t="str">
        <f>"傅炳清"</f>
        <v>傅炳清</v>
      </c>
      <c r="D223" t="str">
        <f>"男"</f>
        <v>男</v>
      </c>
    </row>
    <row r="224" spans="1:4" ht="24" customHeight="1">
      <c r="A224" t="str">
        <f>"10512020072611344829085"</f>
        <v>10512020072611344829085</v>
      </c>
      <c r="B224" t="s">
        <v>5</v>
      </c>
      <c r="C224" t="str">
        <f>"丁浩"</f>
        <v>丁浩</v>
      </c>
      <c r="D224" t="str">
        <f>"男"</f>
        <v>男</v>
      </c>
    </row>
    <row r="225" spans="1:4" ht="24" customHeight="1">
      <c r="A225" t="str">
        <f>"10512020072611354929086"</f>
        <v>10512020072611354929086</v>
      </c>
      <c r="B225" t="s">
        <v>25</v>
      </c>
      <c r="C225" t="str">
        <f>"彭平凡"</f>
        <v>彭平凡</v>
      </c>
      <c r="D225" t="str">
        <f>"女"</f>
        <v>女</v>
      </c>
    </row>
    <row r="226" spans="1:4" ht="24" customHeight="1">
      <c r="A226" t="str">
        <f>"10512020072611384329087"</f>
        <v>10512020072611384329087</v>
      </c>
      <c r="B226" t="s">
        <v>48</v>
      </c>
      <c r="C226" t="str">
        <f>"陈鹏"</f>
        <v>陈鹏</v>
      </c>
      <c r="D226" t="str">
        <f>"男"</f>
        <v>男</v>
      </c>
    </row>
    <row r="227" spans="1:4" ht="24" customHeight="1">
      <c r="A227" t="str">
        <f>"10512020072611401029089"</f>
        <v>10512020072611401029089</v>
      </c>
      <c r="B227" t="s">
        <v>34</v>
      </c>
      <c r="C227" t="str">
        <f>"徐恺"</f>
        <v>徐恺</v>
      </c>
      <c r="D227" t="str">
        <f>"男"</f>
        <v>男</v>
      </c>
    </row>
    <row r="228" spans="1:4" ht="24" customHeight="1">
      <c r="A228" t="str">
        <f>"10512020072611401629090"</f>
        <v>10512020072611401629090</v>
      </c>
      <c r="B228" t="s">
        <v>32</v>
      </c>
      <c r="C228" t="str">
        <f>"肖蓉"</f>
        <v>肖蓉</v>
      </c>
      <c r="D228" t="str">
        <f>"女"</f>
        <v>女</v>
      </c>
    </row>
    <row r="229" spans="1:4" ht="24" customHeight="1">
      <c r="A229" t="str">
        <f>"10512020072611410029091"</f>
        <v>10512020072611410029091</v>
      </c>
      <c r="B229" t="s">
        <v>23</v>
      </c>
      <c r="C229" t="str">
        <f>"陈志宇"</f>
        <v>陈志宇</v>
      </c>
      <c r="D229" t="str">
        <f>"男"</f>
        <v>男</v>
      </c>
    </row>
    <row r="230" spans="1:4" ht="24" customHeight="1">
      <c r="A230" t="str">
        <f>"10512020072611414129092"</f>
        <v>10512020072611414129092</v>
      </c>
      <c r="B230" t="s">
        <v>30</v>
      </c>
      <c r="C230" t="str">
        <f>"王洁"</f>
        <v>王洁</v>
      </c>
      <c r="D230" t="str">
        <f>"女"</f>
        <v>女</v>
      </c>
    </row>
    <row r="231" spans="1:4" ht="24" customHeight="1">
      <c r="A231" t="str">
        <f>"10512020072611422929093"</f>
        <v>10512020072611422929093</v>
      </c>
      <c r="B231" t="s">
        <v>19</v>
      </c>
      <c r="C231" t="str">
        <f>"董九梅"</f>
        <v>董九梅</v>
      </c>
      <c r="D231" t="str">
        <f>"女"</f>
        <v>女</v>
      </c>
    </row>
    <row r="232" spans="1:4" ht="24" customHeight="1">
      <c r="A232" t="str">
        <f>"10512020072611432429094"</f>
        <v>10512020072611432429094</v>
      </c>
      <c r="B232" t="s">
        <v>48</v>
      </c>
      <c r="C232" t="str">
        <f>"石启群"</f>
        <v>石启群</v>
      </c>
      <c r="D232" t="str">
        <f>"女"</f>
        <v>女</v>
      </c>
    </row>
    <row r="233" spans="1:4" ht="24" customHeight="1">
      <c r="A233" t="str">
        <f>"10512020072611455029095"</f>
        <v>10512020072611455029095</v>
      </c>
      <c r="B233" t="s">
        <v>6</v>
      </c>
      <c r="C233" t="str">
        <f>"徐军"</f>
        <v>徐军</v>
      </c>
      <c r="D233" t="str">
        <f>"男"</f>
        <v>男</v>
      </c>
    </row>
    <row r="234" spans="1:4" ht="24" customHeight="1">
      <c r="A234" t="str">
        <f>"10512020072611473429096"</f>
        <v>10512020072611473429096</v>
      </c>
      <c r="B234" t="s">
        <v>5</v>
      </c>
      <c r="C234" t="str">
        <f>"翟一云"</f>
        <v>翟一云</v>
      </c>
      <c r="D234" t="str">
        <f>"男"</f>
        <v>男</v>
      </c>
    </row>
    <row r="235" spans="1:4" ht="24" customHeight="1">
      <c r="A235" t="str">
        <f>"10512020072611475929097"</f>
        <v>10512020072611475929097</v>
      </c>
      <c r="B235" t="s">
        <v>47</v>
      </c>
      <c r="C235" t="str">
        <f>"马卓"</f>
        <v>马卓</v>
      </c>
      <c r="D235" t="str">
        <f>"女"</f>
        <v>女</v>
      </c>
    </row>
    <row r="236" spans="1:4" ht="24" customHeight="1">
      <c r="A236" t="str">
        <f>"10512020072611505529099"</f>
        <v>10512020072611505529099</v>
      </c>
      <c r="B236" t="s">
        <v>41</v>
      </c>
      <c r="C236" t="str">
        <f>"吴卓林"</f>
        <v>吴卓林</v>
      </c>
      <c r="D236" t="str">
        <f>"女"</f>
        <v>女</v>
      </c>
    </row>
    <row r="237" spans="1:4" ht="24" customHeight="1">
      <c r="A237" t="str">
        <f>"10512020072611521729100"</f>
        <v>10512020072611521729100</v>
      </c>
      <c r="B237" t="s">
        <v>4</v>
      </c>
      <c r="C237" t="str">
        <f>"李金鹏"</f>
        <v>李金鹏</v>
      </c>
      <c r="D237" t="str">
        <f>"男"</f>
        <v>男</v>
      </c>
    </row>
    <row r="238" spans="1:4" ht="24" customHeight="1">
      <c r="A238" t="str">
        <f>"10512020072611522929101"</f>
        <v>10512020072611522929101</v>
      </c>
      <c r="B238" t="s">
        <v>16</v>
      </c>
      <c r="C238" t="str">
        <f>"严黎波"</f>
        <v>严黎波</v>
      </c>
      <c r="D238" t="str">
        <f>"男"</f>
        <v>男</v>
      </c>
    </row>
    <row r="239" spans="1:4" ht="24" customHeight="1">
      <c r="A239" t="str">
        <f>"10512020072611533329102"</f>
        <v>10512020072611533329102</v>
      </c>
      <c r="B239" t="s">
        <v>41</v>
      </c>
      <c r="C239" t="str">
        <f>"刘苏雯"</f>
        <v>刘苏雯</v>
      </c>
      <c r="D239" t="str">
        <f>"女"</f>
        <v>女</v>
      </c>
    </row>
    <row r="240" spans="1:4" ht="24" customHeight="1">
      <c r="A240" t="str">
        <f>"10512020072611583429103"</f>
        <v>10512020072611583429103</v>
      </c>
      <c r="B240" t="s">
        <v>27</v>
      </c>
      <c r="C240" t="str">
        <f>"刘秋云"</f>
        <v>刘秋云</v>
      </c>
      <c r="D240" t="str">
        <f>"女"</f>
        <v>女</v>
      </c>
    </row>
    <row r="241" spans="1:4" ht="24" customHeight="1">
      <c r="A241" t="str">
        <f>"10512020072611585229105"</f>
        <v>10512020072611585229105</v>
      </c>
      <c r="B241" t="s">
        <v>7</v>
      </c>
      <c r="C241" t="str">
        <f>"覃彭"</f>
        <v>覃彭</v>
      </c>
      <c r="D241" t="str">
        <f>"男"</f>
        <v>男</v>
      </c>
    </row>
    <row r="242" spans="1:4" ht="24" customHeight="1">
      <c r="A242" t="str">
        <f>"10512020072611592529106"</f>
        <v>10512020072611592529106</v>
      </c>
      <c r="B242" t="s">
        <v>23</v>
      </c>
      <c r="C242" t="str">
        <f>"王吟竹"</f>
        <v>王吟竹</v>
      </c>
      <c r="D242" t="str">
        <f>"女"</f>
        <v>女</v>
      </c>
    </row>
    <row r="243" spans="1:4" ht="24" customHeight="1">
      <c r="A243" t="str">
        <f>"10512020072612002429108"</f>
        <v>10512020072612002429108</v>
      </c>
      <c r="B243" t="s">
        <v>6</v>
      </c>
      <c r="C243" t="str">
        <f>"张盼"</f>
        <v>张盼</v>
      </c>
      <c r="D243" t="str">
        <f>"女"</f>
        <v>女</v>
      </c>
    </row>
    <row r="244" spans="1:4" ht="24" customHeight="1">
      <c r="A244" t="str">
        <f>"10512020072612013129109"</f>
        <v>10512020072612013129109</v>
      </c>
      <c r="B244" t="s">
        <v>25</v>
      </c>
      <c r="C244" t="str">
        <f>"刘宾星"</f>
        <v>刘宾星</v>
      </c>
      <c r="D244" t="str">
        <f>"女"</f>
        <v>女</v>
      </c>
    </row>
    <row r="245" spans="1:4" ht="24" customHeight="1">
      <c r="A245" t="str">
        <f>"10512020072612014929110"</f>
        <v>10512020072612014929110</v>
      </c>
      <c r="B245" t="s">
        <v>26</v>
      </c>
      <c r="C245" t="str">
        <f>"钟诚"</f>
        <v>钟诚</v>
      </c>
      <c r="D245" t="str">
        <f>"男"</f>
        <v>男</v>
      </c>
    </row>
    <row r="246" spans="1:4" ht="24" customHeight="1">
      <c r="A246" t="str">
        <f>"10512020072612030329111"</f>
        <v>10512020072612030329111</v>
      </c>
      <c r="B246" t="s">
        <v>7</v>
      </c>
      <c r="C246" t="str">
        <f>"罗欢"</f>
        <v>罗欢</v>
      </c>
      <c r="D246" t="str">
        <f>"男"</f>
        <v>男</v>
      </c>
    </row>
    <row r="247" spans="1:4" ht="24" customHeight="1">
      <c r="A247" t="str">
        <f>"10512020072612033229112"</f>
        <v>10512020072612033229112</v>
      </c>
      <c r="B247" t="s">
        <v>5</v>
      </c>
      <c r="C247" t="str">
        <f>"袁义夫"</f>
        <v>袁义夫</v>
      </c>
      <c r="D247" t="str">
        <f>"男"</f>
        <v>男</v>
      </c>
    </row>
    <row r="248" spans="1:4" ht="24" customHeight="1">
      <c r="A248" t="str">
        <f>"10512020072612033429113"</f>
        <v>10512020072612033429113</v>
      </c>
      <c r="B248" t="s">
        <v>13</v>
      </c>
      <c r="C248" t="str">
        <f>"陈中心"</f>
        <v>陈中心</v>
      </c>
      <c r="D248" t="str">
        <f>"男"</f>
        <v>男</v>
      </c>
    </row>
    <row r="249" spans="1:4" ht="24" customHeight="1">
      <c r="A249" t="str">
        <f>"10512020072612043829114"</f>
        <v>10512020072612043829114</v>
      </c>
      <c r="B249" t="s">
        <v>41</v>
      </c>
      <c r="C249" t="str">
        <f>"马咪"</f>
        <v>马咪</v>
      </c>
      <c r="D249" t="str">
        <f>"女"</f>
        <v>女</v>
      </c>
    </row>
    <row r="250" spans="1:4" ht="24" customHeight="1">
      <c r="A250" t="str">
        <f>"10512020072612045529115"</f>
        <v>10512020072612045529115</v>
      </c>
      <c r="B250" t="s">
        <v>6</v>
      </c>
      <c r="C250" t="str">
        <f>"韩芳"</f>
        <v>韩芳</v>
      </c>
      <c r="D250" t="str">
        <f>"女"</f>
        <v>女</v>
      </c>
    </row>
    <row r="251" spans="1:4" ht="24" customHeight="1">
      <c r="A251" t="str">
        <f>"10512020072612074429116"</f>
        <v>10512020072612074429116</v>
      </c>
      <c r="B251" t="s">
        <v>21</v>
      </c>
      <c r="C251" t="str">
        <f>"周潇璇"</f>
        <v>周潇璇</v>
      </c>
      <c r="D251" t="str">
        <f>"女"</f>
        <v>女</v>
      </c>
    </row>
    <row r="252" spans="1:4" ht="24" customHeight="1">
      <c r="A252" t="str">
        <f>"10512020072612123529117"</f>
        <v>10512020072612123529117</v>
      </c>
      <c r="B252" t="s">
        <v>23</v>
      </c>
      <c r="C252" t="str">
        <f>"胡文豪"</f>
        <v>胡文豪</v>
      </c>
      <c r="D252" t="str">
        <f>"男"</f>
        <v>男</v>
      </c>
    </row>
    <row r="253" spans="1:4" ht="24" customHeight="1">
      <c r="A253" t="str">
        <f>"10512020072612131229118"</f>
        <v>10512020072612131229118</v>
      </c>
      <c r="B253" t="s">
        <v>11</v>
      </c>
      <c r="C253" t="str">
        <f>"刘栎帆"</f>
        <v>刘栎帆</v>
      </c>
      <c r="D253" t="str">
        <f>"女"</f>
        <v>女</v>
      </c>
    </row>
    <row r="254" spans="1:4" ht="24" customHeight="1">
      <c r="A254" t="str">
        <f>"10512020072612153829119"</f>
        <v>10512020072612153829119</v>
      </c>
      <c r="B254" t="s">
        <v>38</v>
      </c>
      <c r="C254" t="str">
        <f>"谢凡"</f>
        <v>谢凡</v>
      </c>
      <c r="D254" t="str">
        <f>"女"</f>
        <v>女</v>
      </c>
    </row>
    <row r="255" spans="1:4" ht="24" customHeight="1">
      <c r="A255" t="str">
        <f>"10512020072612164829120"</f>
        <v>10512020072612164829120</v>
      </c>
      <c r="B255" t="s">
        <v>14</v>
      </c>
      <c r="C255" t="str">
        <f>"郭丹"</f>
        <v>郭丹</v>
      </c>
      <c r="D255" t="str">
        <f>"女"</f>
        <v>女</v>
      </c>
    </row>
    <row r="256" spans="1:4" ht="24" customHeight="1">
      <c r="A256" t="str">
        <f>"10512020072612190929121"</f>
        <v>10512020072612190929121</v>
      </c>
      <c r="B256" t="s">
        <v>33</v>
      </c>
      <c r="C256" t="str">
        <f>"王科伟"</f>
        <v>王科伟</v>
      </c>
      <c r="D256" t="str">
        <f>"男"</f>
        <v>男</v>
      </c>
    </row>
    <row r="257" spans="1:4" ht="24" customHeight="1">
      <c r="A257" t="str">
        <f>"10512020072612194129122"</f>
        <v>10512020072612194129122</v>
      </c>
      <c r="B257" t="s">
        <v>20</v>
      </c>
      <c r="C257" t="str">
        <f>"杨媚"</f>
        <v>杨媚</v>
      </c>
      <c r="D257" t="str">
        <f>"女"</f>
        <v>女</v>
      </c>
    </row>
    <row r="258" spans="1:4" ht="24" customHeight="1">
      <c r="A258" t="str">
        <f>"10512020072612195529123"</f>
        <v>10512020072612195529123</v>
      </c>
      <c r="B258" t="s">
        <v>43</v>
      </c>
      <c r="C258" t="str">
        <f>"肖毅"</f>
        <v>肖毅</v>
      </c>
      <c r="D258" t="str">
        <f>"男"</f>
        <v>男</v>
      </c>
    </row>
    <row r="259" spans="1:4" ht="24" customHeight="1">
      <c r="A259" t="str">
        <f>"10512020072612201529124"</f>
        <v>10512020072612201529124</v>
      </c>
      <c r="B259" t="s">
        <v>13</v>
      </c>
      <c r="C259" t="str">
        <f>"鲁艺滢"</f>
        <v>鲁艺滢</v>
      </c>
      <c r="D259" t="str">
        <f>"女"</f>
        <v>女</v>
      </c>
    </row>
    <row r="260" spans="1:4" ht="24" customHeight="1">
      <c r="A260" t="str">
        <f>"10512020072612202429125"</f>
        <v>10512020072612202429125</v>
      </c>
      <c r="B260" t="s">
        <v>47</v>
      </c>
      <c r="C260" t="str">
        <f>"钱程"</f>
        <v>钱程</v>
      </c>
      <c r="D260" t="str">
        <f>"男"</f>
        <v>男</v>
      </c>
    </row>
    <row r="261" spans="1:4" ht="24" customHeight="1">
      <c r="A261" t="str">
        <f>"10512020072612240129126"</f>
        <v>10512020072612240129126</v>
      </c>
      <c r="B261" t="s">
        <v>36</v>
      </c>
      <c r="C261" t="str">
        <f>"冉玥"</f>
        <v>冉玥</v>
      </c>
      <c r="D261" t="str">
        <f>"女"</f>
        <v>女</v>
      </c>
    </row>
    <row r="262" spans="1:4" ht="24" customHeight="1">
      <c r="A262" t="str">
        <f>"10512020072612255629127"</f>
        <v>10512020072612255629127</v>
      </c>
      <c r="B262" t="s">
        <v>13</v>
      </c>
      <c r="C262" t="str">
        <f>"徐晨"</f>
        <v>徐晨</v>
      </c>
      <c r="D262" t="str">
        <f>"女"</f>
        <v>女</v>
      </c>
    </row>
    <row r="263" spans="1:4" ht="24" customHeight="1">
      <c r="A263" t="str">
        <f>"10512020072612262429128"</f>
        <v>10512020072612262429128</v>
      </c>
      <c r="B263" t="s">
        <v>34</v>
      </c>
      <c r="C263" t="str">
        <f>"徐子晴"</f>
        <v>徐子晴</v>
      </c>
      <c r="D263" t="str">
        <f>"女"</f>
        <v>女</v>
      </c>
    </row>
    <row r="264" spans="1:4" ht="24" customHeight="1">
      <c r="A264" t="str">
        <f>"10512020072612265229129"</f>
        <v>10512020072612265229129</v>
      </c>
      <c r="B264" t="s">
        <v>9</v>
      </c>
      <c r="C264" t="str">
        <f>"杨子佳"</f>
        <v>杨子佳</v>
      </c>
      <c r="D264" t="str">
        <f>"男"</f>
        <v>男</v>
      </c>
    </row>
    <row r="265" spans="1:4" ht="24" customHeight="1">
      <c r="A265" t="str">
        <f>"10512020072612271429130"</f>
        <v>10512020072612271429130</v>
      </c>
      <c r="B265" t="s">
        <v>26</v>
      </c>
      <c r="C265" t="str">
        <f>"胡洋"</f>
        <v>胡洋</v>
      </c>
      <c r="D265" t="str">
        <f>"女"</f>
        <v>女</v>
      </c>
    </row>
    <row r="266" spans="1:4" ht="24" customHeight="1">
      <c r="A266" t="str">
        <f>"10512020072612271429131"</f>
        <v>10512020072612271429131</v>
      </c>
      <c r="B266" t="s">
        <v>9</v>
      </c>
      <c r="C266" t="str">
        <f>"熊湘怡"</f>
        <v>熊湘怡</v>
      </c>
      <c r="D266" t="str">
        <f>"女"</f>
        <v>女</v>
      </c>
    </row>
    <row r="267" spans="1:4" ht="24" customHeight="1">
      <c r="A267" t="str">
        <f>"10512020072612305129133"</f>
        <v>10512020072612305129133</v>
      </c>
      <c r="B267" t="s">
        <v>16</v>
      </c>
      <c r="C267" t="str">
        <f>"熊洁雅"</f>
        <v>熊洁雅</v>
      </c>
      <c r="D267" t="str">
        <f>"女"</f>
        <v>女</v>
      </c>
    </row>
    <row r="268" spans="1:4" ht="24" customHeight="1">
      <c r="A268" t="str">
        <f>"10512020072612314829134"</f>
        <v>10512020072612314829134</v>
      </c>
      <c r="B268" t="s">
        <v>21</v>
      </c>
      <c r="C268" t="str">
        <f>"吴奕萌"</f>
        <v>吴奕萌</v>
      </c>
      <c r="D268" t="str">
        <f>"女"</f>
        <v>女</v>
      </c>
    </row>
    <row r="269" spans="1:4" ht="24" customHeight="1">
      <c r="A269" t="str">
        <f>"10512020072612340129135"</f>
        <v>10512020072612340129135</v>
      </c>
      <c r="B269" t="s">
        <v>27</v>
      </c>
      <c r="C269" t="str">
        <f>"莫茜"</f>
        <v>莫茜</v>
      </c>
      <c r="D269" t="str">
        <f>"女"</f>
        <v>女</v>
      </c>
    </row>
    <row r="270" spans="1:4" ht="24" customHeight="1">
      <c r="A270" t="str">
        <f>"10512020072612360829136"</f>
        <v>10512020072612360829136</v>
      </c>
      <c r="B270" t="s">
        <v>8</v>
      </c>
      <c r="C270" t="str">
        <f>"苏志亮"</f>
        <v>苏志亮</v>
      </c>
      <c r="D270" t="str">
        <f>"男"</f>
        <v>男</v>
      </c>
    </row>
    <row r="271" spans="1:4" ht="24" customHeight="1">
      <c r="A271" t="str">
        <f>"10512020072612390429137"</f>
        <v>10512020072612390429137</v>
      </c>
      <c r="B271" t="s">
        <v>8</v>
      </c>
      <c r="C271" t="str">
        <f>"何胜利"</f>
        <v>何胜利</v>
      </c>
      <c r="D271" t="str">
        <f>"男"</f>
        <v>男</v>
      </c>
    </row>
    <row r="272" spans="1:4" ht="24" customHeight="1">
      <c r="A272" t="str">
        <f>"10512020072612472929139"</f>
        <v>10512020072612472929139</v>
      </c>
      <c r="B272" t="s">
        <v>32</v>
      </c>
      <c r="C272" t="str">
        <f>"谢娟"</f>
        <v>谢娟</v>
      </c>
      <c r="D272" t="str">
        <f>"女"</f>
        <v>女</v>
      </c>
    </row>
    <row r="273" spans="1:4" ht="24" customHeight="1">
      <c r="A273" t="str">
        <f>"10512020072612474429140"</f>
        <v>10512020072612474429140</v>
      </c>
      <c r="B273" t="s">
        <v>21</v>
      </c>
      <c r="C273" t="str">
        <f>"曾嘉豪"</f>
        <v>曾嘉豪</v>
      </c>
      <c r="D273" t="str">
        <f>"男"</f>
        <v>男</v>
      </c>
    </row>
    <row r="274" spans="1:4" ht="24" customHeight="1">
      <c r="A274" t="str">
        <f>"10512020072612480529141"</f>
        <v>10512020072612480529141</v>
      </c>
      <c r="B274" t="s">
        <v>23</v>
      </c>
      <c r="C274" t="str">
        <f>"戴圣东"</f>
        <v>戴圣东</v>
      </c>
      <c r="D274" t="str">
        <f>"男"</f>
        <v>男</v>
      </c>
    </row>
    <row r="275" spans="1:4" ht="24" customHeight="1">
      <c r="A275" t="str">
        <f>"10512020072612490229142"</f>
        <v>10512020072612490229142</v>
      </c>
      <c r="B275" t="s">
        <v>9</v>
      </c>
      <c r="C275" t="str">
        <f>"张昌华"</f>
        <v>张昌华</v>
      </c>
      <c r="D275" t="str">
        <f>"男"</f>
        <v>男</v>
      </c>
    </row>
    <row r="276" spans="1:4" ht="24" customHeight="1">
      <c r="A276" t="str">
        <f>"10512020072612502529143"</f>
        <v>10512020072612502529143</v>
      </c>
      <c r="B276" t="s">
        <v>6</v>
      </c>
      <c r="C276" t="str">
        <f>"龚经纬"</f>
        <v>龚经纬</v>
      </c>
      <c r="D276" t="str">
        <f>"男"</f>
        <v>男</v>
      </c>
    </row>
    <row r="277" spans="1:4" ht="24" customHeight="1">
      <c r="A277" t="str">
        <f>"10512020072612534929144"</f>
        <v>10512020072612534929144</v>
      </c>
      <c r="B277" t="s">
        <v>9</v>
      </c>
      <c r="C277" t="str">
        <f>"陈爽"</f>
        <v>陈爽</v>
      </c>
      <c r="D277" t="str">
        <f>"女"</f>
        <v>女</v>
      </c>
    </row>
    <row r="278" spans="1:4" ht="24" customHeight="1">
      <c r="A278" t="str">
        <f>"10512020072612542829145"</f>
        <v>10512020072612542829145</v>
      </c>
      <c r="B278" t="s">
        <v>7</v>
      </c>
      <c r="C278" t="str">
        <f>"高彪"</f>
        <v>高彪</v>
      </c>
      <c r="D278" t="str">
        <f>"男"</f>
        <v>男</v>
      </c>
    </row>
    <row r="279" spans="1:4" ht="24" customHeight="1">
      <c r="A279" t="str">
        <f>"10512020072612560229146"</f>
        <v>10512020072612560229146</v>
      </c>
      <c r="B279" t="s">
        <v>49</v>
      </c>
      <c r="C279" t="str">
        <f>"唐新惠"</f>
        <v>唐新惠</v>
      </c>
      <c r="D279" t="str">
        <f>"女"</f>
        <v>女</v>
      </c>
    </row>
    <row r="280" spans="1:4" ht="24" customHeight="1">
      <c r="A280" t="str">
        <f>"10512020072612570429147"</f>
        <v>10512020072612570429147</v>
      </c>
      <c r="B280" t="s">
        <v>9</v>
      </c>
      <c r="C280" t="str">
        <f>"陈雪冰"</f>
        <v>陈雪冰</v>
      </c>
      <c r="D280" t="str">
        <f>"女"</f>
        <v>女</v>
      </c>
    </row>
    <row r="281" spans="1:4" ht="24" customHeight="1">
      <c r="A281" t="str">
        <f>"10512020072612574729148"</f>
        <v>10512020072612574729148</v>
      </c>
      <c r="B281" t="s">
        <v>8</v>
      </c>
      <c r="C281" t="str">
        <f>"覃子耀"</f>
        <v>覃子耀</v>
      </c>
      <c r="D281" t="str">
        <f>"男"</f>
        <v>男</v>
      </c>
    </row>
    <row r="282" spans="1:4" ht="24" customHeight="1">
      <c r="A282" t="str">
        <f>"10512020072612591429149"</f>
        <v>10512020072612591429149</v>
      </c>
      <c r="B282" t="s">
        <v>48</v>
      </c>
      <c r="C282" t="str">
        <f>"陈武"</f>
        <v>陈武</v>
      </c>
      <c r="D282" t="str">
        <f>"男"</f>
        <v>男</v>
      </c>
    </row>
    <row r="283" spans="1:4" ht="24" customHeight="1">
      <c r="A283" t="str">
        <f>"10512020072612591729150"</f>
        <v>10512020072612591729150</v>
      </c>
      <c r="B283" t="s">
        <v>43</v>
      </c>
      <c r="C283" t="str">
        <f>"陈银"</f>
        <v>陈银</v>
      </c>
      <c r="D283" t="str">
        <f>"女"</f>
        <v>女</v>
      </c>
    </row>
    <row r="284" spans="1:4" ht="24" customHeight="1">
      <c r="A284" t="str">
        <f>"10512020072613022629151"</f>
        <v>10512020072613022629151</v>
      </c>
      <c r="B284" t="s">
        <v>37</v>
      </c>
      <c r="C284" t="str">
        <f>"余军"</f>
        <v>余军</v>
      </c>
      <c r="D284" t="str">
        <f>"男"</f>
        <v>男</v>
      </c>
    </row>
    <row r="285" spans="1:4" ht="24" customHeight="1">
      <c r="A285" t="str">
        <f>"10512020072613062529152"</f>
        <v>10512020072613062529152</v>
      </c>
      <c r="B285" t="s">
        <v>5</v>
      </c>
      <c r="C285" t="str">
        <f>"葛敏"</f>
        <v>葛敏</v>
      </c>
      <c r="D285" t="str">
        <f>"男"</f>
        <v>男</v>
      </c>
    </row>
    <row r="286" spans="1:4" ht="24" customHeight="1">
      <c r="A286" t="str">
        <f>"10512020072613070929153"</f>
        <v>10512020072613070929153</v>
      </c>
      <c r="B286" t="s">
        <v>38</v>
      </c>
      <c r="C286" t="str">
        <f>"樊晨曲"</f>
        <v>樊晨曲</v>
      </c>
      <c r="D286" t="str">
        <f>"男"</f>
        <v>男</v>
      </c>
    </row>
    <row r="287" spans="1:4" ht="24" customHeight="1">
      <c r="A287" t="str">
        <f>"10512020072613082129154"</f>
        <v>10512020072613082129154</v>
      </c>
      <c r="B287" t="s">
        <v>16</v>
      </c>
      <c r="C287" t="str">
        <f>"文良州"</f>
        <v>文良州</v>
      </c>
      <c r="D287" t="str">
        <f>"男"</f>
        <v>男</v>
      </c>
    </row>
    <row r="288" spans="1:4" ht="24" customHeight="1">
      <c r="A288" t="str">
        <f>"10512020072613111229155"</f>
        <v>10512020072613111229155</v>
      </c>
      <c r="B288" t="s">
        <v>13</v>
      </c>
      <c r="C288" t="str">
        <f>"周梦雪"</f>
        <v>周梦雪</v>
      </c>
      <c r="D288" t="str">
        <f>"女"</f>
        <v>女</v>
      </c>
    </row>
    <row r="289" spans="1:4" ht="24" customHeight="1">
      <c r="A289" t="str">
        <f>"10512020072613205429156"</f>
        <v>10512020072613205429156</v>
      </c>
      <c r="B289" t="s">
        <v>5</v>
      </c>
      <c r="C289" t="str">
        <f>"欧金壁"</f>
        <v>欧金壁</v>
      </c>
      <c r="D289" t="str">
        <f>"男"</f>
        <v>男</v>
      </c>
    </row>
    <row r="290" spans="1:4" ht="24" customHeight="1">
      <c r="A290" t="str">
        <f>"10512020072613233729157"</f>
        <v>10512020072613233729157</v>
      </c>
      <c r="B290" t="s">
        <v>10</v>
      </c>
      <c r="C290" t="str">
        <f>"吕泓剑"</f>
        <v>吕泓剑</v>
      </c>
      <c r="D290" t="str">
        <f>"男"</f>
        <v>男</v>
      </c>
    </row>
    <row r="291" spans="1:4" ht="24" customHeight="1">
      <c r="A291" t="str">
        <f>"10512020072613234329158"</f>
        <v>10512020072613234329158</v>
      </c>
      <c r="B291" t="s">
        <v>7</v>
      </c>
      <c r="C291" t="str">
        <f>"陈冰茹"</f>
        <v>陈冰茹</v>
      </c>
      <c r="D291" t="str">
        <f>"女"</f>
        <v>女</v>
      </c>
    </row>
    <row r="292" spans="1:4" ht="24" customHeight="1">
      <c r="A292" t="str">
        <f>"10512020072613244529159"</f>
        <v>10512020072613244529159</v>
      </c>
      <c r="B292" t="s">
        <v>20</v>
      </c>
      <c r="C292" t="str">
        <f>"黄凌枫"</f>
        <v>黄凌枫</v>
      </c>
      <c r="D292" t="str">
        <f>"男"</f>
        <v>男</v>
      </c>
    </row>
    <row r="293" spans="1:4" ht="24" customHeight="1">
      <c r="A293" t="str">
        <f>"10512020072613324729160"</f>
        <v>10512020072613324729160</v>
      </c>
      <c r="B293" t="s">
        <v>6</v>
      </c>
      <c r="C293" t="str">
        <f>"卜可"</f>
        <v>卜可</v>
      </c>
      <c r="D293" t="str">
        <f>"女"</f>
        <v>女</v>
      </c>
    </row>
    <row r="294" spans="1:4" ht="24" customHeight="1">
      <c r="A294" t="str">
        <f>"10512020072613325129161"</f>
        <v>10512020072613325129161</v>
      </c>
      <c r="B294" t="s">
        <v>17</v>
      </c>
      <c r="C294" t="str">
        <f>"刘望"</f>
        <v>刘望</v>
      </c>
      <c r="D294" t="str">
        <f>"女"</f>
        <v>女</v>
      </c>
    </row>
    <row r="295" spans="1:4" ht="24" customHeight="1">
      <c r="A295" t="str">
        <f>"10512020072613351029162"</f>
        <v>10512020072613351029162</v>
      </c>
      <c r="B295" t="s">
        <v>48</v>
      </c>
      <c r="C295" t="str">
        <f>"吴立军"</f>
        <v>吴立军</v>
      </c>
      <c r="D295" t="str">
        <f>"男"</f>
        <v>男</v>
      </c>
    </row>
    <row r="296" spans="1:4" ht="24" customHeight="1">
      <c r="A296" t="str">
        <f>"10512020072613353929164"</f>
        <v>10512020072613353929164</v>
      </c>
      <c r="B296" t="s">
        <v>36</v>
      </c>
      <c r="C296" t="str">
        <f>"杨悦"</f>
        <v>杨悦</v>
      </c>
      <c r="D296" t="str">
        <f>"女"</f>
        <v>女</v>
      </c>
    </row>
    <row r="297" spans="1:4" ht="24" customHeight="1">
      <c r="A297" t="str">
        <f>"10512020072613354829165"</f>
        <v>10512020072613354829165</v>
      </c>
      <c r="B297" t="s">
        <v>7</v>
      </c>
      <c r="C297" t="str">
        <f>"海原"</f>
        <v>海原</v>
      </c>
      <c r="D297" t="str">
        <f>"男"</f>
        <v>男</v>
      </c>
    </row>
    <row r="298" spans="1:4" ht="24" customHeight="1">
      <c r="A298" t="str">
        <f>"10512020072613355829166"</f>
        <v>10512020072613355829166</v>
      </c>
      <c r="B298" t="s">
        <v>18</v>
      </c>
      <c r="C298" t="str">
        <f>"金凌霄"</f>
        <v>金凌霄</v>
      </c>
      <c r="D298" t="str">
        <f>"男"</f>
        <v>男</v>
      </c>
    </row>
    <row r="299" spans="1:4" ht="24" customHeight="1">
      <c r="A299" t="str">
        <f>"10512020072613421829167"</f>
        <v>10512020072613421829167</v>
      </c>
      <c r="B299" t="s">
        <v>26</v>
      </c>
      <c r="C299" t="str">
        <f>"张小芸"</f>
        <v>张小芸</v>
      </c>
      <c r="D299" t="str">
        <f>"女"</f>
        <v>女</v>
      </c>
    </row>
    <row r="300" spans="1:4" ht="24" customHeight="1">
      <c r="A300" t="str">
        <f>"10512020072613460429168"</f>
        <v>10512020072613460429168</v>
      </c>
      <c r="B300" t="s">
        <v>14</v>
      </c>
      <c r="C300" t="str">
        <f>"郭奕伶"</f>
        <v>郭奕伶</v>
      </c>
      <c r="D300" t="str">
        <f>"女"</f>
        <v>女</v>
      </c>
    </row>
    <row r="301" spans="1:4" ht="24" customHeight="1">
      <c r="A301" t="str">
        <f>"10512020072613472329169"</f>
        <v>10512020072613472329169</v>
      </c>
      <c r="B301" t="s">
        <v>28</v>
      </c>
      <c r="C301" t="str">
        <f>"刘昌东"</f>
        <v>刘昌东</v>
      </c>
      <c r="D301" t="str">
        <f>"男"</f>
        <v>男</v>
      </c>
    </row>
    <row r="302" spans="1:4" ht="24" customHeight="1">
      <c r="A302" t="str">
        <f>"10512020072613482229170"</f>
        <v>10512020072613482229170</v>
      </c>
      <c r="B302" t="s">
        <v>33</v>
      </c>
      <c r="C302" t="str">
        <f>"谢胡澳"</f>
        <v>谢胡澳</v>
      </c>
      <c r="D302" t="str">
        <f>"男"</f>
        <v>男</v>
      </c>
    </row>
    <row r="303" spans="1:4" ht="24" customHeight="1">
      <c r="A303" t="str">
        <f>"10512020072613485729171"</f>
        <v>10512020072613485729171</v>
      </c>
      <c r="B303" t="s">
        <v>7</v>
      </c>
      <c r="C303" t="str">
        <f>"李沙"</f>
        <v>李沙</v>
      </c>
      <c r="D303" t="str">
        <f>"女"</f>
        <v>女</v>
      </c>
    </row>
    <row r="304" spans="1:4" ht="24" customHeight="1">
      <c r="A304" t="str">
        <f>"10512020072613501129172"</f>
        <v>10512020072613501129172</v>
      </c>
      <c r="B304" t="s">
        <v>16</v>
      </c>
      <c r="C304" t="str">
        <f>"张智"</f>
        <v>张智</v>
      </c>
      <c r="D304" t="str">
        <f>"男"</f>
        <v>男</v>
      </c>
    </row>
    <row r="305" spans="1:4" ht="24" customHeight="1">
      <c r="A305" t="str">
        <f>"10512020072613524829173"</f>
        <v>10512020072613524829173</v>
      </c>
      <c r="B305" t="s">
        <v>13</v>
      </c>
      <c r="C305" t="str">
        <f>"陈依洁"</f>
        <v>陈依洁</v>
      </c>
      <c r="D305" t="str">
        <f>"女"</f>
        <v>女</v>
      </c>
    </row>
    <row r="306" spans="1:4" ht="24" customHeight="1">
      <c r="A306" t="str">
        <f>"10512020072613534529174"</f>
        <v>10512020072613534529174</v>
      </c>
      <c r="B306" t="s">
        <v>11</v>
      </c>
      <c r="C306" t="str">
        <f>"尚懿"</f>
        <v>尚懿</v>
      </c>
      <c r="D306" t="str">
        <f>"男"</f>
        <v>男</v>
      </c>
    </row>
    <row r="307" spans="1:4" ht="24" customHeight="1">
      <c r="A307" t="str">
        <f>"10512020072613553329175"</f>
        <v>10512020072613553329175</v>
      </c>
      <c r="B307" t="s">
        <v>11</v>
      </c>
      <c r="C307" t="str">
        <f>"欧顾文"</f>
        <v>欧顾文</v>
      </c>
      <c r="D307" t="str">
        <f>"男"</f>
        <v>男</v>
      </c>
    </row>
    <row r="308" spans="1:4" ht="24" customHeight="1">
      <c r="A308" t="str">
        <f>"10512020072613591429176"</f>
        <v>10512020072613591429176</v>
      </c>
      <c r="B308" t="s">
        <v>25</v>
      </c>
      <c r="C308" t="str">
        <f>"周昊馨"</f>
        <v>周昊馨</v>
      </c>
      <c r="D308" t="str">
        <f>"女"</f>
        <v>女</v>
      </c>
    </row>
    <row r="309" spans="1:4" ht="24" customHeight="1">
      <c r="A309" t="str">
        <f>"10512020072614005829177"</f>
        <v>10512020072614005829177</v>
      </c>
      <c r="B309" t="s">
        <v>16</v>
      </c>
      <c r="C309" t="str">
        <f>"梁意鑫"</f>
        <v>梁意鑫</v>
      </c>
      <c r="D309" t="str">
        <f>"男"</f>
        <v>男</v>
      </c>
    </row>
    <row r="310" spans="1:4" ht="24" customHeight="1">
      <c r="A310" t="str">
        <f>"10512020072614010229178"</f>
        <v>10512020072614010229178</v>
      </c>
      <c r="B310" t="s">
        <v>21</v>
      </c>
      <c r="C310" t="str">
        <f>"陈敬宇"</f>
        <v>陈敬宇</v>
      </c>
      <c r="D310" t="str">
        <f>"男"</f>
        <v>男</v>
      </c>
    </row>
    <row r="311" spans="1:4" ht="24" customHeight="1">
      <c r="A311" t="str">
        <f>"10512020072614022529179"</f>
        <v>10512020072614022529179</v>
      </c>
      <c r="B311" t="s">
        <v>20</v>
      </c>
      <c r="C311" t="str">
        <f>"熊悠然"</f>
        <v>熊悠然</v>
      </c>
      <c r="D311" t="str">
        <f>"男"</f>
        <v>男</v>
      </c>
    </row>
    <row r="312" spans="1:4" ht="24" customHeight="1">
      <c r="A312" t="str">
        <f>"10512020072614035129180"</f>
        <v>10512020072614035129180</v>
      </c>
      <c r="B312" t="s">
        <v>50</v>
      </c>
      <c r="C312" t="str">
        <f>"于红"</f>
        <v>于红</v>
      </c>
      <c r="D312" t="str">
        <f>"女"</f>
        <v>女</v>
      </c>
    </row>
    <row r="313" spans="1:4" ht="24" customHeight="1">
      <c r="A313" t="str">
        <f>"10512020072614100929181"</f>
        <v>10512020072614100929181</v>
      </c>
      <c r="B313" t="s">
        <v>6</v>
      </c>
      <c r="C313" t="str">
        <f>"李振宇"</f>
        <v>李振宇</v>
      </c>
      <c r="D313" t="str">
        <f>"男"</f>
        <v>男</v>
      </c>
    </row>
    <row r="314" spans="1:4" ht="24" customHeight="1">
      <c r="A314" t="str">
        <f>"10512020072614124129182"</f>
        <v>10512020072614124129182</v>
      </c>
      <c r="B314" t="s">
        <v>7</v>
      </c>
      <c r="C314" t="str">
        <f>"伍亚玲"</f>
        <v>伍亚玲</v>
      </c>
      <c r="D314" t="str">
        <f>"女"</f>
        <v>女</v>
      </c>
    </row>
    <row r="315" spans="1:4" ht="24" customHeight="1">
      <c r="A315" t="str">
        <f>"10512020072614172829183"</f>
        <v>10512020072614172829183</v>
      </c>
      <c r="B315" t="s">
        <v>17</v>
      </c>
      <c r="C315" t="str">
        <f>"邵思颖"</f>
        <v>邵思颖</v>
      </c>
      <c r="D315" t="str">
        <f>"女"</f>
        <v>女</v>
      </c>
    </row>
    <row r="316" spans="1:4" ht="24" customHeight="1">
      <c r="A316" t="str">
        <f>"10512020072614190329184"</f>
        <v>10512020072614190329184</v>
      </c>
      <c r="B316" t="s">
        <v>6</v>
      </c>
      <c r="C316" t="str">
        <f>"吴亚阑"</f>
        <v>吴亚阑</v>
      </c>
      <c r="D316" t="str">
        <f>"女"</f>
        <v>女</v>
      </c>
    </row>
    <row r="317" spans="1:4" ht="24" customHeight="1">
      <c r="A317" t="str">
        <f>"10512020072614191929185"</f>
        <v>10512020072614191929185</v>
      </c>
      <c r="B317" t="s">
        <v>29</v>
      </c>
      <c r="C317" t="str">
        <f>"傅莹莹"</f>
        <v>傅莹莹</v>
      </c>
      <c r="D317" t="str">
        <f>"女"</f>
        <v>女</v>
      </c>
    </row>
    <row r="318" spans="1:4" ht="24" customHeight="1">
      <c r="A318" t="str">
        <f>"10512020072614222329186"</f>
        <v>10512020072614222329186</v>
      </c>
      <c r="B318" t="s">
        <v>31</v>
      </c>
      <c r="C318" t="str">
        <f>"罗雨娟"</f>
        <v>罗雨娟</v>
      </c>
      <c r="D318" t="str">
        <f>"女"</f>
        <v>女</v>
      </c>
    </row>
    <row r="319" spans="1:4" ht="24" customHeight="1">
      <c r="A319" t="str">
        <f>"10512020072614241729187"</f>
        <v>10512020072614241729187</v>
      </c>
      <c r="B319" t="s">
        <v>23</v>
      </c>
      <c r="C319" t="str">
        <f>"袁振华"</f>
        <v>袁振华</v>
      </c>
      <c r="D319" t="str">
        <f>"男"</f>
        <v>男</v>
      </c>
    </row>
    <row r="320" spans="1:4" ht="24" customHeight="1">
      <c r="A320" t="str">
        <f>"10512020072614292129188"</f>
        <v>10512020072614292129188</v>
      </c>
      <c r="B320" t="s">
        <v>28</v>
      </c>
      <c r="C320" t="str">
        <f>"孙静容"</f>
        <v>孙静容</v>
      </c>
      <c r="D320" t="str">
        <f t="shared" ref="D320:D326" si="3">"女"</f>
        <v>女</v>
      </c>
    </row>
    <row r="321" spans="1:4" ht="24" customHeight="1">
      <c r="A321" t="str">
        <f>"10512020072614305329189"</f>
        <v>10512020072614305329189</v>
      </c>
      <c r="B321" t="s">
        <v>38</v>
      </c>
      <c r="C321" t="str">
        <f>"倪林"</f>
        <v>倪林</v>
      </c>
      <c r="D321" t="str">
        <f t="shared" si="3"/>
        <v>女</v>
      </c>
    </row>
    <row r="322" spans="1:4" ht="24" customHeight="1">
      <c r="A322" t="str">
        <f>"10512020072614313729190"</f>
        <v>10512020072614313729190</v>
      </c>
      <c r="B322" t="s">
        <v>18</v>
      </c>
      <c r="C322" t="str">
        <f>"黄惠琪"</f>
        <v>黄惠琪</v>
      </c>
      <c r="D322" t="str">
        <f t="shared" si="3"/>
        <v>女</v>
      </c>
    </row>
    <row r="323" spans="1:4" ht="24" customHeight="1">
      <c r="A323" t="str">
        <f>"10512020072614442729191"</f>
        <v>10512020072614442729191</v>
      </c>
      <c r="B323" t="s">
        <v>30</v>
      </c>
      <c r="C323" t="str">
        <f>"周维"</f>
        <v>周维</v>
      </c>
      <c r="D323" t="str">
        <f t="shared" si="3"/>
        <v>女</v>
      </c>
    </row>
    <row r="324" spans="1:4" ht="24" customHeight="1">
      <c r="A324" t="str">
        <f>"10512020072614454629192"</f>
        <v>10512020072614454629192</v>
      </c>
      <c r="B324" t="s">
        <v>6</v>
      </c>
      <c r="C324" t="str">
        <f>"吴文扬"</f>
        <v>吴文扬</v>
      </c>
      <c r="D324" t="str">
        <f t="shared" si="3"/>
        <v>女</v>
      </c>
    </row>
    <row r="325" spans="1:4" ht="24" customHeight="1">
      <c r="A325" t="str">
        <f>"10512020072614472729193"</f>
        <v>10512020072614472729193</v>
      </c>
      <c r="B325" t="s">
        <v>51</v>
      </c>
      <c r="C325" t="str">
        <f>"周芬"</f>
        <v>周芬</v>
      </c>
      <c r="D325" t="str">
        <f t="shared" si="3"/>
        <v>女</v>
      </c>
    </row>
    <row r="326" spans="1:4" ht="24" customHeight="1">
      <c r="A326" t="str">
        <f>"10512020072614475829194"</f>
        <v>10512020072614475829194</v>
      </c>
      <c r="B326" t="s">
        <v>6</v>
      </c>
      <c r="C326" t="str">
        <f>"黄丽华"</f>
        <v>黄丽华</v>
      </c>
      <c r="D326" t="str">
        <f t="shared" si="3"/>
        <v>女</v>
      </c>
    </row>
    <row r="327" spans="1:4" ht="24" customHeight="1">
      <c r="A327" t="str">
        <f>"10512020072614481029195"</f>
        <v>10512020072614481029195</v>
      </c>
      <c r="B327" t="s">
        <v>12</v>
      </c>
      <c r="C327" t="str">
        <f>"袁帅"</f>
        <v>袁帅</v>
      </c>
      <c r="D327" t="str">
        <f>"男"</f>
        <v>男</v>
      </c>
    </row>
    <row r="328" spans="1:4" ht="24" customHeight="1">
      <c r="A328" t="str">
        <f>"10512020072614481229196"</f>
        <v>10512020072614481229196</v>
      </c>
      <c r="B328" t="s">
        <v>11</v>
      </c>
      <c r="C328" t="str">
        <f>"陈菲"</f>
        <v>陈菲</v>
      </c>
      <c r="D328" t="str">
        <f>"女"</f>
        <v>女</v>
      </c>
    </row>
    <row r="329" spans="1:4" ht="24" customHeight="1">
      <c r="A329" t="str">
        <f>"10512020072614501529197"</f>
        <v>10512020072614501529197</v>
      </c>
      <c r="B329" t="s">
        <v>21</v>
      </c>
      <c r="C329" t="str">
        <f>"宋俊夫"</f>
        <v>宋俊夫</v>
      </c>
      <c r="D329" t="str">
        <f>"男"</f>
        <v>男</v>
      </c>
    </row>
    <row r="330" spans="1:4" ht="24" customHeight="1">
      <c r="A330" t="str">
        <f>"10512020072614533329198"</f>
        <v>10512020072614533329198</v>
      </c>
      <c r="B330" t="s">
        <v>13</v>
      </c>
      <c r="C330" t="str">
        <f>"罗磊"</f>
        <v>罗磊</v>
      </c>
      <c r="D330" t="str">
        <f>"男"</f>
        <v>男</v>
      </c>
    </row>
    <row r="331" spans="1:4" ht="24" customHeight="1">
      <c r="A331" t="str">
        <f>"10512020072614563029199"</f>
        <v>10512020072614563029199</v>
      </c>
      <c r="B331" t="s">
        <v>21</v>
      </c>
      <c r="C331" t="str">
        <f>"唐志蓉"</f>
        <v>唐志蓉</v>
      </c>
      <c r="D331" t="str">
        <f t="shared" ref="D331:D339" si="4">"女"</f>
        <v>女</v>
      </c>
    </row>
    <row r="332" spans="1:4" ht="24" customHeight="1">
      <c r="A332" t="str">
        <f>"10512020072614580629200"</f>
        <v>10512020072614580629200</v>
      </c>
      <c r="B332" t="s">
        <v>9</v>
      </c>
      <c r="C332" t="str">
        <f>"文斯兰"</f>
        <v>文斯兰</v>
      </c>
      <c r="D332" t="str">
        <f t="shared" si="4"/>
        <v>女</v>
      </c>
    </row>
    <row r="333" spans="1:4" ht="24" customHeight="1">
      <c r="A333" t="str">
        <f>"10512020072614592229201"</f>
        <v>10512020072614592229201</v>
      </c>
      <c r="B333" t="s">
        <v>52</v>
      </c>
      <c r="C333" t="str">
        <f>"欧雯"</f>
        <v>欧雯</v>
      </c>
      <c r="D333" t="str">
        <f t="shared" si="4"/>
        <v>女</v>
      </c>
    </row>
    <row r="334" spans="1:4" ht="24" customHeight="1">
      <c r="A334" t="str">
        <f>"10512020072615023929203"</f>
        <v>10512020072615023929203</v>
      </c>
      <c r="B334" t="s">
        <v>17</v>
      </c>
      <c r="C334" t="str">
        <f>"万俊霖"</f>
        <v>万俊霖</v>
      </c>
      <c r="D334" t="str">
        <f t="shared" si="4"/>
        <v>女</v>
      </c>
    </row>
    <row r="335" spans="1:4" ht="24" customHeight="1">
      <c r="A335" t="str">
        <f>"10512020072615062629204"</f>
        <v>10512020072615062629204</v>
      </c>
      <c r="B335" t="s">
        <v>8</v>
      </c>
      <c r="C335" t="str">
        <f>"吴敏"</f>
        <v>吴敏</v>
      </c>
      <c r="D335" t="str">
        <f t="shared" si="4"/>
        <v>女</v>
      </c>
    </row>
    <row r="336" spans="1:4" ht="24" customHeight="1">
      <c r="A336" t="str">
        <f>"10512020072615093729205"</f>
        <v>10512020072615093729205</v>
      </c>
      <c r="B336" t="s">
        <v>14</v>
      </c>
      <c r="C336" t="str">
        <f>"申卓弘"</f>
        <v>申卓弘</v>
      </c>
      <c r="D336" t="str">
        <f t="shared" si="4"/>
        <v>女</v>
      </c>
    </row>
    <row r="337" spans="1:4" ht="24" customHeight="1">
      <c r="A337" t="str">
        <f>"10512020072615100629206"</f>
        <v>10512020072615100629206</v>
      </c>
      <c r="B337" t="s">
        <v>33</v>
      </c>
      <c r="C337" t="str">
        <f>"葛辉"</f>
        <v>葛辉</v>
      </c>
      <c r="D337" t="str">
        <f t="shared" si="4"/>
        <v>女</v>
      </c>
    </row>
    <row r="338" spans="1:4" ht="24" customHeight="1">
      <c r="A338" t="str">
        <f>"10512020072615111329207"</f>
        <v>10512020072615111329207</v>
      </c>
      <c r="B338" t="s">
        <v>31</v>
      </c>
      <c r="C338" t="str">
        <f>"刘倩倩"</f>
        <v>刘倩倩</v>
      </c>
      <c r="D338" t="str">
        <f t="shared" si="4"/>
        <v>女</v>
      </c>
    </row>
    <row r="339" spans="1:4" ht="24" customHeight="1">
      <c r="A339" t="str">
        <f>"10512020072615152529208"</f>
        <v>10512020072615152529208</v>
      </c>
      <c r="B339" t="s">
        <v>31</v>
      </c>
      <c r="C339" t="str">
        <f>"万思琪"</f>
        <v>万思琪</v>
      </c>
      <c r="D339" t="str">
        <f t="shared" si="4"/>
        <v>女</v>
      </c>
    </row>
    <row r="340" spans="1:4" ht="24" customHeight="1">
      <c r="A340" t="str">
        <f>"10512020072615152629209"</f>
        <v>10512020072615152629209</v>
      </c>
      <c r="B340" t="s">
        <v>31</v>
      </c>
      <c r="C340" t="str">
        <f>"阳正宇"</f>
        <v>阳正宇</v>
      </c>
      <c r="D340" t="str">
        <f t="shared" ref="D340:D345" si="5">"男"</f>
        <v>男</v>
      </c>
    </row>
    <row r="341" spans="1:4" ht="24" customHeight="1">
      <c r="A341" t="str">
        <f>"10512020072615160329210"</f>
        <v>10512020072615160329210</v>
      </c>
      <c r="B341" t="s">
        <v>21</v>
      </c>
      <c r="C341" t="str">
        <f>"曹汝汐"</f>
        <v>曹汝汐</v>
      </c>
      <c r="D341" t="str">
        <f t="shared" si="5"/>
        <v>男</v>
      </c>
    </row>
    <row r="342" spans="1:4" ht="24" customHeight="1">
      <c r="A342" t="str">
        <f>"10512020072615160529211"</f>
        <v>10512020072615160529211</v>
      </c>
      <c r="B342" t="s">
        <v>5</v>
      </c>
      <c r="C342" t="str">
        <f>"周亦陶"</f>
        <v>周亦陶</v>
      </c>
      <c r="D342" t="str">
        <f t="shared" si="5"/>
        <v>男</v>
      </c>
    </row>
    <row r="343" spans="1:4" ht="24" customHeight="1">
      <c r="A343" t="str">
        <f>"10512020072615173129212"</f>
        <v>10512020072615173129212</v>
      </c>
      <c r="B343" t="s">
        <v>8</v>
      </c>
      <c r="C343" t="str">
        <f>"汪文东"</f>
        <v>汪文东</v>
      </c>
      <c r="D343" t="str">
        <f t="shared" si="5"/>
        <v>男</v>
      </c>
    </row>
    <row r="344" spans="1:4" ht="24" customHeight="1">
      <c r="A344" t="str">
        <f>"10512020072615185129213"</f>
        <v>10512020072615185129213</v>
      </c>
      <c r="B344" t="s">
        <v>53</v>
      </c>
      <c r="C344" t="str">
        <f>"刘铭"</f>
        <v>刘铭</v>
      </c>
      <c r="D344" t="str">
        <f t="shared" si="5"/>
        <v>男</v>
      </c>
    </row>
    <row r="345" spans="1:4" ht="24" customHeight="1">
      <c r="A345" t="str">
        <f>"10512020072615191129214"</f>
        <v>10512020072615191129214</v>
      </c>
      <c r="B345" t="s">
        <v>24</v>
      </c>
      <c r="C345" t="str">
        <f>"庞纪文"</f>
        <v>庞纪文</v>
      </c>
      <c r="D345" t="str">
        <f t="shared" si="5"/>
        <v>男</v>
      </c>
    </row>
    <row r="346" spans="1:4" ht="24" customHeight="1">
      <c r="A346" t="str">
        <f>"10512020072615211129215"</f>
        <v>10512020072615211129215</v>
      </c>
      <c r="B346" t="s">
        <v>17</v>
      </c>
      <c r="C346" t="str">
        <f>"黄晶晶"</f>
        <v>黄晶晶</v>
      </c>
      <c r="D346" t="str">
        <f>"女"</f>
        <v>女</v>
      </c>
    </row>
    <row r="347" spans="1:4" ht="24" customHeight="1">
      <c r="A347" t="str">
        <f>"10512020072615223429216"</f>
        <v>10512020072615223429216</v>
      </c>
      <c r="B347" t="s">
        <v>26</v>
      </c>
      <c r="C347" t="str">
        <f>"彭珊"</f>
        <v>彭珊</v>
      </c>
      <c r="D347" t="str">
        <f>"女"</f>
        <v>女</v>
      </c>
    </row>
    <row r="348" spans="1:4" ht="24" customHeight="1">
      <c r="A348" t="str">
        <f>"10512020072615230229217"</f>
        <v>10512020072615230229217</v>
      </c>
      <c r="B348" t="s">
        <v>15</v>
      </c>
      <c r="C348" t="str">
        <f>"李锋"</f>
        <v>李锋</v>
      </c>
      <c r="D348" t="str">
        <f>"男"</f>
        <v>男</v>
      </c>
    </row>
    <row r="349" spans="1:4" ht="24" customHeight="1">
      <c r="A349" t="str">
        <f>"10512020072615234629218"</f>
        <v>10512020072615234629218</v>
      </c>
      <c r="B349" t="s">
        <v>27</v>
      </c>
      <c r="C349" t="str">
        <f>"彭慧英"</f>
        <v>彭慧英</v>
      </c>
      <c r="D349" t="str">
        <f>"女"</f>
        <v>女</v>
      </c>
    </row>
    <row r="350" spans="1:4" ht="24" customHeight="1">
      <c r="A350" t="str">
        <f>"10512020072615235029219"</f>
        <v>10512020072615235029219</v>
      </c>
      <c r="B350" t="s">
        <v>8</v>
      </c>
      <c r="C350" t="str">
        <f>"李进"</f>
        <v>李进</v>
      </c>
      <c r="D350" t="str">
        <f>"男"</f>
        <v>男</v>
      </c>
    </row>
    <row r="351" spans="1:4" ht="24" customHeight="1">
      <c r="A351" t="str">
        <f>"10512020072615240929220"</f>
        <v>10512020072615240929220</v>
      </c>
      <c r="B351" t="s">
        <v>6</v>
      </c>
      <c r="C351" t="str">
        <f>"袁淑蕾"</f>
        <v>袁淑蕾</v>
      </c>
      <c r="D351" t="str">
        <f t="shared" ref="D351:D357" si="6">"女"</f>
        <v>女</v>
      </c>
    </row>
    <row r="352" spans="1:4" ht="24" customHeight="1">
      <c r="A352" t="str">
        <f>"10512020072615243729221"</f>
        <v>10512020072615243729221</v>
      </c>
      <c r="B352" t="s">
        <v>10</v>
      </c>
      <c r="C352" t="str">
        <f>"潘婵"</f>
        <v>潘婵</v>
      </c>
      <c r="D352" t="str">
        <f t="shared" si="6"/>
        <v>女</v>
      </c>
    </row>
    <row r="353" spans="1:4" ht="24" customHeight="1">
      <c r="A353" t="str">
        <f>"10512020072615272129222"</f>
        <v>10512020072615272129222</v>
      </c>
      <c r="B353" t="s">
        <v>13</v>
      </c>
      <c r="C353" t="str">
        <f>"何璟雯"</f>
        <v>何璟雯</v>
      </c>
      <c r="D353" t="str">
        <f t="shared" si="6"/>
        <v>女</v>
      </c>
    </row>
    <row r="354" spans="1:4" ht="24" customHeight="1">
      <c r="A354" t="str">
        <f>"10512020072615282229223"</f>
        <v>10512020072615282229223</v>
      </c>
      <c r="B354" t="s">
        <v>9</v>
      </c>
      <c r="C354" t="str">
        <f>"朱蓝星"</f>
        <v>朱蓝星</v>
      </c>
      <c r="D354" t="str">
        <f t="shared" si="6"/>
        <v>女</v>
      </c>
    </row>
    <row r="355" spans="1:4" ht="24" customHeight="1">
      <c r="A355" t="str">
        <f>"10512020072615292829224"</f>
        <v>10512020072615292829224</v>
      </c>
      <c r="B355" t="s">
        <v>5</v>
      </c>
      <c r="C355" t="str">
        <f>"孙丽芳"</f>
        <v>孙丽芳</v>
      </c>
      <c r="D355" t="str">
        <f t="shared" si="6"/>
        <v>女</v>
      </c>
    </row>
    <row r="356" spans="1:4" ht="24" customHeight="1">
      <c r="A356" t="str">
        <f>"10512020072615312429225"</f>
        <v>10512020072615312429225</v>
      </c>
      <c r="B356" t="s">
        <v>14</v>
      </c>
      <c r="C356" t="str">
        <f>"鲁玉"</f>
        <v>鲁玉</v>
      </c>
      <c r="D356" t="str">
        <f t="shared" si="6"/>
        <v>女</v>
      </c>
    </row>
    <row r="357" spans="1:4" ht="24" customHeight="1">
      <c r="A357" t="str">
        <f>"10512020072615321829226"</f>
        <v>10512020072615321829226</v>
      </c>
      <c r="B357" t="s">
        <v>13</v>
      </c>
      <c r="C357" t="str">
        <f>"郭晨"</f>
        <v>郭晨</v>
      </c>
      <c r="D357" t="str">
        <f t="shared" si="6"/>
        <v>女</v>
      </c>
    </row>
    <row r="358" spans="1:4" ht="24" customHeight="1">
      <c r="A358" t="str">
        <f>"10512020072615382529227"</f>
        <v>10512020072615382529227</v>
      </c>
      <c r="B358" t="s">
        <v>50</v>
      </c>
      <c r="C358" t="str">
        <f>"官远归"</f>
        <v>官远归</v>
      </c>
      <c r="D358" t="str">
        <f>"男"</f>
        <v>男</v>
      </c>
    </row>
    <row r="359" spans="1:4" ht="24" customHeight="1">
      <c r="A359" t="str">
        <f>"10512020072615384529228"</f>
        <v>10512020072615384529228</v>
      </c>
      <c r="B359" t="s">
        <v>13</v>
      </c>
      <c r="C359" t="str">
        <f>"汪雅倩"</f>
        <v>汪雅倩</v>
      </c>
      <c r="D359" t="str">
        <f>"女"</f>
        <v>女</v>
      </c>
    </row>
    <row r="360" spans="1:4" ht="24" customHeight="1">
      <c r="A360" t="str">
        <f>"10512020072615431529231"</f>
        <v>10512020072615431529231</v>
      </c>
      <c r="B360" t="s">
        <v>13</v>
      </c>
      <c r="C360" t="str">
        <f>"胡焕琪"</f>
        <v>胡焕琪</v>
      </c>
      <c r="D360" t="str">
        <f>"男"</f>
        <v>男</v>
      </c>
    </row>
    <row r="361" spans="1:4" ht="24" customHeight="1">
      <c r="A361" t="str">
        <f>"10512020072615434129232"</f>
        <v>10512020072615434129232</v>
      </c>
      <c r="B361" t="s">
        <v>10</v>
      </c>
      <c r="C361" t="str">
        <f>"万震"</f>
        <v>万震</v>
      </c>
      <c r="D361" t="str">
        <f>"男"</f>
        <v>男</v>
      </c>
    </row>
    <row r="362" spans="1:4" ht="24" customHeight="1">
      <c r="A362" t="str">
        <f>"10512020072615441229234"</f>
        <v>10512020072615441229234</v>
      </c>
      <c r="B362" t="s">
        <v>6</v>
      </c>
      <c r="C362" t="str">
        <f>"关俊"</f>
        <v>关俊</v>
      </c>
      <c r="D362" t="str">
        <f>"男"</f>
        <v>男</v>
      </c>
    </row>
    <row r="363" spans="1:4" ht="24" customHeight="1">
      <c r="A363" t="str">
        <f>"10512020072615454729235"</f>
        <v>10512020072615454729235</v>
      </c>
      <c r="B363" t="s">
        <v>33</v>
      </c>
      <c r="C363" t="str">
        <f>"卜雪"</f>
        <v>卜雪</v>
      </c>
      <c r="D363" t="str">
        <f>"女"</f>
        <v>女</v>
      </c>
    </row>
    <row r="364" spans="1:4" ht="24" customHeight="1">
      <c r="A364" t="str">
        <f>"10512020072615464329236"</f>
        <v>10512020072615464329236</v>
      </c>
      <c r="B364" t="s">
        <v>35</v>
      </c>
      <c r="C364" t="str">
        <f>"赵帆"</f>
        <v>赵帆</v>
      </c>
      <c r="D364" t="str">
        <f>"女"</f>
        <v>女</v>
      </c>
    </row>
    <row r="365" spans="1:4" ht="24" customHeight="1">
      <c r="A365" t="str">
        <f>"10512020072615475029237"</f>
        <v>10512020072615475029237</v>
      </c>
      <c r="B365" t="s">
        <v>38</v>
      </c>
      <c r="C365" t="str">
        <f>"秦文雅"</f>
        <v>秦文雅</v>
      </c>
      <c r="D365" t="str">
        <f>"女"</f>
        <v>女</v>
      </c>
    </row>
    <row r="366" spans="1:4" ht="24" customHeight="1">
      <c r="A366" t="str">
        <f>"10512020072615495629238"</f>
        <v>10512020072615495629238</v>
      </c>
      <c r="B366" t="s">
        <v>14</v>
      </c>
      <c r="C366" t="str">
        <f>"孙三里"</f>
        <v>孙三里</v>
      </c>
      <c r="D366" t="str">
        <f>"男"</f>
        <v>男</v>
      </c>
    </row>
    <row r="367" spans="1:4" ht="24" customHeight="1">
      <c r="A367" t="str">
        <f>"10512020072615504929239"</f>
        <v>10512020072615504929239</v>
      </c>
      <c r="B367" t="s">
        <v>8</v>
      </c>
      <c r="C367" t="str">
        <f>"周新民"</f>
        <v>周新民</v>
      </c>
      <c r="D367" t="str">
        <f>"男"</f>
        <v>男</v>
      </c>
    </row>
    <row r="368" spans="1:4" ht="24" customHeight="1">
      <c r="A368" t="str">
        <f>"10512020072615534029240"</f>
        <v>10512020072615534029240</v>
      </c>
      <c r="B368" t="s">
        <v>27</v>
      </c>
      <c r="C368" t="str">
        <f>"聂建恒"</f>
        <v>聂建恒</v>
      </c>
      <c r="D368" t="str">
        <f>"女"</f>
        <v>女</v>
      </c>
    </row>
    <row r="369" spans="1:4" ht="24" customHeight="1">
      <c r="A369" t="str">
        <f>"10512020072615560529241"</f>
        <v>10512020072615560529241</v>
      </c>
      <c r="B369" t="s">
        <v>21</v>
      </c>
      <c r="C369" t="str">
        <f>"向书豪"</f>
        <v>向书豪</v>
      </c>
      <c r="D369" t="str">
        <f t="shared" ref="D369:D375" si="7">"男"</f>
        <v>男</v>
      </c>
    </row>
    <row r="370" spans="1:4" ht="24" customHeight="1">
      <c r="A370" t="str">
        <f>"10512020072615565529242"</f>
        <v>10512020072615565529242</v>
      </c>
      <c r="B370" t="s">
        <v>4</v>
      </c>
      <c r="C370" t="str">
        <f>"伍云"</f>
        <v>伍云</v>
      </c>
      <c r="D370" t="str">
        <f t="shared" si="7"/>
        <v>男</v>
      </c>
    </row>
    <row r="371" spans="1:4" ht="24" customHeight="1">
      <c r="A371" t="str">
        <f>"10512020072615573329243"</f>
        <v>10512020072615573329243</v>
      </c>
      <c r="B371" t="s">
        <v>10</v>
      </c>
      <c r="C371" t="str">
        <f>"郭存意"</f>
        <v>郭存意</v>
      </c>
      <c r="D371" t="str">
        <f t="shared" si="7"/>
        <v>男</v>
      </c>
    </row>
    <row r="372" spans="1:4" ht="24" customHeight="1">
      <c r="A372" t="str">
        <f>"10512020072616040829244"</f>
        <v>10512020072616040829244</v>
      </c>
      <c r="B372" t="s">
        <v>27</v>
      </c>
      <c r="C372" t="str">
        <f>"田鹏飞"</f>
        <v>田鹏飞</v>
      </c>
      <c r="D372" t="str">
        <f t="shared" si="7"/>
        <v>男</v>
      </c>
    </row>
    <row r="373" spans="1:4" ht="24" customHeight="1">
      <c r="A373" t="str">
        <f>"10512020072616051129245"</f>
        <v>10512020072616051129245</v>
      </c>
      <c r="B373" t="s">
        <v>16</v>
      </c>
      <c r="C373" t="str">
        <f>"杨焰"</f>
        <v>杨焰</v>
      </c>
      <c r="D373" t="str">
        <f t="shared" si="7"/>
        <v>男</v>
      </c>
    </row>
    <row r="374" spans="1:4" ht="24" customHeight="1">
      <c r="A374" t="str">
        <f>"10512020072616064729246"</f>
        <v>10512020072616064729246</v>
      </c>
      <c r="B374" t="s">
        <v>4</v>
      </c>
      <c r="C374" t="str">
        <f>"张浩"</f>
        <v>张浩</v>
      </c>
      <c r="D374" t="str">
        <f t="shared" si="7"/>
        <v>男</v>
      </c>
    </row>
    <row r="375" spans="1:4" ht="24" customHeight="1">
      <c r="A375" t="str">
        <f>"10512020072616084629247"</f>
        <v>10512020072616084629247</v>
      </c>
      <c r="B375" t="s">
        <v>15</v>
      </c>
      <c r="C375" t="str">
        <f>"叶子轩"</f>
        <v>叶子轩</v>
      </c>
      <c r="D375" t="str">
        <f t="shared" si="7"/>
        <v>男</v>
      </c>
    </row>
    <row r="376" spans="1:4" ht="24" customHeight="1">
      <c r="A376" t="str">
        <f>"10512020072616111429248"</f>
        <v>10512020072616111429248</v>
      </c>
      <c r="B376" t="s">
        <v>41</v>
      </c>
      <c r="C376" t="str">
        <f>"帅红"</f>
        <v>帅红</v>
      </c>
      <c r="D376" t="str">
        <f>"女"</f>
        <v>女</v>
      </c>
    </row>
    <row r="377" spans="1:4" ht="24" customHeight="1">
      <c r="A377" t="str">
        <f>"10512020072616112629249"</f>
        <v>10512020072616112629249</v>
      </c>
      <c r="B377" t="s">
        <v>54</v>
      </c>
      <c r="C377" t="str">
        <f>"周双"</f>
        <v>周双</v>
      </c>
      <c r="D377" t="str">
        <f>"男"</f>
        <v>男</v>
      </c>
    </row>
    <row r="378" spans="1:4" ht="24" customHeight="1">
      <c r="A378" t="str">
        <f>"10512020072616115629250"</f>
        <v>10512020072616115629250</v>
      </c>
      <c r="B378" t="s">
        <v>31</v>
      </c>
      <c r="C378" t="str">
        <f>"朱鑫涛"</f>
        <v>朱鑫涛</v>
      </c>
      <c r="D378" t="str">
        <f>"男"</f>
        <v>男</v>
      </c>
    </row>
    <row r="379" spans="1:4" ht="24" customHeight="1">
      <c r="A379" t="str">
        <f>"10512020072616194329251"</f>
        <v>10512020072616194329251</v>
      </c>
      <c r="B379" t="s">
        <v>48</v>
      </c>
      <c r="C379" t="str">
        <f>"周潇"</f>
        <v>周潇</v>
      </c>
      <c r="D379" t="str">
        <f>"男"</f>
        <v>男</v>
      </c>
    </row>
    <row r="380" spans="1:4" ht="24" customHeight="1">
      <c r="A380" t="str">
        <f>"10512020072616215329252"</f>
        <v>10512020072616215329252</v>
      </c>
      <c r="B380" t="s">
        <v>18</v>
      </c>
      <c r="C380" t="str">
        <f>"于坤鹏"</f>
        <v>于坤鹏</v>
      </c>
      <c r="D380" t="str">
        <f>"男"</f>
        <v>男</v>
      </c>
    </row>
    <row r="381" spans="1:4" ht="24" customHeight="1">
      <c r="A381" t="str">
        <f>"10512020072616220729253"</f>
        <v>10512020072616220729253</v>
      </c>
      <c r="B381" t="s">
        <v>21</v>
      </c>
      <c r="C381" t="str">
        <f>"周梦杏"</f>
        <v>周梦杏</v>
      </c>
      <c r="D381" t="str">
        <f>"女"</f>
        <v>女</v>
      </c>
    </row>
    <row r="382" spans="1:4" ht="24" customHeight="1">
      <c r="A382" t="str">
        <f>"10512020072616244429254"</f>
        <v>10512020072616244429254</v>
      </c>
      <c r="B382" t="s">
        <v>6</v>
      </c>
      <c r="C382" t="str">
        <f>"钟灿"</f>
        <v>钟灿</v>
      </c>
      <c r="D382" t="str">
        <f>"女"</f>
        <v>女</v>
      </c>
    </row>
    <row r="383" spans="1:4" ht="24" customHeight="1">
      <c r="A383" t="str">
        <f>"10512020072616251329255"</f>
        <v>10512020072616251329255</v>
      </c>
      <c r="B383" t="s">
        <v>19</v>
      </c>
      <c r="C383" t="str">
        <f>"蒋惠平"</f>
        <v>蒋惠平</v>
      </c>
      <c r="D383" t="str">
        <f>"女"</f>
        <v>女</v>
      </c>
    </row>
    <row r="384" spans="1:4" ht="24" customHeight="1">
      <c r="A384" t="str">
        <f>"10512020072616253729256"</f>
        <v>10512020072616253729256</v>
      </c>
      <c r="B384" t="s">
        <v>11</v>
      </c>
      <c r="C384" t="str">
        <f>"吴晶晶"</f>
        <v>吴晶晶</v>
      </c>
      <c r="D384" t="str">
        <f>"女"</f>
        <v>女</v>
      </c>
    </row>
    <row r="385" spans="1:4" ht="24" customHeight="1">
      <c r="A385" t="str">
        <f>"10512020072616254029257"</f>
        <v>10512020072616254029257</v>
      </c>
      <c r="B385" t="s">
        <v>18</v>
      </c>
      <c r="C385" t="str">
        <f>"宋雨婷"</f>
        <v>宋雨婷</v>
      </c>
      <c r="D385" t="str">
        <f>"女"</f>
        <v>女</v>
      </c>
    </row>
    <row r="386" spans="1:4" ht="24" customHeight="1">
      <c r="A386" t="str">
        <f>"10512020072616254329258"</f>
        <v>10512020072616254329258</v>
      </c>
      <c r="B386" t="s">
        <v>30</v>
      </c>
      <c r="C386" t="str">
        <f>"蒋权"</f>
        <v>蒋权</v>
      </c>
      <c r="D386" t="str">
        <f>"男"</f>
        <v>男</v>
      </c>
    </row>
    <row r="387" spans="1:4" ht="24" customHeight="1">
      <c r="A387" t="str">
        <f>"10512020072616282329259"</f>
        <v>10512020072616282329259</v>
      </c>
      <c r="B387" t="s">
        <v>16</v>
      </c>
      <c r="C387" t="str">
        <f>"汤娟"</f>
        <v>汤娟</v>
      </c>
      <c r="D387" t="str">
        <f>"女"</f>
        <v>女</v>
      </c>
    </row>
    <row r="388" spans="1:4" ht="24" customHeight="1">
      <c r="A388" t="str">
        <f>"10512020072616304129260"</f>
        <v>10512020072616304129260</v>
      </c>
      <c r="B388" t="s">
        <v>7</v>
      </c>
      <c r="C388" t="str">
        <f>"淤慧淋"</f>
        <v>淤慧淋</v>
      </c>
      <c r="D388" t="str">
        <f>"女"</f>
        <v>女</v>
      </c>
    </row>
    <row r="389" spans="1:4" ht="24" customHeight="1">
      <c r="A389" t="str">
        <f>"10512020072616305429261"</f>
        <v>10512020072616305429261</v>
      </c>
      <c r="B389" t="s">
        <v>21</v>
      </c>
      <c r="C389" t="str">
        <f>"朱程"</f>
        <v>朱程</v>
      </c>
      <c r="D389" t="str">
        <f>"女"</f>
        <v>女</v>
      </c>
    </row>
    <row r="390" spans="1:4" ht="24" customHeight="1">
      <c r="A390" t="str">
        <f>"10512020072616312329262"</f>
        <v>10512020072616312329262</v>
      </c>
      <c r="B390" t="s">
        <v>11</v>
      </c>
      <c r="C390" t="str">
        <f>"师法铮"</f>
        <v>师法铮</v>
      </c>
      <c r="D390" t="str">
        <f>"男"</f>
        <v>男</v>
      </c>
    </row>
    <row r="391" spans="1:4" ht="24" customHeight="1">
      <c r="A391" t="str">
        <f>"10512020072616322029263"</f>
        <v>10512020072616322029263</v>
      </c>
      <c r="B391" t="s">
        <v>18</v>
      </c>
      <c r="C391" t="str">
        <f>"向烨昕"</f>
        <v>向烨昕</v>
      </c>
      <c r="D391" t="str">
        <f>"女"</f>
        <v>女</v>
      </c>
    </row>
    <row r="392" spans="1:4" ht="24" customHeight="1">
      <c r="A392" t="str">
        <f>"10512020072616344229264"</f>
        <v>10512020072616344229264</v>
      </c>
      <c r="B392" t="s">
        <v>13</v>
      </c>
      <c r="C392" t="str">
        <f>"向赵"</f>
        <v>向赵</v>
      </c>
      <c r="D392" t="str">
        <f>"男"</f>
        <v>男</v>
      </c>
    </row>
    <row r="393" spans="1:4" ht="24" customHeight="1">
      <c r="A393" t="str">
        <f>"10512020072616365829265"</f>
        <v>10512020072616365829265</v>
      </c>
      <c r="B393" t="s">
        <v>18</v>
      </c>
      <c r="C393" t="str">
        <f>"廖荣"</f>
        <v>廖荣</v>
      </c>
      <c r="D393" t="str">
        <f>"男"</f>
        <v>男</v>
      </c>
    </row>
    <row r="394" spans="1:4" ht="24" customHeight="1">
      <c r="A394" t="str">
        <f>"10512020072616405129266"</f>
        <v>10512020072616405129266</v>
      </c>
      <c r="B394" t="s">
        <v>38</v>
      </c>
      <c r="C394" t="str">
        <f>"谭蜀湘"</f>
        <v>谭蜀湘</v>
      </c>
      <c r="D394" t="str">
        <f>"女"</f>
        <v>女</v>
      </c>
    </row>
    <row r="395" spans="1:4" ht="24" customHeight="1">
      <c r="A395" t="str">
        <f>"10512020072616405329267"</f>
        <v>10512020072616405329267</v>
      </c>
      <c r="B395" t="s">
        <v>48</v>
      </c>
      <c r="C395" t="str">
        <f>"周珊"</f>
        <v>周珊</v>
      </c>
      <c r="D395" t="str">
        <f>"女"</f>
        <v>女</v>
      </c>
    </row>
    <row r="396" spans="1:4" ht="24" customHeight="1">
      <c r="A396" t="str">
        <f>"10512020072616412029268"</f>
        <v>10512020072616412029268</v>
      </c>
      <c r="B396" t="s">
        <v>26</v>
      </c>
      <c r="C396" t="str">
        <f>"庞景徽"</f>
        <v>庞景徽</v>
      </c>
      <c r="D396" t="str">
        <f>"男"</f>
        <v>男</v>
      </c>
    </row>
    <row r="397" spans="1:4" ht="24" customHeight="1">
      <c r="A397" t="str">
        <f>"10512020072616421029269"</f>
        <v>10512020072616421029269</v>
      </c>
      <c r="B397" t="s">
        <v>32</v>
      </c>
      <c r="C397" t="str">
        <f>"万双元"</f>
        <v>万双元</v>
      </c>
      <c r="D397" t="str">
        <f>"男"</f>
        <v>男</v>
      </c>
    </row>
    <row r="398" spans="1:4" ht="24" customHeight="1">
      <c r="A398" t="str">
        <f>"10512020072616442729270"</f>
        <v>10512020072616442729270</v>
      </c>
      <c r="B398" t="s">
        <v>28</v>
      </c>
      <c r="C398" t="str">
        <f>"曹星宇"</f>
        <v>曹星宇</v>
      </c>
      <c r="D398" t="str">
        <f>"女"</f>
        <v>女</v>
      </c>
    </row>
    <row r="399" spans="1:4" ht="24" customHeight="1">
      <c r="A399" t="str">
        <f>"10512020072616463629271"</f>
        <v>10512020072616463629271</v>
      </c>
      <c r="B399" t="s">
        <v>27</v>
      </c>
      <c r="C399" t="str">
        <f>"刘伟"</f>
        <v>刘伟</v>
      </c>
      <c r="D399" t="str">
        <f>"男"</f>
        <v>男</v>
      </c>
    </row>
    <row r="400" spans="1:4" ht="24" customHeight="1">
      <c r="A400" t="str">
        <f>"10512020072616493629272"</f>
        <v>10512020072616493629272</v>
      </c>
      <c r="B400" t="s">
        <v>21</v>
      </c>
      <c r="C400" t="str">
        <f>"李清远"</f>
        <v>李清远</v>
      </c>
      <c r="D400" t="str">
        <f>"男"</f>
        <v>男</v>
      </c>
    </row>
    <row r="401" spans="1:4" ht="24" customHeight="1">
      <c r="A401" t="str">
        <f>"10512020072616505129273"</f>
        <v>10512020072616505129273</v>
      </c>
      <c r="B401" t="s">
        <v>4</v>
      </c>
      <c r="C401" t="str">
        <f>"贺平壹"</f>
        <v>贺平壹</v>
      </c>
      <c r="D401" t="str">
        <f>"女"</f>
        <v>女</v>
      </c>
    </row>
    <row r="402" spans="1:4" ht="24" customHeight="1">
      <c r="A402" t="str">
        <f>"10512020072616512429274"</f>
        <v>10512020072616512429274</v>
      </c>
      <c r="B402" t="s">
        <v>38</v>
      </c>
      <c r="C402" t="str">
        <f>"贺光辉"</f>
        <v>贺光辉</v>
      </c>
      <c r="D402" t="str">
        <f>"女"</f>
        <v>女</v>
      </c>
    </row>
    <row r="403" spans="1:4" ht="24" customHeight="1">
      <c r="A403" t="str">
        <f>"10512020072616535029276"</f>
        <v>10512020072616535029276</v>
      </c>
      <c r="B403" t="s">
        <v>30</v>
      </c>
      <c r="C403" t="str">
        <f>"徐泽潭"</f>
        <v>徐泽潭</v>
      </c>
      <c r="D403" t="str">
        <f>"男"</f>
        <v>男</v>
      </c>
    </row>
    <row r="404" spans="1:4" ht="24" customHeight="1">
      <c r="A404" t="str">
        <f>"10512020072616565429277"</f>
        <v>10512020072616565429277</v>
      </c>
      <c r="B404" t="s">
        <v>55</v>
      </c>
      <c r="C404" t="str">
        <f>"王梓恒"</f>
        <v>王梓恒</v>
      </c>
      <c r="D404" t="str">
        <f>"男"</f>
        <v>男</v>
      </c>
    </row>
    <row r="405" spans="1:4" ht="24" customHeight="1">
      <c r="A405" t="str">
        <f>"10512020072617005729278"</f>
        <v>10512020072617005729278</v>
      </c>
      <c r="B405" t="s">
        <v>11</v>
      </c>
      <c r="C405" t="str">
        <f>"严诗雅"</f>
        <v>严诗雅</v>
      </c>
      <c r="D405" t="str">
        <f>"女"</f>
        <v>女</v>
      </c>
    </row>
    <row r="406" spans="1:4" ht="24" customHeight="1">
      <c r="A406" t="str">
        <f>"10512020072617042829279"</f>
        <v>10512020072617042829279</v>
      </c>
      <c r="B406" t="s">
        <v>48</v>
      </c>
      <c r="C406" t="str">
        <f>"徐磊"</f>
        <v>徐磊</v>
      </c>
      <c r="D406" t="str">
        <f>"男"</f>
        <v>男</v>
      </c>
    </row>
    <row r="407" spans="1:4" ht="24" customHeight="1">
      <c r="A407" t="str">
        <f>"10512020072617054729280"</f>
        <v>10512020072617054729280</v>
      </c>
      <c r="B407" t="s">
        <v>25</v>
      </c>
      <c r="C407" t="str">
        <f>"王晶"</f>
        <v>王晶</v>
      </c>
      <c r="D407" t="str">
        <f>"女"</f>
        <v>女</v>
      </c>
    </row>
    <row r="408" spans="1:4" ht="24" customHeight="1">
      <c r="A408" t="str">
        <f>"10512020072617103429281"</f>
        <v>10512020072617103429281</v>
      </c>
      <c r="B408" t="s">
        <v>27</v>
      </c>
      <c r="C408" t="str">
        <f>"严格"</f>
        <v>严格</v>
      </c>
      <c r="D408" t="str">
        <f>"女"</f>
        <v>女</v>
      </c>
    </row>
    <row r="409" spans="1:4" ht="24" customHeight="1">
      <c r="A409" t="str">
        <f>"10512020072617144829282"</f>
        <v>10512020072617144829282</v>
      </c>
      <c r="B409" t="s">
        <v>7</v>
      </c>
      <c r="C409" t="str">
        <f>"彭晋友"</f>
        <v>彭晋友</v>
      </c>
      <c r="D409" t="str">
        <f>"女"</f>
        <v>女</v>
      </c>
    </row>
    <row r="410" spans="1:4" ht="24" customHeight="1">
      <c r="A410" t="str">
        <f>"10512020072617222729283"</f>
        <v>10512020072617222729283</v>
      </c>
      <c r="B410" t="s">
        <v>19</v>
      </c>
      <c r="C410" t="str">
        <f>"付金鹅"</f>
        <v>付金鹅</v>
      </c>
      <c r="D410" t="str">
        <f>"女"</f>
        <v>女</v>
      </c>
    </row>
    <row r="411" spans="1:4" ht="24" customHeight="1">
      <c r="A411" t="str">
        <f>"10512020072617250729284"</f>
        <v>10512020072617250729284</v>
      </c>
      <c r="B411" t="s">
        <v>6</v>
      </c>
      <c r="C411" t="str">
        <f>"黄梅芳"</f>
        <v>黄梅芳</v>
      </c>
      <c r="D411" t="str">
        <f>"女"</f>
        <v>女</v>
      </c>
    </row>
    <row r="412" spans="1:4" ht="24" customHeight="1">
      <c r="A412" t="str">
        <f>"10512020072617265829285"</f>
        <v>10512020072617265829285</v>
      </c>
      <c r="B412" t="s">
        <v>16</v>
      </c>
      <c r="C412" t="str">
        <f>"王誉淇"</f>
        <v>王誉淇</v>
      </c>
      <c r="D412" t="str">
        <f>"男"</f>
        <v>男</v>
      </c>
    </row>
    <row r="413" spans="1:4" ht="24" customHeight="1">
      <c r="A413" t="str">
        <f>"10512020072617305529286"</f>
        <v>10512020072617305529286</v>
      </c>
      <c r="B413" t="s">
        <v>50</v>
      </c>
      <c r="C413" t="str">
        <f>"胥令"</f>
        <v>胥令</v>
      </c>
      <c r="D413" t="str">
        <f>"男"</f>
        <v>男</v>
      </c>
    </row>
    <row r="414" spans="1:4" ht="24" customHeight="1">
      <c r="A414" t="str">
        <f>"10512020072617355729287"</f>
        <v>10512020072617355729287</v>
      </c>
      <c r="B414" t="s">
        <v>14</v>
      </c>
      <c r="C414" t="str">
        <f>"颜婧"</f>
        <v>颜婧</v>
      </c>
      <c r="D414" t="str">
        <f>"女"</f>
        <v>女</v>
      </c>
    </row>
    <row r="415" spans="1:4" ht="24" customHeight="1">
      <c r="A415" t="str">
        <f>"10512020072617372829288"</f>
        <v>10512020072617372829288</v>
      </c>
      <c r="B415" t="s">
        <v>19</v>
      </c>
      <c r="C415" t="str">
        <f>"张思思"</f>
        <v>张思思</v>
      </c>
      <c r="D415" t="str">
        <f>"女"</f>
        <v>女</v>
      </c>
    </row>
    <row r="416" spans="1:4" ht="24" customHeight="1">
      <c r="A416" t="str">
        <f>"10512020072617382329289"</f>
        <v>10512020072617382329289</v>
      </c>
      <c r="B416" t="s">
        <v>19</v>
      </c>
      <c r="C416" t="str">
        <f>"祁翔"</f>
        <v>祁翔</v>
      </c>
      <c r="D416" t="str">
        <f>"女"</f>
        <v>女</v>
      </c>
    </row>
    <row r="417" spans="1:4" ht="24" customHeight="1">
      <c r="A417" t="str">
        <f>"10512020072617410029290"</f>
        <v>10512020072617410029290</v>
      </c>
      <c r="B417" t="s">
        <v>17</v>
      </c>
      <c r="C417" t="str">
        <f>"史洋山"</f>
        <v>史洋山</v>
      </c>
      <c r="D417" t="str">
        <f>"女"</f>
        <v>女</v>
      </c>
    </row>
    <row r="418" spans="1:4" ht="24" customHeight="1">
      <c r="A418" t="str">
        <f>"10512020072617430429291"</f>
        <v>10512020072617430429291</v>
      </c>
      <c r="B418" t="s">
        <v>19</v>
      </c>
      <c r="C418" t="str">
        <f>"李洋"</f>
        <v>李洋</v>
      </c>
      <c r="D418" t="str">
        <f>"女"</f>
        <v>女</v>
      </c>
    </row>
    <row r="419" spans="1:4" ht="24" customHeight="1">
      <c r="A419" t="str">
        <f>"10512020072617503629292"</f>
        <v>10512020072617503629292</v>
      </c>
      <c r="B419" t="s">
        <v>5</v>
      </c>
      <c r="C419" t="str">
        <f>"黄雨"</f>
        <v>黄雨</v>
      </c>
      <c r="D419" t="str">
        <f>"男"</f>
        <v>男</v>
      </c>
    </row>
    <row r="420" spans="1:4" ht="24" customHeight="1">
      <c r="A420" t="str">
        <f>"10512020072617535529293"</f>
        <v>10512020072617535529293</v>
      </c>
      <c r="B420" t="s">
        <v>48</v>
      </c>
      <c r="C420" t="str">
        <f>"黄培"</f>
        <v>黄培</v>
      </c>
      <c r="D420" t="str">
        <f>"男"</f>
        <v>男</v>
      </c>
    </row>
    <row r="421" spans="1:4" ht="24" customHeight="1">
      <c r="A421" t="str">
        <f>"10512020072617543829294"</f>
        <v>10512020072617543829294</v>
      </c>
      <c r="B421" t="s">
        <v>11</v>
      </c>
      <c r="C421" t="str">
        <f>"王菲"</f>
        <v>王菲</v>
      </c>
      <c r="D421" t="str">
        <f>"女"</f>
        <v>女</v>
      </c>
    </row>
    <row r="422" spans="1:4" ht="24" customHeight="1">
      <c r="A422" t="str">
        <f>"10512020072617565729296"</f>
        <v>10512020072617565729296</v>
      </c>
      <c r="B422" t="s">
        <v>28</v>
      </c>
      <c r="C422" t="str">
        <f>"李配芙"</f>
        <v>李配芙</v>
      </c>
      <c r="D422" t="str">
        <f>"女"</f>
        <v>女</v>
      </c>
    </row>
    <row r="423" spans="1:4" ht="24" customHeight="1">
      <c r="A423" t="str">
        <f>"10512020072617573829297"</f>
        <v>10512020072617573829297</v>
      </c>
      <c r="B423" t="s">
        <v>12</v>
      </c>
      <c r="C423" t="str">
        <f>"张晶萍"</f>
        <v>张晶萍</v>
      </c>
      <c r="D423" t="str">
        <f>"女"</f>
        <v>女</v>
      </c>
    </row>
    <row r="424" spans="1:4" ht="24" customHeight="1">
      <c r="A424" t="str">
        <f>"10512020072618024029298"</f>
        <v>10512020072618024029298</v>
      </c>
      <c r="B424" t="s">
        <v>13</v>
      </c>
      <c r="C424" t="str">
        <f>"钟斌"</f>
        <v>钟斌</v>
      </c>
      <c r="D424" t="str">
        <f>"男"</f>
        <v>男</v>
      </c>
    </row>
    <row r="425" spans="1:4" ht="24" customHeight="1">
      <c r="A425" t="str">
        <f>"10512020072618024829299"</f>
        <v>10512020072618024829299</v>
      </c>
      <c r="B425" t="s">
        <v>31</v>
      </c>
      <c r="C425" t="str">
        <f>"李午阳"</f>
        <v>李午阳</v>
      </c>
      <c r="D425" t="str">
        <f>"男"</f>
        <v>男</v>
      </c>
    </row>
    <row r="426" spans="1:4" ht="24" customHeight="1">
      <c r="A426" t="str">
        <f>"10512020072618093529301"</f>
        <v>10512020072618093529301</v>
      </c>
      <c r="B426" t="s">
        <v>54</v>
      </c>
      <c r="C426" t="str">
        <f>"张庆"</f>
        <v>张庆</v>
      </c>
      <c r="D426" t="str">
        <f>"男"</f>
        <v>男</v>
      </c>
    </row>
    <row r="427" spans="1:4" ht="24" customHeight="1">
      <c r="A427" t="str">
        <f>"10512020072618114629302"</f>
        <v>10512020072618114629302</v>
      </c>
      <c r="B427" t="s">
        <v>11</v>
      </c>
      <c r="C427" t="str">
        <f>"彭元嫒"</f>
        <v>彭元嫒</v>
      </c>
      <c r="D427" t="str">
        <f>"女"</f>
        <v>女</v>
      </c>
    </row>
    <row r="428" spans="1:4" ht="24" customHeight="1">
      <c r="A428" t="str">
        <f>"10512020072618143229303"</f>
        <v>10512020072618143229303</v>
      </c>
      <c r="B428" t="s">
        <v>25</v>
      </c>
      <c r="C428" t="str">
        <f>"谢宁馨"</f>
        <v>谢宁馨</v>
      </c>
      <c r="D428" t="str">
        <f>"女"</f>
        <v>女</v>
      </c>
    </row>
    <row r="429" spans="1:4" ht="24" customHeight="1">
      <c r="A429" t="str">
        <f>"10512020072618184529304"</f>
        <v>10512020072618184529304</v>
      </c>
      <c r="B429" t="s">
        <v>25</v>
      </c>
      <c r="C429" t="str">
        <f>"李睦梓"</f>
        <v>李睦梓</v>
      </c>
      <c r="D429" t="str">
        <f>"女"</f>
        <v>女</v>
      </c>
    </row>
    <row r="430" spans="1:4" ht="24" customHeight="1">
      <c r="A430" t="str">
        <f>"10512020072618191729305"</f>
        <v>10512020072618191729305</v>
      </c>
      <c r="B430" t="s">
        <v>10</v>
      </c>
      <c r="C430" t="str">
        <f>"舒春晓"</f>
        <v>舒春晓</v>
      </c>
      <c r="D430" t="str">
        <f>"男"</f>
        <v>男</v>
      </c>
    </row>
    <row r="431" spans="1:4" ht="24" customHeight="1">
      <c r="A431" t="str">
        <f>"10512020072618201729306"</f>
        <v>10512020072618201729306</v>
      </c>
      <c r="B431" t="s">
        <v>10</v>
      </c>
      <c r="C431" t="str">
        <f>"徐航"</f>
        <v>徐航</v>
      </c>
      <c r="D431" t="str">
        <f>"男"</f>
        <v>男</v>
      </c>
    </row>
    <row r="432" spans="1:4" ht="24" customHeight="1">
      <c r="A432" t="str">
        <f>"10512020072618241029307"</f>
        <v>10512020072618241029307</v>
      </c>
      <c r="B432" t="s">
        <v>8</v>
      </c>
      <c r="C432" t="str">
        <f>"谢源"</f>
        <v>谢源</v>
      </c>
      <c r="D432" t="str">
        <f>"男"</f>
        <v>男</v>
      </c>
    </row>
    <row r="433" spans="1:4" ht="24" customHeight="1">
      <c r="A433" t="str">
        <f>"10512020072618323829308"</f>
        <v>10512020072618323829308</v>
      </c>
      <c r="B433" t="s">
        <v>16</v>
      </c>
      <c r="C433" t="str">
        <f>"罗宇康"</f>
        <v>罗宇康</v>
      </c>
      <c r="D433" t="str">
        <f>"男"</f>
        <v>男</v>
      </c>
    </row>
    <row r="434" spans="1:4" ht="24" customHeight="1">
      <c r="A434" t="str">
        <f>"10512020072618334129309"</f>
        <v>10512020072618334129309</v>
      </c>
      <c r="B434" t="s">
        <v>5</v>
      </c>
      <c r="C434" t="str">
        <f>"曹政涛"</f>
        <v>曹政涛</v>
      </c>
      <c r="D434" t="str">
        <f>"男"</f>
        <v>男</v>
      </c>
    </row>
    <row r="435" spans="1:4" ht="24" customHeight="1">
      <c r="A435" t="str">
        <f>"10512020072618361529310"</f>
        <v>10512020072618361529310</v>
      </c>
      <c r="B435" t="s">
        <v>16</v>
      </c>
      <c r="C435" t="str">
        <f>"姚艳"</f>
        <v>姚艳</v>
      </c>
      <c r="D435" t="str">
        <f>"女"</f>
        <v>女</v>
      </c>
    </row>
    <row r="436" spans="1:4" ht="24" customHeight="1">
      <c r="A436" t="str">
        <f>"10512020072618363729311"</f>
        <v>10512020072618363729311</v>
      </c>
      <c r="B436" t="s">
        <v>10</v>
      </c>
      <c r="C436" t="str">
        <f>"龚福桥"</f>
        <v>龚福桥</v>
      </c>
      <c r="D436" t="str">
        <f>"男"</f>
        <v>男</v>
      </c>
    </row>
    <row r="437" spans="1:4" ht="24" customHeight="1">
      <c r="A437" t="str">
        <f>"10512020072618364529312"</f>
        <v>10512020072618364529312</v>
      </c>
      <c r="B437" t="s">
        <v>13</v>
      </c>
      <c r="C437" t="str">
        <f>"熊鑫"</f>
        <v>熊鑫</v>
      </c>
      <c r="D437" t="str">
        <f>"女"</f>
        <v>女</v>
      </c>
    </row>
    <row r="438" spans="1:4" ht="24" customHeight="1">
      <c r="A438" t="str">
        <f>"10512020072618383429313"</f>
        <v>10512020072618383429313</v>
      </c>
      <c r="B438" t="s">
        <v>56</v>
      </c>
      <c r="C438" t="str">
        <f>"石林"</f>
        <v>石林</v>
      </c>
      <c r="D438" t="str">
        <f>"女"</f>
        <v>女</v>
      </c>
    </row>
    <row r="439" spans="1:4" ht="24" customHeight="1">
      <c r="A439" t="str">
        <f>"10512020072618410729314"</f>
        <v>10512020072618410729314</v>
      </c>
      <c r="B439" t="s">
        <v>10</v>
      </c>
      <c r="C439" t="str">
        <f>"任又平"</f>
        <v>任又平</v>
      </c>
      <c r="D439" t="str">
        <f>"男"</f>
        <v>男</v>
      </c>
    </row>
    <row r="440" spans="1:4" ht="24" customHeight="1">
      <c r="A440" t="str">
        <f>"10512020072618512229315"</f>
        <v>10512020072618512229315</v>
      </c>
      <c r="B440" t="s">
        <v>28</v>
      </c>
      <c r="C440" t="str">
        <f>"周芸"</f>
        <v>周芸</v>
      </c>
      <c r="D440" t="str">
        <f>"女"</f>
        <v>女</v>
      </c>
    </row>
    <row r="441" spans="1:4" ht="24" customHeight="1">
      <c r="A441" t="str">
        <f>"10512020072618512529316"</f>
        <v>10512020072618512529316</v>
      </c>
      <c r="B441" t="s">
        <v>11</v>
      </c>
      <c r="C441" t="str">
        <f>"刘薛斌"</f>
        <v>刘薛斌</v>
      </c>
      <c r="D441" t="str">
        <f>"男"</f>
        <v>男</v>
      </c>
    </row>
    <row r="442" spans="1:4" ht="24" customHeight="1">
      <c r="A442" t="str">
        <f>"10512020072618530229317"</f>
        <v>10512020072618530229317</v>
      </c>
      <c r="B442" t="s">
        <v>18</v>
      </c>
      <c r="C442" t="str">
        <f>"李盼"</f>
        <v>李盼</v>
      </c>
      <c r="D442" t="str">
        <f>"女"</f>
        <v>女</v>
      </c>
    </row>
    <row r="443" spans="1:4" ht="24" customHeight="1">
      <c r="A443" t="str">
        <f>"10512020072618532129318"</f>
        <v>10512020072618532129318</v>
      </c>
      <c r="B443" t="s">
        <v>34</v>
      </c>
      <c r="C443" t="str">
        <f>"唐纯伟"</f>
        <v>唐纯伟</v>
      </c>
      <c r="D443" t="str">
        <f>"男"</f>
        <v>男</v>
      </c>
    </row>
    <row r="444" spans="1:4" ht="24" customHeight="1">
      <c r="A444" t="str">
        <f>"10512020072618543429319"</f>
        <v>10512020072618543429319</v>
      </c>
      <c r="B444" t="s">
        <v>6</v>
      </c>
      <c r="C444" t="str">
        <f>"毛强"</f>
        <v>毛强</v>
      </c>
      <c r="D444" t="str">
        <f>"男"</f>
        <v>男</v>
      </c>
    </row>
    <row r="445" spans="1:4" ht="24" customHeight="1">
      <c r="A445" t="str">
        <f>"10512020072618580929320"</f>
        <v>10512020072618580929320</v>
      </c>
      <c r="B445" t="s">
        <v>28</v>
      </c>
      <c r="C445" t="str">
        <f>"龚明"</f>
        <v>龚明</v>
      </c>
      <c r="D445" t="str">
        <f>"女"</f>
        <v>女</v>
      </c>
    </row>
    <row r="446" spans="1:4" ht="24" customHeight="1">
      <c r="A446" t="str">
        <f>"10512020072619025129322"</f>
        <v>10512020072619025129322</v>
      </c>
      <c r="B446" t="s">
        <v>16</v>
      </c>
      <c r="C446" t="str">
        <f>"李航"</f>
        <v>李航</v>
      </c>
      <c r="D446" t="str">
        <f>"男"</f>
        <v>男</v>
      </c>
    </row>
    <row r="447" spans="1:4" ht="24" customHeight="1">
      <c r="A447" t="str">
        <f>"10512020072619033729323"</f>
        <v>10512020072619033729323</v>
      </c>
      <c r="B447" t="s">
        <v>30</v>
      </c>
      <c r="C447" t="str">
        <f>"唐思杰"</f>
        <v>唐思杰</v>
      </c>
      <c r="D447" t="str">
        <f>"男"</f>
        <v>男</v>
      </c>
    </row>
    <row r="448" spans="1:4" ht="24" customHeight="1">
      <c r="A448" t="str">
        <f>"10512020072619042429324"</f>
        <v>10512020072619042429324</v>
      </c>
      <c r="B448" t="s">
        <v>34</v>
      </c>
      <c r="C448" t="str">
        <f>"黄涛"</f>
        <v>黄涛</v>
      </c>
      <c r="D448" t="str">
        <f>"男"</f>
        <v>男</v>
      </c>
    </row>
    <row r="449" spans="1:4" ht="24" customHeight="1">
      <c r="A449" t="str">
        <f>"10512020072619071529325"</f>
        <v>10512020072619071529325</v>
      </c>
      <c r="B449" t="s">
        <v>8</v>
      </c>
      <c r="C449" t="str">
        <f>"邱晨"</f>
        <v>邱晨</v>
      </c>
      <c r="D449" t="str">
        <f>"女"</f>
        <v>女</v>
      </c>
    </row>
    <row r="450" spans="1:4" ht="24" customHeight="1">
      <c r="A450" t="str">
        <f>"10512020072619073129326"</f>
        <v>10512020072619073129326</v>
      </c>
      <c r="B450" t="s">
        <v>20</v>
      </c>
      <c r="C450" t="str">
        <f>"皇佩"</f>
        <v>皇佩</v>
      </c>
      <c r="D450" t="str">
        <f>"女"</f>
        <v>女</v>
      </c>
    </row>
    <row r="451" spans="1:4" ht="24" customHeight="1">
      <c r="A451" t="str">
        <f>"10512020072619080929327"</f>
        <v>10512020072619080929327</v>
      </c>
      <c r="B451" t="s">
        <v>5</v>
      </c>
      <c r="C451" t="str">
        <f>"朱远翔"</f>
        <v>朱远翔</v>
      </c>
      <c r="D451" t="str">
        <f>"男"</f>
        <v>男</v>
      </c>
    </row>
    <row r="452" spans="1:4" ht="24" customHeight="1">
      <c r="A452" t="str">
        <f>"10512020072619091229328"</f>
        <v>10512020072619091229328</v>
      </c>
      <c r="B452" t="s">
        <v>12</v>
      </c>
      <c r="C452" t="str">
        <f>"李泽林"</f>
        <v>李泽林</v>
      </c>
      <c r="D452" t="str">
        <f>"男"</f>
        <v>男</v>
      </c>
    </row>
    <row r="453" spans="1:4" ht="24" customHeight="1">
      <c r="A453" t="str">
        <f>"10512020072619115229329"</f>
        <v>10512020072619115229329</v>
      </c>
      <c r="B453" t="s">
        <v>29</v>
      </c>
      <c r="C453" t="str">
        <f>"向洋宏"</f>
        <v>向洋宏</v>
      </c>
      <c r="D453" t="str">
        <f>"女"</f>
        <v>女</v>
      </c>
    </row>
    <row r="454" spans="1:4" ht="24" customHeight="1">
      <c r="A454" t="str">
        <f>"10512020072619121429330"</f>
        <v>10512020072619121429330</v>
      </c>
      <c r="B454" t="s">
        <v>14</v>
      </c>
      <c r="C454" t="str">
        <f>"王晶晶"</f>
        <v>王晶晶</v>
      </c>
      <c r="D454" t="str">
        <f>"女"</f>
        <v>女</v>
      </c>
    </row>
    <row r="455" spans="1:4" ht="24" customHeight="1">
      <c r="A455" t="str">
        <f>"10512020072619133229331"</f>
        <v>10512020072619133229331</v>
      </c>
      <c r="B455" t="s">
        <v>33</v>
      </c>
      <c r="C455" t="str">
        <f>"陈璞"</f>
        <v>陈璞</v>
      </c>
      <c r="D455" t="str">
        <f>"女"</f>
        <v>女</v>
      </c>
    </row>
    <row r="456" spans="1:4" ht="24" customHeight="1">
      <c r="A456" t="str">
        <f>"10512020072619191029332"</f>
        <v>10512020072619191029332</v>
      </c>
      <c r="B456" t="s">
        <v>9</v>
      </c>
      <c r="C456" t="str">
        <f>"孟超"</f>
        <v>孟超</v>
      </c>
      <c r="D456" t="str">
        <f>"男"</f>
        <v>男</v>
      </c>
    </row>
    <row r="457" spans="1:4" ht="24" customHeight="1">
      <c r="A457" t="str">
        <f>"10512020072619210729334"</f>
        <v>10512020072619210729334</v>
      </c>
      <c r="B457" t="s">
        <v>6</v>
      </c>
      <c r="C457" t="str">
        <f>"李欣"</f>
        <v>李欣</v>
      </c>
      <c r="D457" t="str">
        <f>"男"</f>
        <v>男</v>
      </c>
    </row>
    <row r="458" spans="1:4" ht="24" customHeight="1">
      <c r="A458" t="str">
        <f>"10512020072619285829335"</f>
        <v>10512020072619285829335</v>
      </c>
      <c r="B458" t="s">
        <v>13</v>
      </c>
      <c r="C458" t="str">
        <f>"龙敏子"</f>
        <v>龙敏子</v>
      </c>
      <c r="D458" t="str">
        <f>"女"</f>
        <v>女</v>
      </c>
    </row>
    <row r="459" spans="1:4" ht="24" customHeight="1">
      <c r="A459" t="str">
        <f>"10512020072619310029336"</f>
        <v>10512020072619310029336</v>
      </c>
      <c r="B459" t="s">
        <v>5</v>
      </c>
      <c r="C459" t="str">
        <f>"何俊康"</f>
        <v>何俊康</v>
      </c>
      <c r="D459" t="str">
        <f>"男"</f>
        <v>男</v>
      </c>
    </row>
    <row r="460" spans="1:4" ht="24" customHeight="1">
      <c r="A460" t="str">
        <f>"10512020072619310429337"</f>
        <v>10512020072619310429337</v>
      </c>
      <c r="B460" t="s">
        <v>21</v>
      </c>
      <c r="C460" t="str">
        <f>"郑雅婷"</f>
        <v>郑雅婷</v>
      </c>
      <c r="D460" t="str">
        <f>"女"</f>
        <v>女</v>
      </c>
    </row>
    <row r="461" spans="1:4" ht="24" customHeight="1">
      <c r="A461" t="str">
        <f>"10512020072619351329338"</f>
        <v>10512020072619351329338</v>
      </c>
      <c r="B461" t="s">
        <v>45</v>
      </c>
      <c r="C461" t="str">
        <f>"刘思伟"</f>
        <v>刘思伟</v>
      </c>
      <c r="D461" t="str">
        <f>"男"</f>
        <v>男</v>
      </c>
    </row>
    <row r="462" spans="1:4" ht="24" customHeight="1">
      <c r="A462" t="str">
        <f>"10512020072619360529339"</f>
        <v>10512020072619360529339</v>
      </c>
      <c r="B462" t="s">
        <v>48</v>
      </c>
      <c r="C462" t="str">
        <f>"龚启国"</f>
        <v>龚启国</v>
      </c>
      <c r="D462" t="str">
        <f>"男"</f>
        <v>男</v>
      </c>
    </row>
    <row r="463" spans="1:4" ht="24" customHeight="1">
      <c r="A463" t="str">
        <f>"10512020072619371529340"</f>
        <v>10512020072619371529340</v>
      </c>
      <c r="B463" t="s">
        <v>7</v>
      </c>
      <c r="C463" t="str">
        <f>"陈雅林"</f>
        <v>陈雅林</v>
      </c>
      <c r="D463" t="str">
        <f>"女"</f>
        <v>女</v>
      </c>
    </row>
    <row r="464" spans="1:4" ht="24" customHeight="1">
      <c r="A464" t="str">
        <f>"10512020072619372729341"</f>
        <v>10512020072619372729341</v>
      </c>
      <c r="B464" t="s">
        <v>27</v>
      </c>
      <c r="C464" t="str">
        <f>"方浩"</f>
        <v>方浩</v>
      </c>
      <c r="D464" t="str">
        <f>"男"</f>
        <v>男</v>
      </c>
    </row>
    <row r="465" spans="1:4" ht="24" customHeight="1">
      <c r="A465" t="str">
        <f>"10512020072619380829342"</f>
        <v>10512020072619380829342</v>
      </c>
      <c r="B465" t="s">
        <v>7</v>
      </c>
      <c r="C465" t="str">
        <f>"康琳苓"</f>
        <v>康琳苓</v>
      </c>
      <c r="D465" t="str">
        <f>"女"</f>
        <v>女</v>
      </c>
    </row>
    <row r="466" spans="1:4" ht="24" customHeight="1">
      <c r="A466" t="str">
        <f>"10512020072619383029343"</f>
        <v>10512020072619383029343</v>
      </c>
      <c r="B466" t="s">
        <v>11</v>
      </c>
      <c r="C466" t="str">
        <f>"韩柳怡"</f>
        <v>韩柳怡</v>
      </c>
      <c r="D466" t="str">
        <f>"女"</f>
        <v>女</v>
      </c>
    </row>
    <row r="467" spans="1:4" ht="24" customHeight="1">
      <c r="A467" t="str">
        <f>"10512020072619383729344"</f>
        <v>10512020072619383729344</v>
      </c>
      <c r="B467" t="s">
        <v>25</v>
      </c>
      <c r="C467" t="str">
        <f>"陈春艳"</f>
        <v>陈春艳</v>
      </c>
      <c r="D467" t="str">
        <f>"女"</f>
        <v>女</v>
      </c>
    </row>
    <row r="468" spans="1:4" ht="24" customHeight="1">
      <c r="A468" t="str">
        <f>"10512020072619384229345"</f>
        <v>10512020072619384229345</v>
      </c>
      <c r="B468" t="s">
        <v>11</v>
      </c>
      <c r="C468" t="str">
        <f>"黄晶"</f>
        <v>黄晶</v>
      </c>
      <c r="D468" t="str">
        <f>"女"</f>
        <v>女</v>
      </c>
    </row>
    <row r="469" spans="1:4" ht="24" customHeight="1">
      <c r="A469" t="str">
        <f>"10512020072619434429347"</f>
        <v>10512020072619434429347</v>
      </c>
      <c r="B469" t="s">
        <v>48</v>
      </c>
      <c r="C469" t="str">
        <f>"黄聪"</f>
        <v>黄聪</v>
      </c>
      <c r="D469" t="str">
        <f>"男"</f>
        <v>男</v>
      </c>
    </row>
    <row r="470" spans="1:4" ht="24" customHeight="1">
      <c r="A470" t="str">
        <f>"10512020072619434529348"</f>
        <v>10512020072619434529348</v>
      </c>
      <c r="B470" t="s">
        <v>10</v>
      </c>
      <c r="C470" t="str">
        <f>"王贤"</f>
        <v>王贤</v>
      </c>
      <c r="D470" t="str">
        <f>"男"</f>
        <v>男</v>
      </c>
    </row>
    <row r="471" spans="1:4" ht="24" customHeight="1">
      <c r="A471" t="str">
        <f>"10512020072619492529349"</f>
        <v>10512020072619492529349</v>
      </c>
      <c r="B471" t="s">
        <v>21</v>
      </c>
      <c r="C471" t="str">
        <f>"杨杉"</f>
        <v>杨杉</v>
      </c>
      <c r="D471" t="str">
        <f>"女"</f>
        <v>女</v>
      </c>
    </row>
    <row r="472" spans="1:4" ht="24" customHeight="1">
      <c r="A472" t="str">
        <f>"10512020072619504829350"</f>
        <v>10512020072619504829350</v>
      </c>
      <c r="B472" t="s">
        <v>9</v>
      </c>
      <c r="C472" t="str">
        <f>"周莲君"</f>
        <v>周莲君</v>
      </c>
      <c r="D472" t="str">
        <f>"女"</f>
        <v>女</v>
      </c>
    </row>
    <row r="473" spans="1:4" ht="24" customHeight="1">
      <c r="A473" t="str">
        <f>"10512020072619521629351"</f>
        <v>10512020072619521629351</v>
      </c>
      <c r="B473" t="s">
        <v>7</v>
      </c>
      <c r="C473" t="str">
        <f>"邬君佩"</f>
        <v>邬君佩</v>
      </c>
      <c r="D473" t="str">
        <f>"女"</f>
        <v>女</v>
      </c>
    </row>
    <row r="474" spans="1:4" ht="24" customHeight="1">
      <c r="A474" t="str">
        <f>"10512020072619533429352"</f>
        <v>10512020072619533429352</v>
      </c>
      <c r="B474" t="s">
        <v>21</v>
      </c>
      <c r="C474" t="str">
        <f>"付琳"</f>
        <v>付琳</v>
      </c>
      <c r="D474" t="str">
        <f>"女"</f>
        <v>女</v>
      </c>
    </row>
    <row r="475" spans="1:4" ht="24" customHeight="1">
      <c r="A475" t="str">
        <f>"10512020072619561729353"</f>
        <v>10512020072619561729353</v>
      </c>
      <c r="B475" t="s">
        <v>31</v>
      </c>
      <c r="C475" t="str">
        <f>"范红炜"</f>
        <v>范红炜</v>
      </c>
      <c r="D475" t="str">
        <f>"男"</f>
        <v>男</v>
      </c>
    </row>
    <row r="476" spans="1:4" ht="24" customHeight="1">
      <c r="A476" t="str">
        <f>"10512020072619584329354"</f>
        <v>10512020072619584329354</v>
      </c>
      <c r="B476" t="s">
        <v>11</v>
      </c>
      <c r="C476" t="str">
        <f>"雷丹"</f>
        <v>雷丹</v>
      </c>
      <c r="D476" t="str">
        <f>"女"</f>
        <v>女</v>
      </c>
    </row>
    <row r="477" spans="1:4" ht="24" customHeight="1">
      <c r="A477" t="str">
        <f>"10512020072620004929355"</f>
        <v>10512020072620004929355</v>
      </c>
      <c r="B477" t="s">
        <v>12</v>
      </c>
      <c r="C477" t="str">
        <f>"陈然"</f>
        <v>陈然</v>
      </c>
      <c r="D477" t="str">
        <f>"女"</f>
        <v>女</v>
      </c>
    </row>
    <row r="478" spans="1:4" ht="24" customHeight="1">
      <c r="A478" t="str">
        <f>"10512020072620013829356"</f>
        <v>10512020072620013829356</v>
      </c>
      <c r="B478" t="s">
        <v>6</v>
      </c>
      <c r="C478" t="str">
        <f>"向美玉"</f>
        <v>向美玉</v>
      </c>
      <c r="D478" t="str">
        <f>"女"</f>
        <v>女</v>
      </c>
    </row>
    <row r="479" spans="1:4" ht="24" customHeight="1">
      <c r="A479" t="str">
        <f>"10512020072620044529357"</f>
        <v>10512020072620044529357</v>
      </c>
      <c r="B479" t="s">
        <v>8</v>
      </c>
      <c r="C479" t="str">
        <f>"孙凡"</f>
        <v>孙凡</v>
      </c>
      <c r="D479" t="str">
        <f>"女"</f>
        <v>女</v>
      </c>
    </row>
    <row r="480" spans="1:4" ht="24" customHeight="1">
      <c r="A480" t="str">
        <f>"10512020072620065729358"</f>
        <v>10512020072620065729358</v>
      </c>
      <c r="B480" t="s">
        <v>11</v>
      </c>
      <c r="C480" t="str">
        <f>"赵璐"</f>
        <v>赵璐</v>
      </c>
      <c r="D480" t="str">
        <f>"女"</f>
        <v>女</v>
      </c>
    </row>
    <row r="481" spans="1:4" ht="24" customHeight="1">
      <c r="A481" t="str">
        <f>"10512020072620175229360"</f>
        <v>10512020072620175229360</v>
      </c>
      <c r="B481" t="s">
        <v>57</v>
      </c>
      <c r="C481" t="str">
        <f>"彭勇"</f>
        <v>彭勇</v>
      </c>
      <c r="D481" t="str">
        <f>"男"</f>
        <v>男</v>
      </c>
    </row>
    <row r="482" spans="1:4" ht="24" customHeight="1">
      <c r="A482" t="str">
        <f>"10512020072620175229361"</f>
        <v>10512020072620175229361</v>
      </c>
      <c r="B482" t="s">
        <v>13</v>
      </c>
      <c r="C482" t="str">
        <f>"邹明佳"</f>
        <v>邹明佳</v>
      </c>
      <c r="D482" t="str">
        <f>"男"</f>
        <v>男</v>
      </c>
    </row>
    <row r="483" spans="1:4" ht="24" customHeight="1">
      <c r="A483" t="str">
        <f>"10512020072620211029362"</f>
        <v>10512020072620211029362</v>
      </c>
      <c r="B483" t="s">
        <v>23</v>
      </c>
      <c r="C483" t="str">
        <f>"张永超"</f>
        <v>张永超</v>
      </c>
      <c r="D483" t="str">
        <f>"男"</f>
        <v>男</v>
      </c>
    </row>
    <row r="484" spans="1:4" ht="24" customHeight="1">
      <c r="A484" t="str">
        <f>"10512020072620215129363"</f>
        <v>10512020072620215129363</v>
      </c>
      <c r="B484" t="s">
        <v>25</v>
      </c>
      <c r="C484" t="str">
        <f>"钟煜瑛"</f>
        <v>钟煜瑛</v>
      </c>
      <c r="D484" t="str">
        <f>"女"</f>
        <v>女</v>
      </c>
    </row>
    <row r="485" spans="1:4" ht="24" customHeight="1">
      <c r="A485" t="str">
        <f>"10512020072620233929364"</f>
        <v>10512020072620233929364</v>
      </c>
      <c r="B485" t="s">
        <v>16</v>
      </c>
      <c r="C485" t="str">
        <f>"杨友圆"</f>
        <v>杨友圆</v>
      </c>
      <c r="D485" t="str">
        <f>"男"</f>
        <v>男</v>
      </c>
    </row>
    <row r="486" spans="1:4" ht="24" customHeight="1">
      <c r="A486" t="str">
        <f>"10512020072620241629365"</f>
        <v>10512020072620241629365</v>
      </c>
      <c r="B486" t="s">
        <v>54</v>
      </c>
      <c r="C486" t="str">
        <f>"鲁洁彤"</f>
        <v>鲁洁彤</v>
      </c>
      <c r="D486" t="str">
        <f>"女"</f>
        <v>女</v>
      </c>
    </row>
    <row r="487" spans="1:4" ht="24" customHeight="1">
      <c r="A487" t="str">
        <f>"10512020072620323829366"</f>
        <v>10512020072620323829366</v>
      </c>
      <c r="B487" t="s">
        <v>16</v>
      </c>
      <c r="C487" t="str">
        <f>"向阳"</f>
        <v>向阳</v>
      </c>
      <c r="D487" t="str">
        <f>"男"</f>
        <v>男</v>
      </c>
    </row>
    <row r="488" spans="1:4" ht="24" customHeight="1">
      <c r="A488" t="str">
        <f>"10512020072620332029367"</f>
        <v>10512020072620332029367</v>
      </c>
      <c r="B488" t="s">
        <v>50</v>
      </c>
      <c r="C488" t="str">
        <f>"刘炅"</f>
        <v>刘炅</v>
      </c>
      <c r="D488" t="str">
        <f>"男"</f>
        <v>男</v>
      </c>
    </row>
    <row r="489" spans="1:4" ht="24" customHeight="1">
      <c r="A489" t="str">
        <f>"10512020072620340329368"</f>
        <v>10512020072620340329368</v>
      </c>
      <c r="B489" t="s">
        <v>13</v>
      </c>
      <c r="C489" t="str">
        <f>"蹇珊"</f>
        <v>蹇珊</v>
      </c>
      <c r="D489" t="str">
        <f>"女"</f>
        <v>女</v>
      </c>
    </row>
    <row r="490" spans="1:4" ht="24" customHeight="1">
      <c r="A490" t="str">
        <f>"10512020072620343229369"</f>
        <v>10512020072620343229369</v>
      </c>
      <c r="B490" t="s">
        <v>38</v>
      </c>
      <c r="C490" t="str">
        <f>"邢梦洁"</f>
        <v>邢梦洁</v>
      </c>
      <c r="D490" t="str">
        <f>"女"</f>
        <v>女</v>
      </c>
    </row>
    <row r="491" spans="1:4" ht="24" customHeight="1">
      <c r="A491" t="str">
        <f>"10512020072620384229370"</f>
        <v>10512020072620384229370</v>
      </c>
      <c r="B491" t="s">
        <v>20</v>
      </c>
      <c r="C491" t="str">
        <f>"杨广琦"</f>
        <v>杨广琦</v>
      </c>
      <c r="D491" t="str">
        <f>"男"</f>
        <v>男</v>
      </c>
    </row>
    <row r="492" spans="1:4" ht="24" customHeight="1">
      <c r="A492" t="str">
        <f>"10512020072620415129371"</f>
        <v>10512020072620415129371</v>
      </c>
      <c r="B492" t="s">
        <v>6</v>
      </c>
      <c r="C492" t="str">
        <f>"漆圆圆"</f>
        <v>漆圆圆</v>
      </c>
      <c r="D492" t="str">
        <f>"女"</f>
        <v>女</v>
      </c>
    </row>
    <row r="493" spans="1:4" ht="24" customHeight="1">
      <c r="A493" t="str">
        <f>"10512020072620431129372"</f>
        <v>10512020072620431129372</v>
      </c>
      <c r="B493" t="s">
        <v>33</v>
      </c>
      <c r="C493" t="str">
        <f>"徐邦高"</f>
        <v>徐邦高</v>
      </c>
      <c r="D493" t="str">
        <f>"男"</f>
        <v>男</v>
      </c>
    </row>
    <row r="494" spans="1:4" ht="24" customHeight="1">
      <c r="A494" t="str">
        <f>"10512020072620442729373"</f>
        <v>10512020072620442729373</v>
      </c>
      <c r="B494" t="s">
        <v>9</v>
      </c>
      <c r="C494" t="str">
        <f>"王艺欣"</f>
        <v>王艺欣</v>
      </c>
      <c r="D494" t="str">
        <f>"女"</f>
        <v>女</v>
      </c>
    </row>
    <row r="495" spans="1:4" ht="24" customHeight="1">
      <c r="A495" t="str">
        <f>"10512020072620490429374"</f>
        <v>10512020072620490429374</v>
      </c>
      <c r="B495" t="s">
        <v>14</v>
      </c>
      <c r="C495" t="str">
        <f>"李阿俊"</f>
        <v>李阿俊</v>
      </c>
      <c r="D495" t="str">
        <f>"女"</f>
        <v>女</v>
      </c>
    </row>
    <row r="496" spans="1:4" ht="24" customHeight="1">
      <c r="A496" t="str">
        <f>"10512020072620505129375"</f>
        <v>10512020072620505129375</v>
      </c>
      <c r="B496" t="s">
        <v>13</v>
      </c>
      <c r="C496" t="str">
        <f>"庹雅琴"</f>
        <v>庹雅琴</v>
      </c>
      <c r="D496" t="str">
        <f>"女"</f>
        <v>女</v>
      </c>
    </row>
    <row r="497" spans="1:4" ht="24" customHeight="1">
      <c r="A497" t="str">
        <f>"10512020072620514429376"</f>
        <v>10512020072620514429376</v>
      </c>
      <c r="B497" t="s">
        <v>15</v>
      </c>
      <c r="C497" t="str">
        <f>"熊佳富"</f>
        <v>熊佳富</v>
      </c>
      <c r="D497" t="str">
        <f>"男"</f>
        <v>男</v>
      </c>
    </row>
    <row r="498" spans="1:4" ht="24" customHeight="1">
      <c r="A498" t="str">
        <f>"10512020072620574029377"</f>
        <v>10512020072620574029377</v>
      </c>
      <c r="B498" t="s">
        <v>30</v>
      </c>
      <c r="C498" t="str">
        <f>"刘玲"</f>
        <v>刘玲</v>
      </c>
      <c r="D498" t="str">
        <f>"女"</f>
        <v>女</v>
      </c>
    </row>
    <row r="499" spans="1:4" ht="24" customHeight="1">
      <c r="A499" t="str">
        <f>"10512020072620593829378"</f>
        <v>10512020072620593829378</v>
      </c>
      <c r="B499" t="s">
        <v>11</v>
      </c>
      <c r="C499" t="str">
        <f>"姚文伟"</f>
        <v>姚文伟</v>
      </c>
      <c r="D499" t="str">
        <f>"男"</f>
        <v>男</v>
      </c>
    </row>
    <row r="500" spans="1:4" ht="24" customHeight="1">
      <c r="A500" t="str">
        <f>"10512020072620594329379"</f>
        <v>10512020072620594329379</v>
      </c>
      <c r="B500" t="s">
        <v>20</v>
      </c>
      <c r="C500" t="str">
        <f>"吴燕庆"</f>
        <v>吴燕庆</v>
      </c>
      <c r="D500" t="str">
        <f>"男"</f>
        <v>男</v>
      </c>
    </row>
    <row r="501" spans="1:4" ht="24" customHeight="1">
      <c r="A501" t="str">
        <f>"10512020072621014429381"</f>
        <v>10512020072621014429381</v>
      </c>
      <c r="B501" t="s">
        <v>31</v>
      </c>
      <c r="C501" t="str">
        <f>"梅仕政"</f>
        <v>梅仕政</v>
      </c>
      <c r="D501" t="str">
        <f>"男"</f>
        <v>男</v>
      </c>
    </row>
    <row r="502" spans="1:4" ht="24" customHeight="1">
      <c r="A502" t="str">
        <f>"10512020072621055429382"</f>
        <v>10512020072621055429382</v>
      </c>
      <c r="B502" t="s">
        <v>14</v>
      </c>
      <c r="C502" t="str">
        <f>"张伟超"</f>
        <v>张伟超</v>
      </c>
      <c r="D502" t="str">
        <f>"女"</f>
        <v>女</v>
      </c>
    </row>
    <row r="503" spans="1:4" ht="24" customHeight="1">
      <c r="A503" t="str">
        <f>"10512020072621060129383"</f>
        <v>10512020072621060129383</v>
      </c>
      <c r="B503" t="s">
        <v>9</v>
      </c>
      <c r="C503" t="str">
        <f>"向荣"</f>
        <v>向荣</v>
      </c>
      <c r="D503" t="str">
        <f>"男"</f>
        <v>男</v>
      </c>
    </row>
    <row r="504" spans="1:4" ht="24" customHeight="1">
      <c r="A504" t="str">
        <f>"10512020072621060629384"</f>
        <v>10512020072621060629384</v>
      </c>
      <c r="B504" t="s">
        <v>6</v>
      </c>
      <c r="C504" t="str">
        <f>"杨凌雲"</f>
        <v>杨凌雲</v>
      </c>
      <c r="D504" t="str">
        <f>"女"</f>
        <v>女</v>
      </c>
    </row>
    <row r="505" spans="1:4" ht="24" customHeight="1">
      <c r="A505" t="str">
        <f>"10512020072621094029385"</f>
        <v>10512020072621094029385</v>
      </c>
      <c r="B505" t="s">
        <v>27</v>
      </c>
      <c r="C505" t="str">
        <f>"黄家豪"</f>
        <v>黄家豪</v>
      </c>
      <c r="D505" t="str">
        <f>"男"</f>
        <v>男</v>
      </c>
    </row>
    <row r="506" spans="1:4" ht="24" customHeight="1">
      <c r="A506" t="str">
        <f>"10512020072621173429386"</f>
        <v>10512020072621173429386</v>
      </c>
      <c r="B506" t="s">
        <v>16</v>
      </c>
      <c r="C506" t="str">
        <f>"李次彬"</f>
        <v>李次彬</v>
      </c>
      <c r="D506" t="str">
        <f>"男"</f>
        <v>男</v>
      </c>
    </row>
    <row r="507" spans="1:4" ht="24" customHeight="1">
      <c r="A507" t="str">
        <f>"10512020072621251929387"</f>
        <v>10512020072621251929387</v>
      </c>
      <c r="B507" t="s">
        <v>13</v>
      </c>
      <c r="C507" t="str">
        <f>"袁潇"</f>
        <v>袁潇</v>
      </c>
      <c r="D507" t="str">
        <f>"女"</f>
        <v>女</v>
      </c>
    </row>
    <row r="508" spans="1:4" ht="24" customHeight="1">
      <c r="A508" t="str">
        <f>"10512020072621332729388"</f>
        <v>10512020072621332729388</v>
      </c>
      <c r="B508" t="s">
        <v>55</v>
      </c>
      <c r="C508" t="str">
        <f>"刘武奇"</f>
        <v>刘武奇</v>
      </c>
      <c r="D508" t="str">
        <f>"男"</f>
        <v>男</v>
      </c>
    </row>
    <row r="509" spans="1:4" ht="24" customHeight="1">
      <c r="A509" t="str">
        <f>"10512020072621333029389"</f>
        <v>10512020072621333029389</v>
      </c>
      <c r="B509" t="s">
        <v>7</v>
      </c>
      <c r="C509" t="str">
        <f>"李丽珊"</f>
        <v>李丽珊</v>
      </c>
      <c r="D509" t="str">
        <f>"女"</f>
        <v>女</v>
      </c>
    </row>
    <row r="510" spans="1:4" ht="24" customHeight="1">
      <c r="A510" t="str">
        <f>"10512020072621362829390"</f>
        <v>10512020072621362829390</v>
      </c>
      <c r="B510" t="s">
        <v>33</v>
      </c>
      <c r="C510" t="str">
        <f>"雷川"</f>
        <v>雷川</v>
      </c>
      <c r="D510" t="str">
        <f>"女"</f>
        <v>女</v>
      </c>
    </row>
    <row r="511" spans="1:4" ht="24" customHeight="1">
      <c r="A511" t="str">
        <f>"10512020072621381729391"</f>
        <v>10512020072621381729391</v>
      </c>
      <c r="B511" t="s">
        <v>23</v>
      </c>
      <c r="C511" t="str">
        <f>"罗元晋"</f>
        <v>罗元晋</v>
      </c>
      <c r="D511" t="str">
        <f>"男"</f>
        <v>男</v>
      </c>
    </row>
    <row r="512" spans="1:4" ht="24" customHeight="1">
      <c r="A512" t="str">
        <f>"10512020072621480729392"</f>
        <v>10512020072621480729392</v>
      </c>
      <c r="B512" t="s">
        <v>7</v>
      </c>
      <c r="C512" t="str">
        <f>"蔡卓尔"</f>
        <v>蔡卓尔</v>
      </c>
      <c r="D512" t="str">
        <f>"女"</f>
        <v>女</v>
      </c>
    </row>
    <row r="513" spans="1:4" ht="24" customHeight="1">
      <c r="A513" t="str">
        <f>"10512020072621483629393"</f>
        <v>10512020072621483629393</v>
      </c>
      <c r="B513" t="s">
        <v>7</v>
      </c>
      <c r="C513" t="str">
        <f>"夏艳姣"</f>
        <v>夏艳姣</v>
      </c>
      <c r="D513" t="str">
        <f>"女"</f>
        <v>女</v>
      </c>
    </row>
    <row r="514" spans="1:4" ht="24" customHeight="1">
      <c r="A514" t="str">
        <f>"10512020072621523629395"</f>
        <v>10512020072621523629395</v>
      </c>
      <c r="B514" t="s">
        <v>21</v>
      </c>
      <c r="C514" t="str">
        <f>"袁毓章"</f>
        <v>袁毓章</v>
      </c>
      <c r="D514" t="str">
        <f>"女"</f>
        <v>女</v>
      </c>
    </row>
    <row r="515" spans="1:4" ht="24" customHeight="1">
      <c r="A515" t="str">
        <f>"10512020072621541029396"</f>
        <v>10512020072621541029396</v>
      </c>
      <c r="B515" t="s">
        <v>20</v>
      </c>
      <c r="C515" t="str">
        <f>"刘敏"</f>
        <v>刘敏</v>
      </c>
      <c r="D515" t="str">
        <f>"男"</f>
        <v>男</v>
      </c>
    </row>
    <row r="516" spans="1:4" ht="24" customHeight="1">
      <c r="A516" t="str">
        <f>"10512020072622050429398"</f>
        <v>10512020072622050429398</v>
      </c>
      <c r="B516" t="s">
        <v>12</v>
      </c>
      <c r="C516" t="str">
        <f>"周洋"</f>
        <v>周洋</v>
      </c>
      <c r="D516" t="str">
        <f>"男"</f>
        <v>男</v>
      </c>
    </row>
    <row r="517" spans="1:4" ht="24" customHeight="1">
      <c r="A517" t="str">
        <f>"10512020072622073229399"</f>
        <v>10512020072622073229399</v>
      </c>
      <c r="B517" t="s">
        <v>9</v>
      </c>
      <c r="C517" t="str">
        <f>"卢木森"</f>
        <v>卢木森</v>
      </c>
      <c r="D517" t="str">
        <f>"男"</f>
        <v>男</v>
      </c>
    </row>
    <row r="518" spans="1:4" ht="24" customHeight="1">
      <c r="A518" t="str">
        <f>"10512020072622141529400"</f>
        <v>10512020072622141529400</v>
      </c>
      <c r="B518" t="s">
        <v>26</v>
      </c>
      <c r="C518" t="str">
        <f>"吴昕"</f>
        <v>吴昕</v>
      </c>
      <c r="D518" t="str">
        <f>"男"</f>
        <v>男</v>
      </c>
    </row>
    <row r="519" spans="1:4" ht="24" customHeight="1">
      <c r="A519" t="str">
        <f>"10512020072622335129401"</f>
        <v>10512020072622335129401</v>
      </c>
      <c r="B519" t="s">
        <v>6</v>
      </c>
      <c r="C519" t="str">
        <f>"杨纯"</f>
        <v>杨纯</v>
      </c>
      <c r="D519" t="str">
        <f>"女"</f>
        <v>女</v>
      </c>
    </row>
    <row r="520" spans="1:4" ht="24" customHeight="1">
      <c r="A520" t="str">
        <f>"10512020072622474929402"</f>
        <v>10512020072622474929402</v>
      </c>
      <c r="B520" t="s">
        <v>11</v>
      </c>
      <c r="C520" t="str">
        <f>"丁竹"</f>
        <v>丁竹</v>
      </c>
      <c r="D520" t="str">
        <f>"男"</f>
        <v>男</v>
      </c>
    </row>
    <row r="521" spans="1:4" ht="24" customHeight="1">
      <c r="A521" t="str">
        <f>"10512020072622481129403"</f>
        <v>10512020072622481129403</v>
      </c>
      <c r="B521" t="s">
        <v>45</v>
      </c>
      <c r="C521" t="str">
        <f>"易伟"</f>
        <v>易伟</v>
      </c>
      <c r="D521" t="str">
        <f>"男"</f>
        <v>男</v>
      </c>
    </row>
    <row r="522" spans="1:4" ht="24" customHeight="1">
      <c r="A522" t="str">
        <f>"10512020072622483829404"</f>
        <v>10512020072622483829404</v>
      </c>
      <c r="B522" t="s">
        <v>11</v>
      </c>
      <c r="C522" t="str">
        <f>"黄莉达"</f>
        <v>黄莉达</v>
      </c>
      <c r="D522" t="str">
        <f>"男"</f>
        <v>男</v>
      </c>
    </row>
    <row r="523" spans="1:4" ht="24" customHeight="1">
      <c r="A523" t="str">
        <f>"10512020072623212729406"</f>
        <v>10512020072623212729406</v>
      </c>
      <c r="B523" t="s">
        <v>8</v>
      </c>
      <c r="C523" t="str">
        <f>"谭颖"</f>
        <v>谭颖</v>
      </c>
      <c r="D523" t="str">
        <f>"女"</f>
        <v>女</v>
      </c>
    </row>
    <row r="524" spans="1:4" ht="24" customHeight="1">
      <c r="A524" t="str">
        <f>"10512020072623242729407"</f>
        <v>10512020072623242729407</v>
      </c>
      <c r="B524" t="s">
        <v>8</v>
      </c>
      <c r="C524" t="str">
        <f>"毛宇轩"</f>
        <v>毛宇轩</v>
      </c>
      <c r="D524" t="str">
        <f>"男"</f>
        <v>男</v>
      </c>
    </row>
    <row r="525" spans="1:4" ht="24" customHeight="1">
      <c r="A525" t="str">
        <f>"10512020072700172429408"</f>
        <v>10512020072700172429408</v>
      </c>
      <c r="B525" t="s">
        <v>58</v>
      </c>
      <c r="C525" t="str">
        <f>"阮冰睿"</f>
        <v>阮冰睿</v>
      </c>
      <c r="D525" t="str">
        <f>"女"</f>
        <v>女</v>
      </c>
    </row>
    <row r="526" spans="1:4" ht="24" customHeight="1">
      <c r="A526" t="str">
        <f>"10512020072700361829409"</f>
        <v>10512020072700361829409</v>
      </c>
      <c r="B526" t="s">
        <v>33</v>
      </c>
      <c r="C526" t="str">
        <f>"周俊宇"</f>
        <v>周俊宇</v>
      </c>
      <c r="D526" t="str">
        <f>"男"</f>
        <v>男</v>
      </c>
    </row>
    <row r="527" spans="1:4" ht="24" customHeight="1">
      <c r="A527" t="str">
        <f>"10512020072700463529410"</f>
        <v>10512020072700463529410</v>
      </c>
      <c r="B527" t="s">
        <v>37</v>
      </c>
      <c r="C527" t="str">
        <f>"匡伟民"</f>
        <v>匡伟民</v>
      </c>
      <c r="D527" t="str">
        <f>"男"</f>
        <v>男</v>
      </c>
    </row>
    <row r="528" spans="1:4" ht="24" customHeight="1">
      <c r="A528" t="str">
        <f>"10512020072705190329412"</f>
        <v>10512020072705190329412</v>
      </c>
      <c r="B528" t="s">
        <v>21</v>
      </c>
      <c r="C528" t="str">
        <f>"张颖智"</f>
        <v>张颖智</v>
      </c>
      <c r="D528" t="str">
        <f>"男"</f>
        <v>男</v>
      </c>
    </row>
    <row r="529" spans="1:4" ht="24" customHeight="1">
      <c r="A529" t="str">
        <f>"10512020072706352529414"</f>
        <v>10512020072706352529414</v>
      </c>
      <c r="B529" t="s">
        <v>21</v>
      </c>
      <c r="C529" t="str">
        <f>"刘丽柔"</f>
        <v>刘丽柔</v>
      </c>
      <c r="D529" t="str">
        <f>"女"</f>
        <v>女</v>
      </c>
    </row>
    <row r="530" spans="1:4" ht="24" customHeight="1">
      <c r="A530" t="str">
        <f>"10512020072707380629415"</f>
        <v>10512020072707380629415</v>
      </c>
      <c r="B530" t="s">
        <v>21</v>
      </c>
      <c r="C530" t="str">
        <f>"刘金金"</f>
        <v>刘金金</v>
      </c>
      <c r="D530" t="str">
        <f>"女"</f>
        <v>女</v>
      </c>
    </row>
    <row r="531" spans="1:4" ht="24" customHeight="1">
      <c r="A531" t="str">
        <f>"10512020072707490529416"</f>
        <v>10512020072707490529416</v>
      </c>
      <c r="B531" t="s">
        <v>29</v>
      </c>
      <c r="C531" t="str">
        <f>"邹松青"</f>
        <v>邹松青</v>
      </c>
      <c r="D531" t="str">
        <f>"男"</f>
        <v>男</v>
      </c>
    </row>
    <row r="532" spans="1:4" ht="24" customHeight="1">
      <c r="A532" t="str">
        <f>"10512020072707580329418"</f>
        <v>10512020072707580329418</v>
      </c>
      <c r="B532" t="s">
        <v>26</v>
      </c>
      <c r="C532" t="str">
        <f>"许新"</f>
        <v>许新</v>
      </c>
      <c r="D532" t="str">
        <f>"女"</f>
        <v>女</v>
      </c>
    </row>
    <row r="533" spans="1:4" ht="24" customHeight="1">
      <c r="A533" t="str">
        <f>"10512020072708005629419"</f>
        <v>10512020072708005629419</v>
      </c>
      <c r="B533" t="s">
        <v>15</v>
      </c>
      <c r="C533" t="str">
        <f>"王飞"</f>
        <v>王飞</v>
      </c>
      <c r="D533" t="str">
        <f>"男"</f>
        <v>男</v>
      </c>
    </row>
    <row r="534" spans="1:4" ht="24" customHeight="1">
      <c r="A534" t="str">
        <f>"10512020072708012129420"</f>
        <v>10512020072708012129420</v>
      </c>
      <c r="B534" t="s">
        <v>40</v>
      </c>
      <c r="C534" t="str">
        <f>"张颖"</f>
        <v>张颖</v>
      </c>
      <c r="D534" t="str">
        <f>"女"</f>
        <v>女</v>
      </c>
    </row>
    <row r="535" spans="1:4" ht="24" customHeight="1">
      <c r="A535" t="str">
        <f>"10512020072708023629421"</f>
        <v>10512020072708023629421</v>
      </c>
      <c r="B535" t="s">
        <v>47</v>
      </c>
      <c r="C535" t="str">
        <f>"张佑邦"</f>
        <v>张佑邦</v>
      </c>
      <c r="D535" t="str">
        <f>"男"</f>
        <v>男</v>
      </c>
    </row>
    <row r="536" spans="1:4" ht="24" customHeight="1">
      <c r="A536" t="str">
        <f>"10512020072708030429422"</f>
        <v>10512020072708030429422</v>
      </c>
      <c r="B536" t="s">
        <v>4</v>
      </c>
      <c r="C536" t="str">
        <f>"陈武"</f>
        <v>陈武</v>
      </c>
      <c r="D536" t="str">
        <f>"男"</f>
        <v>男</v>
      </c>
    </row>
    <row r="537" spans="1:4" ht="24" customHeight="1">
      <c r="A537" t="str">
        <f>"10512020072708061429424"</f>
        <v>10512020072708061429424</v>
      </c>
      <c r="B537" t="s">
        <v>8</v>
      </c>
      <c r="C537" t="str">
        <f>"胡娟"</f>
        <v>胡娟</v>
      </c>
      <c r="D537" t="str">
        <f>"女"</f>
        <v>女</v>
      </c>
    </row>
    <row r="538" spans="1:4" ht="24" customHeight="1">
      <c r="A538" t="str">
        <f>"10512020072708080529425"</f>
        <v>10512020072708080529425</v>
      </c>
      <c r="B538" t="s">
        <v>28</v>
      </c>
      <c r="C538" t="str">
        <f>"陈琴慧"</f>
        <v>陈琴慧</v>
      </c>
      <c r="D538" t="str">
        <f>"女"</f>
        <v>女</v>
      </c>
    </row>
    <row r="539" spans="1:4" ht="24" customHeight="1">
      <c r="A539" t="str">
        <f>"10512020072708080729426"</f>
        <v>10512020072708080729426</v>
      </c>
      <c r="B539" t="s">
        <v>38</v>
      </c>
      <c r="C539" t="str">
        <f>"张韫玉"</f>
        <v>张韫玉</v>
      </c>
      <c r="D539" t="str">
        <f>"女"</f>
        <v>女</v>
      </c>
    </row>
    <row r="540" spans="1:4" ht="24" customHeight="1">
      <c r="A540" t="str">
        <f>"10512020072708080829427"</f>
        <v>10512020072708080829427</v>
      </c>
      <c r="B540" t="s">
        <v>10</v>
      </c>
      <c r="C540" t="str">
        <f>"骆梦卓"</f>
        <v>骆梦卓</v>
      </c>
      <c r="D540" t="str">
        <f>"女"</f>
        <v>女</v>
      </c>
    </row>
    <row r="541" spans="1:4" ht="24" customHeight="1">
      <c r="A541" t="str">
        <f>"10512020072708115229428"</f>
        <v>10512020072708115229428</v>
      </c>
      <c r="B541" t="s">
        <v>31</v>
      </c>
      <c r="C541" t="str">
        <f>"涂佳鑫"</f>
        <v>涂佳鑫</v>
      </c>
      <c r="D541" t="str">
        <f>"男"</f>
        <v>男</v>
      </c>
    </row>
    <row r="542" spans="1:4" ht="24" customHeight="1">
      <c r="A542" t="str">
        <f>"10512020072708130229429"</f>
        <v>10512020072708130229429</v>
      </c>
      <c r="B542" t="s">
        <v>23</v>
      </c>
      <c r="C542" t="str">
        <f>"郭斌斌"</f>
        <v>郭斌斌</v>
      </c>
      <c r="D542" t="str">
        <f>"女"</f>
        <v>女</v>
      </c>
    </row>
    <row r="543" spans="1:4" ht="24" customHeight="1">
      <c r="A543" t="str">
        <f>"10512020072708130529430"</f>
        <v>10512020072708130529430</v>
      </c>
      <c r="B543" t="s">
        <v>16</v>
      </c>
      <c r="C543" t="str">
        <f>"黄婧帆"</f>
        <v>黄婧帆</v>
      </c>
      <c r="D543" t="str">
        <f>"女"</f>
        <v>女</v>
      </c>
    </row>
    <row r="544" spans="1:4" ht="24" customHeight="1">
      <c r="A544" t="str">
        <f>"10512020072708135529431"</f>
        <v>10512020072708135529431</v>
      </c>
      <c r="B544" t="s">
        <v>13</v>
      </c>
      <c r="C544" t="str">
        <f>"唐婷"</f>
        <v>唐婷</v>
      </c>
      <c r="D544" t="str">
        <f>"女"</f>
        <v>女</v>
      </c>
    </row>
    <row r="545" spans="1:4" ht="24" customHeight="1">
      <c r="A545" t="str">
        <f>"10512020072708141029432"</f>
        <v>10512020072708141029432</v>
      </c>
      <c r="B545" t="s">
        <v>34</v>
      </c>
      <c r="C545" t="str">
        <f>"许衡"</f>
        <v>许衡</v>
      </c>
      <c r="D545" t="str">
        <f>"男"</f>
        <v>男</v>
      </c>
    </row>
    <row r="546" spans="1:4" ht="24" customHeight="1">
      <c r="A546" t="str">
        <f>"10512020072708143429433"</f>
        <v>10512020072708143429433</v>
      </c>
      <c r="B546" t="s">
        <v>12</v>
      </c>
      <c r="C546" t="str">
        <f>"尹静"</f>
        <v>尹静</v>
      </c>
      <c r="D546" t="str">
        <f>"女"</f>
        <v>女</v>
      </c>
    </row>
    <row r="547" spans="1:4" ht="24" customHeight="1">
      <c r="A547" t="str">
        <f>"10512020072708150329434"</f>
        <v>10512020072708150329434</v>
      </c>
      <c r="B547" t="s">
        <v>10</v>
      </c>
      <c r="C547" t="str">
        <f>"陈功"</f>
        <v>陈功</v>
      </c>
      <c r="D547" t="str">
        <f>"男"</f>
        <v>男</v>
      </c>
    </row>
    <row r="548" spans="1:4" ht="24" customHeight="1">
      <c r="A548" t="str">
        <f>"10512020072708152129435"</f>
        <v>10512020072708152129435</v>
      </c>
      <c r="B548" t="s">
        <v>6</v>
      </c>
      <c r="C548" t="str">
        <f>"郭旭阳"</f>
        <v>郭旭阳</v>
      </c>
      <c r="D548" t="str">
        <f>"男"</f>
        <v>男</v>
      </c>
    </row>
    <row r="549" spans="1:4" ht="24" customHeight="1">
      <c r="A549" t="str">
        <f>"10512020072708153929436"</f>
        <v>10512020072708153929436</v>
      </c>
      <c r="B549" t="s">
        <v>9</v>
      </c>
      <c r="C549" t="str">
        <f>"张佳伟"</f>
        <v>张佳伟</v>
      </c>
      <c r="D549" t="str">
        <f>"男"</f>
        <v>男</v>
      </c>
    </row>
    <row r="550" spans="1:4" ht="24" customHeight="1">
      <c r="A550" t="str">
        <f>"10512020072708154829437"</f>
        <v>10512020072708154829437</v>
      </c>
      <c r="B550" t="s">
        <v>9</v>
      </c>
      <c r="C550" t="str">
        <f>"赵媛"</f>
        <v>赵媛</v>
      </c>
      <c r="D550" t="str">
        <f>"女"</f>
        <v>女</v>
      </c>
    </row>
    <row r="551" spans="1:4" ht="24" customHeight="1">
      <c r="A551" t="str">
        <f>"10512020072708155529438"</f>
        <v>10512020072708155529438</v>
      </c>
      <c r="B551" t="s">
        <v>23</v>
      </c>
      <c r="C551" t="str">
        <f>"刘幸"</f>
        <v>刘幸</v>
      </c>
      <c r="D551" t="str">
        <f>"女"</f>
        <v>女</v>
      </c>
    </row>
    <row r="552" spans="1:4" ht="24" customHeight="1">
      <c r="A552" t="str">
        <f>"10512020072708161229439"</f>
        <v>10512020072708161229439</v>
      </c>
      <c r="B552" t="s">
        <v>12</v>
      </c>
      <c r="C552" t="str">
        <f>"刘帆"</f>
        <v>刘帆</v>
      </c>
      <c r="D552" t="str">
        <f>"男"</f>
        <v>男</v>
      </c>
    </row>
    <row r="553" spans="1:4" ht="24" customHeight="1">
      <c r="A553" t="str">
        <f>"10512020072708164429440"</f>
        <v>10512020072708164429440</v>
      </c>
      <c r="B553" t="s">
        <v>6</v>
      </c>
      <c r="C553" t="str">
        <f>"万稣飞"</f>
        <v>万稣飞</v>
      </c>
      <c r="D553" t="str">
        <f>"女"</f>
        <v>女</v>
      </c>
    </row>
    <row r="554" spans="1:4" ht="24" customHeight="1">
      <c r="A554" t="str">
        <f>"10512020072708174029441"</f>
        <v>10512020072708174029441</v>
      </c>
      <c r="B554" t="s">
        <v>12</v>
      </c>
      <c r="C554" t="str">
        <f>"万良平"</f>
        <v>万良平</v>
      </c>
      <c r="D554" t="str">
        <f>"男"</f>
        <v>男</v>
      </c>
    </row>
    <row r="555" spans="1:4" ht="24" customHeight="1">
      <c r="A555" t="str">
        <f>"10512020072708174129442"</f>
        <v>10512020072708174129442</v>
      </c>
      <c r="B555" t="s">
        <v>6</v>
      </c>
      <c r="C555" t="str">
        <f>"刘雄"</f>
        <v>刘雄</v>
      </c>
      <c r="D555" t="str">
        <f>"男"</f>
        <v>男</v>
      </c>
    </row>
    <row r="556" spans="1:4" ht="24" customHeight="1">
      <c r="A556" t="str">
        <f>"10512020072708175329443"</f>
        <v>10512020072708175329443</v>
      </c>
      <c r="B556" t="s">
        <v>12</v>
      </c>
      <c r="C556" t="str">
        <f>"青爽"</f>
        <v>青爽</v>
      </c>
      <c r="D556" t="str">
        <f>"男"</f>
        <v>男</v>
      </c>
    </row>
    <row r="557" spans="1:4" ht="24" customHeight="1">
      <c r="A557" t="str">
        <f>"10512020072708183429444"</f>
        <v>10512020072708183429444</v>
      </c>
      <c r="B557" t="s">
        <v>41</v>
      </c>
      <c r="C557" t="str">
        <f>"王文洁"</f>
        <v>王文洁</v>
      </c>
      <c r="D557" t="str">
        <f>"女"</f>
        <v>女</v>
      </c>
    </row>
    <row r="558" spans="1:4" ht="24" customHeight="1">
      <c r="A558" t="str">
        <f>"10512020072708201529445"</f>
        <v>10512020072708201529445</v>
      </c>
      <c r="B558" t="s">
        <v>48</v>
      </c>
      <c r="C558" t="str">
        <f>"韩莉莉"</f>
        <v>韩莉莉</v>
      </c>
      <c r="D558" t="str">
        <f>"女"</f>
        <v>女</v>
      </c>
    </row>
    <row r="559" spans="1:4" ht="24" customHeight="1">
      <c r="A559" t="str">
        <f>"10512020072708210729446"</f>
        <v>10512020072708210729446</v>
      </c>
      <c r="B559" t="s">
        <v>49</v>
      </c>
      <c r="C559" t="str">
        <f>"罗筱茉"</f>
        <v>罗筱茉</v>
      </c>
      <c r="D559" t="str">
        <f>"女"</f>
        <v>女</v>
      </c>
    </row>
    <row r="560" spans="1:4" ht="24" customHeight="1">
      <c r="A560" t="str">
        <f>"10512020072708220929447"</f>
        <v>10512020072708220929447</v>
      </c>
      <c r="B560" t="s">
        <v>10</v>
      </c>
      <c r="C560" t="str">
        <f>"龚山辉"</f>
        <v>龚山辉</v>
      </c>
      <c r="D560" t="str">
        <f>"女"</f>
        <v>女</v>
      </c>
    </row>
    <row r="561" spans="1:4" ht="24" customHeight="1">
      <c r="A561" t="str">
        <f>"10512020072708221629448"</f>
        <v>10512020072708221629448</v>
      </c>
      <c r="B561" t="s">
        <v>12</v>
      </c>
      <c r="C561" t="str">
        <f>"卜新林"</f>
        <v>卜新林</v>
      </c>
      <c r="D561" t="str">
        <f>"男"</f>
        <v>男</v>
      </c>
    </row>
    <row r="562" spans="1:4" ht="24" customHeight="1">
      <c r="A562" t="str">
        <f>"10512020072708222929449"</f>
        <v>10512020072708222929449</v>
      </c>
      <c r="B562" t="s">
        <v>39</v>
      </c>
      <c r="C562" t="str">
        <f>"易小淞"</f>
        <v>易小淞</v>
      </c>
      <c r="D562" t="str">
        <f>"男"</f>
        <v>男</v>
      </c>
    </row>
    <row r="563" spans="1:4" ht="24" customHeight="1">
      <c r="A563" t="str">
        <f>"10512020072708250029450"</f>
        <v>10512020072708250029450</v>
      </c>
      <c r="B563" t="s">
        <v>21</v>
      </c>
      <c r="C563" t="str">
        <f>"宁婉昕"</f>
        <v>宁婉昕</v>
      </c>
      <c r="D563" t="str">
        <f>"女"</f>
        <v>女</v>
      </c>
    </row>
    <row r="564" spans="1:4" ht="24" customHeight="1">
      <c r="A564" t="str">
        <f>"10512020072708255229451"</f>
        <v>10512020072708255229451</v>
      </c>
      <c r="B564" t="s">
        <v>29</v>
      </c>
      <c r="C564" t="str">
        <f>"孙雅卉"</f>
        <v>孙雅卉</v>
      </c>
      <c r="D564" t="str">
        <f>"女"</f>
        <v>女</v>
      </c>
    </row>
    <row r="565" spans="1:4" ht="24" customHeight="1">
      <c r="A565" t="str">
        <f>"10512020072708261029452"</f>
        <v>10512020072708261029452</v>
      </c>
      <c r="B565" t="s">
        <v>21</v>
      </c>
      <c r="C565" t="str">
        <f>"宋月薇"</f>
        <v>宋月薇</v>
      </c>
      <c r="D565" t="str">
        <f>"女"</f>
        <v>女</v>
      </c>
    </row>
    <row r="566" spans="1:4" ht="24" customHeight="1">
      <c r="A566" t="str">
        <f>"10512020072708263329453"</f>
        <v>10512020072708263329453</v>
      </c>
      <c r="B566" t="s">
        <v>8</v>
      </c>
      <c r="C566" t="str">
        <f>"冯姜晴"</f>
        <v>冯姜晴</v>
      </c>
      <c r="D566" t="str">
        <f>"女"</f>
        <v>女</v>
      </c>
    </row>
    <row r="567" spans="1:4" ht="24" customHeight="1">
      <c r="A567" t="str">
        <f>"10512020072708264629454"</f>
        <v>10512020072708264629454</v>
      </c>
      <c r="B567" t="s">
        <v>6</v>
      </c>
      <c r="C567" t="str">
        <f>"金纬"</f>
        <v>金纬</v>
      </c>
      <c r="D567" t="str">
        <f>"男"</f>
        <v>男</v>
      </c>
    </row>
    <row r="568" spans="1:4" ht="24" customHeight="1">
      <c r="A568" t="str">
        <f>"10512020072708265429455"</f>
        <v>10512020072708265429455</v>
      </c>
      <c r="B568" t="s">
        <v>13</v>
      </c>
      <c r="C568" t="str">
        <f>"蒋立军"</f>
        <v>蒋立军</v>
      </c>
      <c r="D568" t="str">
        <f>"男"</f>
        <v>男</v>
      </c>
    </row>
    <row r="569" spans="1:4" ht="24" customHeight="1">
      <c r="A569" t="str">
        <f>"10512020072708273629456"</f>
        <v>10512020072708273629456</v>
      </c>
      <c r="B569" t="s">
        <v>32</v>
      </c>
      <c r="C569" t="str">
        <f>"沈思玥"</f>
        <v>沈思玥</v>
      </c>
      <c r="D569" t="str">
        <f>"女"</f>
        <v>女</v>
      </c>
    </row>
    <row r="570" spans="1:4" ht="24" customHeight="1">
      <c r="A570" t="str">
        <f>"10512020072708274329457"</f>
        <v>10512020072708274329457</v>
      </c>
      <c r="B570" t="s">
        <v>10</v>
      </c>
      <c r="C570" t="str">
        <f>"赵芳莉"</f>
        <v>赵芳莉</v>
      </c>
      <c r="D570" t="str">
        <f>"女"</f>
        <v>女</v>
      </c>
    </row>
    <row r="571" spans="1:4" ht="24" customHeight="1">
      <c r="A571" t="str">
        <f>"10512020072708274629458"</f>
        <v>10512020072708274629458</v>
      </c>
      <c r="B571" t="s">
        <v>8</v>
      </c>
      <c r="C571" t="str">
        <f>"罗林涛"</f>
        <v>罗林涛</v>
      </c>
      <c r="D571" t="str">
        <f>"男"</f>
        <v>男</v>
      </c>
    </row>
    <row r="572" spans="1:4" ht="24" customHeight="1">
      <c r="A572" t="str">
        <f>"10512020072708280529459"</f>
        <v>10512020072708280529459</v>
      </c>
      <c r="B572" t="s">
        <v>27</v>
      </c>
      <c r="C572" t="str">
        <f>"郑策文"</f>
        <v>郑策文</v>
      </c>
      <c r="D572" t="str">
        <f>"男"</f>
        <v>男</v>
      </c>
    </row>
    <row r="573" spans="1:4" ht="24" customHeight="1">
      <c r="A573" t="str">
        <f>"10512020072708280829460"</f>
        <v>10512020072708280829460</v>
      </c>
      <c r="B573" t="s">
        <v>10</v>
      </c>
      <c r="C573" t="str">
        <f>"胡辉"</f>
        <v>胡辉</v>
      </c>
      <c r="D573" t="str">
        <f>"女"</f>
        <v>女</v>
      </c>
    </row>
    <row r="574" spans="1:4" ht="24" customHeight="1">
      <c r="A574" t="str">
        <f>"10512020072708282429461"</f>
        <v>10512020072708282429461</v>
      </c>
      <c r="B574" t="s">
        <v>13</v>
      </c>
      <c r="C574" t="str">
        <f>"胡心雨"</f>
        <v>胡心雨</v>
      </c>
      <c r="D574" t="str">
        <f>"女"</f>
        <v>女</v>
      </c>
    </row>
    <row r="575" spans="1:4" ht="24" customHeight="1">
      <c r="A575" t="str">
        <f>"10512020072708292629463"</f>
        <v>10512020072708292629463</v>
      </c>
      <c r="B575" t="s">
        <v>5</v>
      </c>
      <c r="C575" t="str">
        <f>"田由"</f>
        <v>田由</v>
      </c>
      <c r="D575" t="str">
        <f>"男"</f>
        <v>男</v>
      </c>
    </row>
    <row r="576" spans="1:4" ht="24" customHeight="1">
      <c r="A576" t="str">
        <f>"10512020072708293529464"</f>
        <v>10512020072708293529464</v>
      </c>
      <c r="B576" t="s">
        <v>30</v>
      </c>
      <c r="C576" t="str">
        <f>"刘成"</f>
        <v>刘成</v>
      </c>
      <c r="D576" t="str">
        <f>"男"</f>
        <v>男</v>
      </c>
    </row>
    <row r="577" spans="1:4" ht="24" customHeight="1">
      <c r="A577" t="str">
        <f>"10512020072708331529465"</f>
        <v>10512020072708331529465</v>
      </c>
      <c r="B577" t="s">
        <v>13</v>
      </c>
      <c r="C577" t="str">
        <f>"孙峰"</f>
        <v>孙峰</v>
      </c>
      <c r="D577" t="str">
        <f>"男"</f>
        <v>男</v>
      </c>
    </row>
    <row r="578" spans="1:4" ht="24" customHeight="1">
      <c r="A578" t="str">
        <f>"10512020072708335829466"</f>
        <v>10512020072708335829466</v>
      </c>
      <c r="B578" t="s">
        <v>10</v>
      </c>
      <c r="C578" t="str">
        <f>"彭瑶"</f>
        <v>彭瑶</v>
      </c>
      <c r="D578" t="str">
        <f>"女"</f>
        <v>女</v>
      </c>
    </row>
    <row r="579" spans="1:4" ht="24" customHeight="1">
      <c r="A579" t="str">
        <f>"10512020072708341729467"</f>
        <v>10512020072708341729467</v>
      </c>
      <c r="B579" t="s">
        <v>48</v>
      </c>
      <c r="C579" t="str">
        <f>"翟千军"</f>
        <v>翟千军</v>
      </c>
      <c r="D579" t="str">
        <f>"男"</f>
        <v>男</v>
      </c>
    </row>
    <row r="580" spans="1:4" ht="24" customHeight="1">
      <c r="A580" t="str">
        <f>"10512020072708344329468"</f>
        <v>10512020072708344329468</v>
      </c>
      <c r="B580" t="s">
        <v>7</v>
      </c>
      <c r="C580" t="str">
        <f>"文铭"</f>
        <v>文铭</v>
      </c>
      <c r="D580" t="str">
        <f>"男"</f>
        <v>男</v>
      </c>
    </row>
    <row r="581" spans="1:4" ht="24" customHeight="1">
      <c r="A581" t="str">
        <f>"10512020072708351529469"</f>
        <v>10512020072708351529469</v>
      </c>
      <c r="B581" t="s">
        <v>19</v>
      </c>
      <c r="C581" t="str">
        <f>"卢庭芸"</f>
        <v>卢庭芸</v>
      </c>
      <c r="D581" t="str">
        <f>"女"</f>
        <v>女</v>
      </c>
    </row>
    <row r="582" spans="1:4" ht="24" customHeight="1">
      <c r="A582" t="str">
        <f>"10512020072708361429470"</f>
        <v>10512020072708361429470</v>
      </c>
      <c r="B582" t="s">
        <v>5</v>
      </c>
      <c r="C582" t="str">
        <f>"谌虹伶"</f>
        <v>谌虹伶</v>
      </c>
      <c r="D582" t="str">
        <f>"女"</f>
        <v>女</v>
      </c>
    </row>
    <row r="583" spans="1:4" ht="24" customHeight="1">
      <c r="A583" t="str">
        <f>"10512020072708362229471"</f>
        <v>10512020072708362229471</v>
      </c>
      <c r="B583" t="s">
        <v>24</v>
      </c>
      <c r="C583" t="str">
        <f>"周军"</f>
        <v>周军</v>
      </c>
      <c r="D583" t="str">
        <f>"男"</f>
        <v>男</v>
      </c>
    </row>
    <row r="584" spans="1:4" ht="24" customHeight="1">
      <c r="A584" t="str">
        <f>"10512020072708365029472"</f>
        <v>10512020072708365029472</v>
      </c>
      <c r="B584" t="s">
        <v>16</v>
      </c>
      <c r="C584" t="str">
        <f>"王子成"</f>
        <v>王子成</v>
      </c>
      <c r="D584" t="str">
        <f>"男"</f>
        <v>男</v>
      </c>
    </row>
    <row r="585" spans="1:4" ht="24" customHeight="1">
      <c r="A585" t="str">
        <f>"10512020072708381229473"</f>
        <v>10512020072708381229473</v>
      </c>
      <c r="B585" t="s">
        <v>36</v>
      </c>
      <c r="C585" t="str">
        <f>"罗姣"</f>
        <v>罗姣</v>
      </c>
      <c r="D585" t="str">
        <f>"女"</f>
        <v>女</v>
      </c>
    </row>
    <row r="586" spans="1:4" ht="24" customHeight="1">
      <c r="A586" t="str">
        <f>"10512020072708385529474"</f>
        <v>10512020072708385529474</v>
      </c>
      <c r="B586" t="s">
        <v>6</v>
      </c>
      <c r="C586" t="str">
        <f>"吴洁玲"</f>
        <v>吴洁玲</v>
      </c>
      <c r="D586" t="str">
        <f t="shared" ref="D586:D591" si="8">"男"</f>
        <v>男</v>
      </c>
    </row>
    <row r="587" spans="1:4" ht="24" customHeight="1">
      <c r="A587" t="str">
        <f>"10512020072708395829475"</f>
        <v>10512020072708395829475</v>
      </c>
      <c r="B587" t="s">
        <v>10</v>
      </c>
      <c r="C587" t="str">
        <f>"史明锋"</f>
        <v>史明锋</v>
      </c>
      <c r="D587" t="str">
        <f t="shared" si="8"/>
        <v>男</v>
      </c>
    </row>
    <row r="588" spans="1:4" ht="24" customHeight="1">
      <c r="A588" t="str">
        <f>"10512020072708401929476"</f>
        <v>10512020072708401929476</v>
      </c>
      <c r="B588" t="s">
        <v>27</v>
      </c>
      <c r="C588" t="str">
        <f>"乐嘉豪"</f>
        <v>乐嘉豪</v>
      </c>
      <c r="D588" t="str">
        <f t="shared" si="8"/>
        <v>男</v>
      </c>
    </row>
    <row r="589" spans="1:4" ht="24" customHeight="1">
      <c r="A589" t="str">
        <f>"10512020072708402729477"</f>
        <v>10512020072708402729477</v>
      </c>
      <c r="B589" t="s">
        <v>8</v>
      </c>
      <c r="C589" t="str">
        <f>"钟乐"</f>
        <v>钟乐</v>
      </c>
      <c r="D589" t="str">
        <f t="shared" si="8"/>
        <v>男</v>
      </c>
    </row>
    <row r="590" spans="1:4" ht="24" customHeight="1">
      <c r="A590" t="str">
        <f>"10512020072708413329478"</f>
        <v>10512020072708413329478</v>
      </c>
      <c r="B590" t="s">
        <v>5</v>
      </c>
      <c r="C590" t="str">
        <f>"郑洁"</f>
        <v>郑洁</v>
      </c>
      <c r="D590" t="str">
        <f t="shared" si="8"/>
        <v>男</v>
      </c>
    </row>
    <row r="591" spans="1:4" ht="24" customHeight="1">
      <c r="A591" t="str">
        <f>"10512020072708420429479"</f>
        <v>10512020072708420429479</v>
      </c>
      <c r="B591" t="s">
        <v>13</v>
      </c>
      <c r="C591" t="str">
        <f>"雷镭"</f>
        <v>雷镭</v>
      </c>
      <c r="D591" t="str">
        <f t="shared" si="8"/>
        <v>男</v>
      </c>
    </row>
    <row r="592" spans="1:4" ht="24" customHeight="1">
      <c r="A592" t="str">
        <f>"10512020072708420629480"</f>
        <v>10512020072708420629480</v>
      </c>
      <c r="B592" t="s">
        <v>6</v>
      </c>
      <c r="C592" t="str">
        <f>"龙京"</f>
        <v>龙京</v>
      </c>
      <c r="D592" t="str">
        <f>"女"</f>
        <v>女</v>
      </c>
    </row>
    <row r="593" spans="1:4" ht="24" customHeight="1">
      <c r="A593" t="str">
        <f>"10512020072708421629481"</f>
        <v>10512020072708421629481</v>
      </c>
      <c r="B593" t="s">
        <v>26</v>
      </c>
      <c r="C593" t="str">
        <f>"郑睿"</f>
        <v>郑睿</v>
      </c>
      <c r="D593" t="str">
        <f>"男"</f>
        <v>男</v>
      </c>
    </row>
    <row r="594" spans="1:4" ht="24" customHeight="1">
      <c r="A594" t="str">
        <f>"10512020072708423729482"</f>
        <v>10512020072708423729482</v>
      </c>
      <c r="B594" t="s">
        <v>12</v>
      </c>
      <c r="C594" t="str">
        <f>"唐胤"</f>
        <v>唐胤</v>
      </c>
      <c r="D594" t="str">
        <f>"女"</f>
        <v>女</v>
      </c>
    </row>
    <row r="595" spans="1:4" ht="24" customHeight="1">
      <c r="A595" t="str">
        <f>"10512020072708423929483"</f>
        <v>10512020072708423929483</v>
      </c>
      <c r="B595" t="s">
        <v>39</v>
      </c>
      <c r="C595" t="str">
        <f>"张思滢"</f>
        <v>张思滢</v>
      </c>
      <c r="D595" t="str">
        <f>"女"</f>
        <v>女</v>
      </c>
    </row>
    <row r="596" spans="1:4" ht="24" customHeight="1">
      <c r="A596" t="str">
        <f>"10512020072708430329484"</f>
        <v>10512020072708430329484</v>
      </c>
      <c r="B596" t="s">
        <v>40</v>
      </c>
      <c r="C596" t="str">
        <f>"石泽霖"</f>
        <v>石泽霖</v>
      </c>
      <c r="D596" t="str">
        <f>"男"</f>
        <v>男</v>
      </c>
    </row>
    <row r="597" spans="1:4" ht="24" customHeight="1">
      <c r="A597" t="str">
        <f>"10512020072708444229486"</f>
        <v>10512020072708444229486</v>
      </c>
      <c r="B597" t="s">
        <v>12</v>
      </c>
      <c r="C597" t="str">
        <f>"曲丹丹"</f>
        <v>曲丹丹</v>
      </c>
      <c r="D597" t="str">
        <f>"女"</f>
        <v>女</v>
      </c>
    </row>
    <row r="598" spans="1:4" ht="24" customHeight="1">
      <c r="A598" t="str">
        <f>"10512020072708452129487"</f>
        <v>10512020072708452129487</v>
      </c>
      <c r="B598" t="s">
        <v>7</v>
      </c>
      <c r="C598" t="str">
        <f>"鲁庆玲"</f>
        <v>鲁庆玲</v>
      </c>
      <c r="D598" t="str">
        <f>"女"</f>
        <v>女</v>
      </c>
    </row>
    <row r="599" spans="1:4" ht="24" customHeight="1">
      <c r="A599" t="str">
        <f>"10512020072708452929488"</f>
        <v>10512020072708452929488</v>
      </c>
      <c r="B599" t="s">
        <v>34</v>
      </c>
      <c r="C599" t="str">
        <f>"郑强"</f>
        <v>郑强</v>
      </c>
      <c r="D599" t="str">
        <f>"男"</f>
        <v>男</v>
      </c>
    </row>
    <row r="600" spans="1:4" ht="24" customHeight="1">
      <c r="A600" t="str">
        <f>"10512020072708455029489"</f>
        <v>10512020072708455029489</v>
      </c>
      <c r="B600" t="s">
        <v>14</v>
      </c>
      <c r="C600" t="str">
        <f>"甘文欣"</f>
        <v>甘文欣</v>
      </c>
      <c r="D600" t="str">
        <f t="shared" ref="D600:D605" si="9">"女"</f>
        <v>女</v>
      </c>
    </row>
    <row r="601" spans="1:4" ht="24" customHeight="1">
      <c r="A601" t="str">
        <f>"10512020072708471229490"</f>
        <v>10512020072708471229490</v>
      </c>
      <c r="B601" t="s">
        <v>13</v>
      </c>
      <c r="C601" t="str">
        <f>"胡钊颖"</f>
        <v>胡钊颖</v>
      </c>
      <c r="D601" t="str">
        <f t="shared" si="9"/>
        <v>女</v>
      </c>
    </row>
    <row r="602" spans="1:4" ht="24" customHeight="1">
      <c r="A602" t="str">
        <f>"10512020072708471529491"</f>
        <v>10512020072708471529491</v>
      </c>
      <c r="B602" t="s">
        <v>23</v>
      </c>
      <c r="C602" t="str">
        <f>"李国林"</f>
        <v>李国林</v>
      </c>
      <c r="D602" t="str">
        <f t="shared" si="9"/>
        <v>女</v>
      </c>
    </row>
    <row r="603" spans="1:4" ht="24" customHeight="1">
      <c r="A603" t="str">
        <f>"10512020072708473329492"</f>
        <v>10512020072708473329492</v>
      </c>
      <c r="B603" t="s">
        <v>6</v>
      </c>
      <c r="C603" t="str">
        <f>"任丹"</f>
        <v>任丹</v>
      </c>
      <c r="D603" t="str">
        <f t="shared" si="9"/>
        <v>女</v>
      </c>
    </row>
    <row r="604" spans="1:4" ht="24" customHeight="1">
      <c r="A604" t="str">
        <f>"10512020072708474329493"</f>
        <v>10512020072708474329493</v>
      </c>
      <c r="B604" t="s">
        <v>19</v>
      </c>
      <c r="C604" t="str">
        <f>"彭益茹"</f>
        <v>彭益茹</v>
      </c>
      <c r="D604" t="str">
        <f t="shared" si="9"/>
        <v>女</v>
      </c>
    </row>
    <row r="605" spans="1:4" ht="24" customHeight="1">
      <c r="A605" t="str">
        <f>"10512020072708481829494"</f>
        <v>10512020072708481829494</v>
      </c>
      <c r="B605" t="s">
        <v>27</v>
      </c>
      <c r="C605" t="str">
        <f>"刘梦"</f>
        <v>刘梦</v>
      </c>
      <c r="D605" t="str">
        <f t="shared" si="9"/>
        <v>女</v>
      </c>
    </row>
    <row r="606" spans="1:4" ht="24" customHeight="1">
      <c r="A606" t="str">
        <f>"10512020072708485229495"</f>
        <v>10512020072708485229495</v>
      </c>
      <c r="B606" t="s">
        <v>8</v>
      </c>
      <c r="C606" t="str">
        <f>"王平"</f>
        <v>王平</v>
      </c>
      <c r="D606" t="str">
        <f>"男"</f>
        <v>男</v>
      </c>
    </row>
    <row r="607" spans="1:4" ht="24" customHeight="1">
      <c r="A607" t="str">
        <f>"10512020072708532629496"</f>
        <v>10512020072708532629496</v>
      </c>
      <c r="B607" t="s">
        <v>13</v>
      </c>
      <c r="C607" t="str">
        <f>"秦平"</f>
        <v>秦平</v>
      </c>
      <c r="D607" t="str">
        <f>"女"</f>
        <v>女</v>
      </c>
    </row>
    <row r="608" spans="1:4" ht="24" customHeight="1">
      <c r="A608" t="str">
        <f>"10512020072708532829497"</f>
        <v>10512020072708532829497</v>
      </c>
      <c r="B608" t="s">
        <v>39</v>
      </c>
      <c r="C608" t="str">
        <f>"周勤"</f>
        <v>周勤</v>
      </c>
      <c r="D608" t="str">
        <f>"女"</f>
        <v>女</v>
      </c>
    </row>
    <row r="609" spans="1:4" ht="24" customHeight="1">
      <c r="A609" t="str">
        <f>"10512020072708541029498"</f>
        <v>10512020072708541029498</v>
      </c>
      <c r="B609" t="s">
        <v>34</v>
      </c>
      <c r="C609" t="str">
        <f>"辛晨"</f>
        <v>辛晨</v>
      </c>
      <c r="D609" t="str">
        <f>"男"</f>
        <v>男</v>
      </c>
    </row>
    <row r="610" spans="1:4" ht="24" customHeight="1">
      <c r="A610" t="str">
        <f>"10512020072708554429499"</f>
        <v>10512020072708554429499</v>
      </c>
      <c r="B610" t="s">
        <v>6</v>
      </c>
      <c r="C610" t="str">
        <f>"李敏"</f>
        <v>李敏</v>
      </c>
      <c r="D610" t="str">
        <f>"女"</f>
        <v>女</v>
      </c>
    </row>
    <row r="611" spans="1:4" ht="24" customHeight="1">
      <c r="A611" t="str">
        <f>"10512020072708560029500"</f>
        <v>10512020072708560029500</v>
      </c>
      <c r="B611" t="s">
        <v>16</v>
      </c>
      <c r="C611" t="str">
        <f>"许鹏"</f>
        <v>许鹏</v>
      </c>
      <c r="D611" t="str">
        <f>"男"</f>
        <v>男</v>
      </c>
    </row>
    <row r="612" spans="1:4" ht="24" customHeight="1">
      <c r="A612" t="str">
        <f>"10512020072708561929501"</f>
        <v>10512020072708561929501</v>
      </c>
      <c r="B612" t="s">
        <v>5</v>
      </c>
      <c r="C612" t="str">
        <f>"刘霞"</f>
        <v>刘霞</v>
      </c>
      <c r="D612" t="str">
        <f>"女"</f>
        <v>女</v>
      </c>
    </row>
    <row r="613" spans="1:4" ht="24" customHeight="1">
      <c r="A613" t="str">
        <f>"10512020072708565129502"</f>
        <v>10512020072708565129502</v>
      </c>
      <c r="B613" t="s">
        <v>26</v>
      </c>
      <c r="C613" t="str">
        <f>"李琳园"</f>
        <v>李琳园</v>
      </c>
      <c r="D613" t="str">
        <f>"女"</f>
        <v>女</v>
      </c>
    </row>
    <row r="614" spans="1:4" ht="24" customHeight="1">
      <c r="A614" t="str">
        <f>"10512020072708571129503"</f>
        <v>10512020072708571129503</v>
      </c>
      <c r="B614" t="s">
        <v>6</v>
      </c>
      <c r="C614" t="str">
        <f>"朱华"</f>
        <v>朱华</v>
      </c>
      <c r="D614" t="str">
        <f>"女"</f>
        <v>女</v>
      </c>
    </row>
    <row r="615" spans="1:4" ht="24" customHeight="1">
      <c r="A615" t="str">
        <f>"10512020072708575729504"</f>
        <v>10512020072708575729504</v>
      </c>
      <c r="B615" t="s">
        <v>27</v>
      </c>
      <c r="C615" t="str">
        <f>"肖美霞"</f>
        <v>肖美霞</v>
      </c>
      <c r="D615" t="str">
        <f>"女"</f>
        <v>女</v>
      </c>
    </row>
    <row r="616" spans="1:4" ht="24" customHeight="1">
      <c r="A616" t="str">
        <f>"10512020072708590129505"</f>
        <v>10512020072708590129505</v>
      </c>
      <c r="B616" t="s">
        <v>21</v>
      </c>
      <c r="C616" t="str">
        <f>"郭宇虬"</f>
        <v>郭宇虬</v>
      </c>
      <c r="D616" t="str">
        <f>"男"</f>
        <v>男</v>
      </c>
    </row>
    <row r="617" spans="1:4" ht="24" customHeight="1">
      <c r="A617" t="str">
        <f>"10512020072709003429506"</f>
        <v>10512020072709003429506</v>
      </c>
      <c r="B617" t="s">
        <v>48</v>
      </c>
      <c r="C617" t="str">
        <f>"段洋洋"</f>
        <v>段洋洋</v>
      </c>
      <c r="D617" t="str">
        <f>"男"</f>
        <v>男</v>
      </c>
    </row>
    <row r="618" spans="1:4" ht="24" customHeight="1">
      <c r="A618" t="str">
        <f>"10512020072709012729507"</f>
        <v>10512020072709012729507</v>
      </c>
      <c r="B618" t="s">
        <v>13</v>
      </c>
      <c r="C618" t="str">
        <f>"李明"</f>
        <v>李明</v>
      </c>
      <c r="D618" t="str">
        <f>"男"</f>
        <v>男</v>
      </c>
    </row>
    <row r="619" spans="1:4" ht="24" customHeight="1">
      <c r="A619" t="str">
        <f>"10512020072709014829508"</f>
        <v>10512020072709014829508</v>
      </c>
      <c r="B619" t="s">
        <v>10</v>
      </c>
      <c r="C619" t="str">
        <f>"黄馨贤"</f>
        <v>黄馨贤</v>
      </c>
      <c r="D619" t="str">
        <f>"女"</f>
        <v>女</v>
      </c>
    </row>
    <row r="620" spans="1:4" ht="24" customHeight="1">
      <c r="A620" t="str">
        <f>"10512020072709015129509"</f>
        <v>10512020072709015129509</v>
      </c>
      <c r="B620" t="s">
        <v>13</v>
      </c>
      <c r="C620" t="str">
        <f>"罗世为"</f>
        <v>罗世为</v>
      </c>
      <c r="D620" t="str">
        <f>"男"</f>
        <v>男</v>
      </c>
    </row>
    <row r="621" spans="1:4" ht="24" customHeight="1">
      <c r="A621" t="str">
        <f>"10512020072709020129510"</f>
        <v>10512020072709020129510</v>
      </c>
      <c r="B621" t="s">
        <v>34</v>
      </c>
      <c r="C621" t="str">
        <f>"李航"</f>
        <v>李航</v>
      </c>
      <c r="D621" t="str">
        <f>"男"</f>
        <v>男</v>
      </c>
    </row>
    <row r="622" spans="1:4" ht="24" customHeight="1">
      <c r="A622" t="str">
        <f>"10512020072709025629511"</f>
        <v>10512020072709025629511</v>
      </c>
      <c r="B622" t="s">
        <v>12</v>
      </c>
      <c r="C622" t="str">
        <f>"李思维"</f>
        <v>李思维</v>
      </c>
      <c r="D622" t="str">
        <f>"女"</f>
        <v>女</v>
      </c>
    </row>
    <row r="623" spans="1:4" ht="24" customHeight="1">
      <c r="A623" t="str">
        <f>"10512020072709032229512"</f>
        <v>10512020072709032229512</v>
      </c>
      <c r="B623" t="s">
        <v>40</v>
      </c>
      <c r="C623" t="str">
        <f>"陈欣雨"</f>
        <v>陈欣雨</v>
      </c>
      <c r="D623" t="str">
        <f>"女"</f>
        <v>女</v>
      </c>
    </row>
    <row r="624" spans="1:4" ht="24" customHeight="1">
      <c r="A624" t="str">
        <f>"10512020072709035829513"</f>
        <v>10512020072709035829513</v>
      </c>
      <c r="B624" t="s">
        <v>13</v>
      </c>
      <c r="C624" t="str">
        <f>"庞高"</f>
        <v>庞高</v>
      </c>
      <c r="D624" t="str">
        <f>"男"</f>
        <v>男</v>
      </c>
    </row>
    <row r="625" spans="1:4" ht="24" customHeight="1">
      <c r="A625" t="str">
        <f>"10512020072709040429514"</f>
        <v>10512020072709040429514</v>
      </c>
      <c r="B625" t="s">
        <v>26</v>
      </c>
      <c r="C625" t="str">
        <f>"王丽"</f>
        <v>王丽</v>
      </c>
      <c r="D625" t="str">
        <f>"女"</f>
        <v>女</v>
      </c>
    </row>
    <row r="626" spans="1:4" ht="24" customHeight="1">
      <c r="A626" t="str">
        <f>"10512020072709052129515"</f>
        <v>10512020072709052129515</v>
      </c>
      <c r="B626" t="s">
        <v>23</v>
      </c>
      <c r="C626" t="str">
        <f>"王金祥"</f>
        <v>王金祥</v>
      </c>
      <c r="D626" t="str">
        <f>"女"</f>
        <v>女</v>
      </c>
    </row>
    <row r="627" spans="1:4" ht="24" customHeight="1">
      <c r="A627" t="str">
        <f>"10512020072709052229516"</f>
        <v>10512020072709052229516</v>
      </c>
      <c r="B627" t="s">
        <v>21</v>
      </c>
      <c r="C627" t="str">
        <f>"张明"</f>
        <v>张明</v>
      </c>
      <c r="D627" t="str">
        <f>"男"</f>
        <v>男</v>
      </c>
    </row>
    <row r="628" spans="1:4" ht="24" customHeight="1">
      <c r="A628" t="str">
        <f>"10512020072709053129517"</f>
        <v>10512020072709053129517</v>
      </c>
      <c r="B628" t="s">
        <v>5</v>
      </c>
      <c r="C628" t="str">
        <f>"沙祯"</f>
        <v>沙祯</v>
      </c>
      <c r="D628" t="str">
        <f t="shared" ref="D628:D634" si="10">"女"</f>
        <v>女</v>
      </c>
    </row>
    <row r="629" spans="1:4" ht="24" customHeight="1">
      <c r="A629" t="str">
        <f>"10512020072709060829519"</f>
        <v>10512020072709060829519</v>
      </c>
      <c r="B629" t="s">
        <v>32</v>
      </c>
      <c r="C629" t="str">
        <f>"陈兴慧"</f>
        <v>陈兴慧</v>
      </c>
      <c r="D629" t="str">
        <f t="shared" si="10"/>
        <v>女</v>
      </c>
    </row>
    <row r="630" spans="1:4" ht="24" customHeight="1">
      <c r="A630" t="str">
        <f>"10512020072709064129520"</f>
        <v>10512020072709064129520</v>
      </c>
      <c r="B630" t="s">
        <v>41</v>
      </c>
      <c r="C630" t="str">
        <f>"王妮芳"</f>
        <v>王妮芳</v>
      </c>
      <c r="D630" t="str">
        <f t="shared" si="10"/>
        <v>女</v>
      </c>
    </row>
    <row r="631" spans="1:4" ht="24" customHeight="1">
      <c r="A631" t="str">
        <f>"10512020072709080929522"</f>
        <v>10512020072709080929522</v>
      </c>
      <c r="B631" t="s">
        <v>13</v>
      </c>
      <c r="C631" t="str">
        <f>"江奕"</f>
        <v>江奕</v>
      </c>
      <c r="D631" t="str">
        <f t="shared" si="10"/>
        <v>女</v>
      </c>
    </row>
    <row r="632" spans="1:4" ht="24" customHeight="1">
      <c r="A632" t="str">
        <f>"10512020072709100029523"</f>
        <v>10512020072709100029523</v>
      </c>
      <c r="B632" t="s">
        <v>13</v>
      </c>
      <c r="C632" t="str">
        <f>"尹紫荆"</f>
        <v>尹紫荆</v>
      </c>
      <c r="D632" t="str">
        <f t="shared" si="10"/>
        <v>女</v>
      </c>
    </row>
    <row r="633" spans="1:4" ht="24" customHeight="1">
      <c r="A633" t="str">
        <f>"10512020072709100929524"</f>
        <v>10512020072709100929524</v>
      </c>
      <c r="B633" t="s">
        <v>7</v>
      </c>
      <c r="C633" t="str">
        <f>"石宇"</f>
        <v>石宇</v>
      </c>
      <c r="D633" t="str">
        <f t="shared" si="10"/>
        <v>女</v>
      </c>
    </row>
    <row r="634" spans="1:4" ht="24" customHeight="1">
      <c r="A634" t="str">
        <f>"10512020072709102029525"</f>
        <v>10512020072709102029525</v>
      </c>
      <c r="B634" t="s">
        <v>23</v>
      </c>
      <c r="C634" t="str">
        <f>"王栖"</f>
        <v>王栖</v>
      </c>
      <c r="D634" t="str">
        <f t="shared" si="10"/>
        <v>女</v>
      </c>
    </row>
    <row r="635" spans="1:4" ht="24" customHeight="1">
      <c r="A635" t="str">
        <f>"10512020072709104029526"</f>
        <v>10512020072709104029526</v>
      </c>
      <c r="B635" t="s">
        <v>24</v>
      </c>
      <c r="C635" t="str">
        <f>"周垒"</f>
        <v>周垒</v>
      </c>
      <c r="D635" t="str">
        <f>"男"</f>
        <v>男</v>
      </c>
    </row>
    <row r="636" spans="1:4" ht="24" customHeight="1">
      <c r="A636" t="str">
        <f>"10512020072709110429527"</f>
        <v>10512020072709110429527</v>
      </c>
      <c r="B636" t="s">
        <v>38</v>
      </c>
      <c r="C636" t="str">
        <f>"刘梦洁"</f>
        <v>刘梦洁</v>
      </c>
      <c r="D636" t="str">
        <f>"女"</f>
        <v>女</v>
      </c>
    </row>
    <row r="637" spans="1:4" ht="24" customHeight="1">
      <c r="A637" t="str">
        <f>"10512020072709114229528"</f>
        <v>10512020072709114229528</v>
      </c>
      <c r="B637" t="s">
        <v>16</v>
      </c>
      <c r="C637" t="str">
        <f>"肖宗鹏"</f>
        <v>肖宗鹏</v>
      </c>
      <c r="D637" t="str">
        <f>"男"</f>
        <v>男</v>
      </c>
    </row>
    <row r="638" spans="1:4" ht="24" customHeight="1">
      <c r="A638" t="str">
        <f>"10512020072709114529529"</f>
        <v>10512020072709114529529</v>
      </c>
      <c r="B638" t="s">
        <v>41</v>
      </c>
      <c r="C638" t="str">
        <f>"李清萍"</f>
        <v>李清萍</v>
      </c>
      <c r="D638" t="str">
        <f>"女"</f>
        <v>女</v>
      </c>
    </row>
    <row r="639" spans="1:4" ht="24" customHeight="1">
      <c r="A639" t="str">
        <f>"10512020072709122329530"</f>
        <v>10512020072709122329530</v>
      </c>
      <c r="B639" t="s">
        <v>48</v>
      </c>
      <c r="C639" t="str">
        <f>"张展铧"</f>
        <v>张展铧</v>
      </c>
      <c r="D639" t="str">
        <f>"男"</f>
        <v>男</v>
      </c>
    </row>
    <row r="640" spans="1:4" ht="24" customHeight="1">
      <c r="A640" t="str">
        <f>"10512020072709143829531"</f>
        <v>10512020072709143829531</v>
      </c>
      <c r="B640" t="s">
        <v>6</v>
      </c>
      <c r="C640" t="str">
        <f>"刘雨薇"</f>
        <v>刘雨薇</v>
      </c>
      <c r="D640" t="str">
        <f>"女"</f>
        <v>女</v>
      </c>
    </row>
    <row r="641" spans="1:4" ht="24" customHeight="1">
      <c r="A641" t="str">
        <f>"10512020072709172129532"</f>
        <v>10512020072709172129532</v>
      </c>
      <c r="B641" t="s">
        <v>16</v>
      </c>
      <c r="C641" t="str">
        <f>"刘蒋涛"</f>
        <v>刘蒋涛</v>
      </c>
      <c r="D641" t="str">
        <f>"男"</f>
        <v>男</v>
      </c>
    </row>
    <row r="642" spans="1:4" ht="24" customHeight="1">
      <c r="A642" t="str">
        <f>"10512020072709174529533"</f>
        <v>10512020072709174529533</v>
      </c>
      <c r="B642" t="s">
        <v>10</v>
      </c>
      <c r="C642" t="str">
        <f>"田雨艳"</f>
        <v>田雨艳</v>
      </c>
      <c r="D642" t="str">
        <f>"女"</f>
        <v>女</v>
      </c>
    </row>
    <row r="643" spans="1:4" ht="24" customHeight="1">
      <c r="A643" t="str">
        <f>"10512020072709190129534"</f>
        <v>10512020072709190129534</v>
      </c>
      <c r="B643" t="s">
        <v>17</v>
      </c>
      <c r="C643" t="str">
        <f>"覃珮"</f>
        <v>覃珮</v>
      </c>
      <c r="D643" t="str">
        <f>"女"</f>
        <v>女</v>
      </c>
    </row>
    <row r="644" spans="1:4" ht="24" customHeight="1">
      <c r="A644" t="str">
        <f>"10512020072709191129535"</f>
        <v>10512020072709191129535</v>
      </c>
      <c r="B644" t="s">
        <v>16</v>
      </c>
      <c r="C644" t="str">
        <f>"熊伶俐"</f>
        <v>熊伶俐</v>
      </c>
      <c r="D644" t="str">
        <f>"女"</f>
        <v>女</v>
      </c>
    </row>
    <row r="645" spans="1:4" ht="24" customHeight="1">
      <c r="A645" t="str">
        <f>"10512020072709194729536"</f>
        <v>10512020072709194729536</v>
      </c>
      <c r="B645" t="s">
        <v>16</v>
      </c>
      <c r="C645" t="str">
        <f>"李杰"</f>
        <v>李杰</v>
      </c>
      <c r="D645" t="str">
        <f>"男"</f>
        <v>男</v>
      </c>
    </row>
    <row r="646" spans="1:4" ht="24" customHeight="1">
      <c r="A646" t="str">
        <f>"10512020072709200929537"</f>
        <v>10512020072709200929537</v>
      </c>
      <c r="B646" t="s">
        <v>21</v>
      </c>
      <c r="C646" t="str">
        <f>"刘时孜"</f>
        <v>刘时孜</v>
      </c>
      <c r="D646" t="str">
        <f>"男"</f>
        <v>男</v>
      </c>
    </row>
    <row r="647" spans="1:4" ht="24" customHeight="1">
      <c r="A647" t="str">
        <f>"10512020072709210629538"</f>
        <v>10512020072709210629538</v>
      </c>
      <c r="B647" t="s">
        <v>40</v>
      </c>
      <c r="C647" t="str">
        <f>"张晨"</f>
        <v>张晨</v>
      </c>
      <c r="D647" t="str">
        <f>"女"</f>
        <v>女</v>
      </c>
    </row>
    <row r="648" spans="1:4" ht="24" customHeight="1">
      <c r="A648" t="str">
        <f>"10512020072709212829539"</f>
        <v>10512020072709212829539</v>
      </c>
      <c r="B648" t="s">
        <v>11</v>
      </c>
      <c r="C648" t="str">
        <f>"罗杰雍"</f>
        <v>罗杰雍</v>
      </c>
      <c r="D648" t="str">
        <f>"男"</f>
        <v>男</v>
      </c>
    </row>
    <row r="649" spans="1:4" ht="24" customHeight="1">
      <c r="A649" t="str">
        <f>"10512020072709214529540"</f>
        <v>10512020072709214529540</v>
      </c>
      <c r="B649" t="s">
        <v>27</v>
      </c>
      <c r="C649" t="str">
        <f>"覃基丰"</f>
        <v>覃基丰</v>
      </c>
      <c r="D649" t="str">
        <f>"男"</f>
        <v>男</v>
      </c>
    </row>
    <row r="650" spans="1:4" ht="24" customHeight="1">
      <c r="A650" t="str">
        <f>"10512020072709230329541"</f>
        <v>10512020072709230329541</v>
      </c>
      <c r="B650" t="s">
        <v>40</v>
      </c>
      <c r="C650" t="str">
        <f>"鲁东承"</f>
        <v>鲁东承</v>
      </c>
      <c r="D650" t="str">
        <f>"男"</f>
        <v>男</v>
      </c>
    </row>
    <row r="651" spans="1:4" ht="24" customHeight="1">
      <c r="A651" t="str">
        <f>"10512020072709231129542"</f>
        <v>10512020072709231129542</v>
      </c>
      <c r="B651" t="s">
        <v>27</v>
      </c>
      <c r="C651" t="str">
        <f>"黄梦星"</f>
        <v>黄梦星</v>
      </c>
      <c r="D651" t="str">
        <f>"女"</f>
        <v>女</v>
      </c>
    </row>
    <row r="652" spans="1:4" ht="24" customHeight="1">
      <c r="A652" t="str">
        <f>"10512020072709241429543"</f>
        <v>10512020072709241429543</v>
      </c>
      <c r="B652" t="s">
        <v>30</v>
      </c>
      <c r="C652" t="str">
        <f>"胡龙钧"</f>
        <v>胡龙钧</v>
      </c>
      <c r="D652" t="str">
        <f>"男"</f>
        <v>男</v>
      </c>
    </row>
    <row r="653" spans="1:4" ht="24" customHeight="1">
      <c r="A653" t="str">
        <f>"10512020072709243229544"</f>
        <v>10512020072709243229544</v>
      </c>
      <c r="B653" t="s">
        <v>10</v>
      </c>
      <c r="C653" t="str">
        <f>"游娟"</f>
        <v>游娟</v>
      </c>
      <c r="D653" t="str">
        <f t="shared" ref="D653:D661" si="11">"女"</f>
        <v>女</v>
      </c>
    </row>
    <row r="654" spans="1:4" ht="24" customHeight="1">
      <c r="A654" t="str">
        <f>"10512020072709251129545"</f>
        <v>10512020072709251129545</v>
      </c>
      <c r="B654" t="s">
        <v>13</v>
      </c>
      <c r="C654" t="str">
        <f>"陆郑添"</f>
        <v>陆郑添</v>
      </c>
      <c r="D654" t="str">
        <f t="shared" si="11"/>
        <v>女</v>
      </c>
    </row>
    <row r="655" spans="1:4" ht="24" customHeight="1">
      <c r="A655" t="str">
        <f>"10512020072709254429546"</f>
        <v>10512020072709254429546</v>
      </c>
      <c r="B655" t="s">
        <v>26</v>
      </c>
      <c r="C655" t="str">
        <f>"熊晋旗"</f>
        <v>熊晋旗</v>
      </c>
      <c r="D655" t="str">
        <f t="shared" si="11"/>
        <v>女</v>
      </c>
    </row>
    <row r="656" spans="1:4" ht="24" customHeight="1">
      <c r="A656" t="str">
        <f>"10512020072709254729547"</f>
        <v>10512020072709254729547</v>
      </c>
      <c r="B656" t="s">
        <v>31</v>
      </c>
      <c r="C656" t="str">
        <f>"熊哲敏"</f>
        <v>熊哲敏</v>
      </c>
      <c r="D656" t="str">
        <f t="shared" si="11"/>
        <v>女</v>
      </c>
    </row>
    <row r="657" spans="1:4" ht="24" customHeight="1">
      <c r="A657" t="str">
        <f>"10512020072709284529549"</f>
        <v>10512020072709284529549</v>
      </c>
      <c r="B657" t="s">
        <v>41</v>
      </c>
      <c r="C657" t="str">
        <f>"刘静"</f>
        <v>刘静</v>
      </c>
      <c r="D657" t="str">
        <f t="shared" si="11"/>
        <v>女</v>
      </c>
    </row>
    <row r="658" spans="1:4" ht="24" customHeight="1">
      <c r="A658" t="str">
        <f>"10512020072709295229550"</f>
        <v>10512020072709295229550</v>
      </c>
      <c r="B658" t="s">
        <v>38</v>
      </c>
      <c r="C658" t="str">
        <f>"马思佳"</f>
        <v>马思佳</v>
      </c>
      <c r="D658" t="str">
        <f t="shared" si="11"/>
        <v>女</v>
      </c>
    </row>
    <row r="659" spans="1:4" ht="24" customHeight="1">
      <c r="A659" t="str">
        <f>"10512020072709304229551"</f>
        <v>10512020072709304229551</v>
      </c>
      <c r="B659" t="s">
        <v>20</v>
      </c>
      <c r="C659" t="str">
        <f>"刘晴"</f>
        <v>刘晴</v>
      </c>
      <c r="D659" t="str">
        <f t="shared" si="11"/>
        <v>女</v>
      </c>
    </row>
    <row r="660" spans="1:4" ht="24" customHeight="1">
      <c r="A660" t="str">
        <f>"10512020072709304429552"</f>
        <v>10512020072709304429552</v>
      </c>
      <c r="B660" t="s">
        <v>23</v>
      </c>
      <c r="C660" t="str">
        <f>"骆冰洁"</f>
        <v>骆冰洁</v>
      </c>
      <c r="D660" t="str">
        <f t="shared" si="11"/>
        <v>女</v>
      </c>
    </row>
    <row r="661" spans="1:4" ht="24" customHeight="1">
      <c r="A661" t="str">
        <f>"10512020072709310229553"</f>
        <v>10512020072709310229553</v>
      </c>
      <c r="B661" t="s">
        <v>16</v>
      </c>
      <c r="C661" t="str">
        <f>"钟琴"</f>
        <v>钟琴</v>
      </c>
      <c r="D661" t="str">
        <f t="shared" si="11"/>
        <v>女</v>
      </c>
    </row>
    <row r="662" spans="1:4" ht="24" customHeight="1">
      <c r="A662" t="str">
        <f>"10512020072709313029554"</f>
        <v>10512020072709313029554</v>
      </c>
      <c r="B662" t="s">
        <v>6</v>
      </c>
      <c r="C662" t="str">
        <f>"邹影"</f>
        <v>邹影</v>
      </c>
      <c r="D662" t="str">
        <f>"男"</f>
        <v>男</v>
      </c>
    </row>
    <row r="663" spans="1:4" ht="24" customHeight="1">
      <c r="A663" t="str">
        <f>"10512020072709340129555"</f>
        <v>10512020072709340129555</v>
      </c>
      <c r="B663" t="s">
        <v>16</v>
      </c>
      <c r="C663" t="str">
        <f>"袁菁"</f>
        <v>袁菁</v>
      </c>
      <c r="D663" t="str">
        <f>"男"</f>
        <v>男</v>
      </c>
    </row>
    <row r="664" spans="1:4" ht="24" customHeight="1">
      <c r="A664" t="str">
        <f>"10512020072709344629556"</f>
        <v>10512020072709344629556</v>
      </c>
      <c r="B664" t="s">
        <v>23</v>
      </c>
      <c r="C664" t="str">
        <f>"曾子璐"</f>
        <v>曾子璐</v>
      </c>
      <c r="D664" t="str">
        <f>"女"</f>
        <v>女</v>
      </c>
    </row>
    <row r="665" spans="1:4" ht="24" customHeight="1">
      <c r="A665" t="str">
        <f>"10512020072709350329557"</f>
        <v>10512020072709350329557</v>
      </c>
      <c r="B665" t="s">
        <v>27</v>
      </c>
      <c r="C665" t="str">
        <f>"黎岚"</f>
        <v>黎岚</v>
      </c>
      <c r="D665" t="str">
        <f>"女"</f>
        <v>女</v>
      </c>
    </row>
    <row r="666" spans="1:4" ht="24" customHeight="1">
      <c r="A666" t="str">
        <f>"10512020072709351829558"</f>
        <v>10512020072709351829558</v>
      </c>
      <c r="B666" t="s">
        <v>13</v>
      </c>
      <c r="C666" t="str">
        <f>"肖燕"</f>
        <v>肖燕</v>
      </c>
      <c r="D666" t="str">
        <f>"女"</f>
        <v>女</v>
      </c>
    </row>
    <row r="667" spans="1:4" ht="24" customHeight="1">
      <c r="A667" t="str">
        <f>"10512020072709354629559"</f>
        <v>10512020072709354629559</v>
      </c>
      <c r="B667" t="s">
        <v>5</v>
      </c>
      <c r="C667" t="str">
        <f>"陈家贵"</f>
        <v>陈家贵</v>
      </c>
      <c r="D667" t="str">
        <f>"男"</f>
        <v>男</v>
      </c>
    </row>
    <row r="668" spans="1:4" ht="24" customHeight="1">
      <c r="A668" t="str">
        <f>"10512020072709363329560"</f>
        <v>10512020072709363329560</v>
      </c>
      <c r="B668" t="s">
        <v>31</v>
      </c>
      <c r="C668" t="str">
        <f>"王思宇"</f>
        <v>王思宇</v>
      </c>
      <c r="D668" t="str">
        <f>"女"</f>
        <v>女</v>
      </c>
    </row>
    <row r="669" spans="1:4" ht="24" customHeight="1">
      <c r="A669" t="str">
        <f>"10512020072709363529561"</f>
        <v>10512020072709363529561</v>
      </c>
      <c r="B669" t="s">
        <v>20</v>
      </c>
      <c r="C669" t="str">
        <f>"张淑平"</f>
        <v>张淑平</v>
      </c>
      <c r="D669" t="str">
        <f>"女"</f>
        <v>女</v>
      </c>
    </row>
    <row r="670" spans="1:4" ht="24" customHeight="1">
      <c r="A670" t="str">
        <f>"10512020072709370929562"</f>
        <v>10512020072709370929562</v>
      </c>
      <c r="B670" t="s">
        <v>10</v>
      </c>
      <c r="C670" t="str">
        <f>"孔肖"</f>
        <v>孔肖</v>
      </c>
      <c r="D670" t="str">
        <f>"男"</f>
        <v>男</v>
      </c>
    </row>
    <row r="671" spans="1:4" ht="24" customHeight="1">
      <c r="A671" t="str">
        <f>"10512020072709382929563"</f>
        <v>10512020072709382929563</v>
      </c>
      <c r="B671" t="s">
        <v>6</v>
      </c>
      <c r="C671" t="str">
        <f>"方宇晨"</f>
        <v>方宇晨</v>
      </c>
      <c r="D671" t="str">
        <f>"男"</f>
        <v>男</v>
      </c>
    </row>
    <row r="672" spans="1:4" ht="24" customHeight="1">
      <c r="A672" t="str">
        <f>"10512020072709383429564"</f>
        <v>10512020072709383429564</v>
      </c>
      <c r="B672" t="s">
        <v>29</v>
      </c>
      <c r="C672" t="str">
        <f>"王龚薇"</f>
        <v>王龚薇</v>
      </c>
      <c r="D672" t="str">
        <f>"女"</f>
        <v>女</v>
      </c>
    </row>
    <row r="673" spans="1:4" ht="24" customHeight="1">
      <c r="A673" t="str">
        <f>"10512020072709393629565"</f>
        <v>10512020072709393629565</v>
      </c>
      <c r="B673" t="s">
        <v>11</v>
      </c>
      <c r="C673" t="str">
        <f>"文钰夫"</f>
        <v>文钰夫</v>
      </c>
      <c r="D673" t="str">
        <f>"男"</f>
        <v>男</v>
      </c>
    </row>
    <row r="674" spans="1:4" ht="24" customHeight="1">
      <c r="A674" t="str">
        <f>"10512020072709400029566"</f>
        <v>10512020072709400029566</v>
      </c>
      <c r="B674" t="s">
        <v>24</v>
      </c>
      <c r="C674" t="str">
        <f>"段葳屹"</f>
        <v>段葳屹</v>
      </c>
      <c r="D674" t="str">
        <f>"男"</f>
        <v>男</v>
      </c>
    </row>
    <row r="675" spans="1:4" ht="24" customHeight="1">
      <c r="A675" t="str">
        <f>"10512020072709403129567"</f>
        <v>10512020072709403129567</v>
      </c>
      <c r="B675" t="s">
        <v>39</v>
      </c>
      <c r="C675" t="str">
        <f>"陈彦瑜"</f>
        <v>陈彦瑜</v>
      </c>
      <c r="D675" t="str">
        <f>"女"</f>
        <v>女</v>
      </c>
    </row>
    <row r="676" spans="1:4" ht="24" customHeight="1">
      <c r="A676" t="str">
        <f>"10512020072709410229568"</f>
        <v>10512020072709410229568</v>
      </c>
      <c r="B676" t="s">
        <v>26</v>
      </c>
      <c r="C676" t="str">
        <f>"王津津"</f>
        <v>王津津</v>
      </c>
      <c r="D676" t="str">
        <f>"女"</f>
        <v>女</v>
      </c>
    </row>
    <row r="677" spans="1:4" ht="24" customHeight="1">
      <c r="A677" t="str">
        <f>"10512020072709422229569"</f>
        <v>10512020072709422229569</v>
      </c>
      <c r="B677" t="s">
        <v>6</v>
      </c>
      <c r="C677" t="str">
        <f>"马丹"</f>
        <v>马丹</v>
      </c>
      <c r="D677" t="str">
        <f>"女"</f>
        <v>女</v>
      </c>
    </row>
    <row r="678" spans="1:4" ht="24" customHeight="1">
      <c r="A678" t="str">
        <f>"10512020072709452529570"</f>
        <v>10512020072709452529570</v>
      </c>
      <c r="B678" t="s">
        <v>31</v>
      </c>
      <c r="C678" t="str">
        <f>"徐子璇"</f>
        <v>徐子璇</v>
      </c>
      <c r="D678" t="str">
        <f>"女"</f>
        <v>女</v>
      </c>
    </row>
    <row r="679" spans="1:4" ht="24" customHeight="1">
      <c r="A679" t="str">
        <f>"10512020072709454229571"</f>
        <v>10512020072709454229571</v>
      </c>
      <c r="B679" t="s">
        <v>13</v>
      </c>
      <c r="C679" t="str">
        <f>"李忠勇"</f>
        <v>李忠勇</v>
      </c>
      <c r="D679" t="str">
        <f>"男"</f>
        <v>男</v>
      </c>
    </row>
    <row r="680" spans="1:4" ht="24" customHeight="1">
      <c r="A680" t="str">
        <f>"10512020072709464729572"</f>
        <v>10512020072709464729572</v>
      </c>
      <c r="B680" t="s">
        <v>31</v>
      </c>
      <c r="C680" t="str">
        <f>"杨金兰"</f>
        <v>杨金兰</v>
      </c>
      <c r="D680" t="str">
        <f>"女"</f>
        <v>女</v>
      </c>
    </row>
    <row r="681" spans="1:4" ht="24" customHeight="1">
      <c r="A681" t="str">
        <f>"10512020072709470929573"</f>
        <v>10512020072709470929573</v>
      </c>
      <c r="B681" t="s">
        <v>21</v>
      </c>
      <c r="C681" t="str">
        <f>"陈光竞"</f>
        <v>陈光竞</v>
      </c>
      <c r="D681" t="str">
        <f>"男"</f>
        <v>男</v>
      </c>
    </row>
    <row r="682" spans="1:4" ht="24" customHeight="1">
      <c r="A682" t="str">
        <f>"10512020072709485229574"</f>
        <v>10512020072709485229574</v>
      </c>
      <c r="B682" t="s">
        <v>11</v>
      </c>
      <c r="C682" t="str">
        <f>"龚佑佳"</f>
        <v>龚佑佳</v>
      </c>
      <c r="D682" t="str">
        <f>"女"</f>
        <v>女</v>
      </c>
    </row>
    <row r="683" spans="1:4" ht="24" customHeight="1">
      <c r="A683" t="str">
        <f>"10512020072709491829575"</f>
        <v>10512020072709491829575</v>
      </c>
      <c r="B683" t="s">
        <v>20</v>
      </c>
      <c r="C683" t="str">
        <f>"欧阳前程"</f>
        <v>欧阳前程</v>
      </c>
      <c r="D683" t="str">
        <f>"男"</f>
        <v>男</v>
      </c>
    </row>
    <row r="684" spans="1:4" ht="24" customHeight="1">
      <c r="A684" t="str">
        <f>"10512020072709503429577"</f>
        <v>10512020072709503429577</v>
      </c>
      <c r="B684" t="s">
        <v>7</v>
      </c>
      <c r="C684" t="str">
        <f>"涂生武"</f>
        <v>涂生武</v>
      </c>
      <c r="D684" t="str">
        <f>"男"</f>
        <v>男</v>
      </c>
    </row>
    <row r="685" spans="1:4" ht="24" customHeight="1">
      <c r="A685" t="str">
        <f>"10512020072709510929578"</f>
        <v>10512020072709510929578</v>
      </c>
      <c r="B685" t="s">
        <v>28</v>
      </c>
      <c r="C685" t="str">
        <f>"樊宇琪"</f>
        <v>樊宇琪</v>
      </c>
      <c r="D685" t="str">
        <f>"女"</f>
        <v>女</v>
      </c>
    </row>
    <row r="686" spans="1:4" ht="24" customHeight="1">
      <c r="A686" t="str">
        <f>"10512020072709540529579"</f>
        <v>10512020072709540529579</v>
      </c>
      <c r="B686" t="s">
        <v>7</v>
      </c>
      <c r="C686" t="str">
        <f>"郑旭秀"</f>
        <v>郑旭秀</v>
      </c>
      <c r="D686" t="str">
        <f>"女"</f>
        <v>女</v>
      </c>
    </row>
    <row r="687" spans="1:4" ht="24" customHeight="1">
      <c r="A687" t="str">
        <f>"10512020072709545929580"</f>
        <v>10512020072709545929580</v>
      </c>
      <c r="B687" t="s">
        <v>13</v>
      </c>
      <c r="C687" t="str">
        <f>"钟娅"</f>
        <v>钟娅</v>
      </c>
      <c r="D687" t="str">
        <f>"女"</f>
        <v>女</v>
      </c>
    </row>
    <row r="688" spans="1:4" ht="24" customHeight="1">
      <c r="A688" t="str">
        <f>"10512020072709553029581"</f>
        <v>10512020072709553029581</v>
      </c>
      <c r="B688" t="s">
        <v>32</v>
      </c>
      <c r="C688" t="str">
        <f>"黄俊涛"</f>
        <v>黄俊涛</v>
      </c>
      <c r="D688" t="str">
        <f>"男"</f>
        <v>男</v>
      </c>
    </row>
    <row r="689" spans="1:4" ht="24" customHeight="1">
      <c r="A689" t="str">
        <f>"10512020072709562529582"</f>
        <v>10512020072709562529582</v>
      </c>
      <c r="B689" t="s">
        <v>16</v>
      </c>
      <c r="C689" t="str">
        <f>"郭瑾"</f>
        <v>郭瑾</v>
      </c>
      <c r="D689" t="str">
        <f>"女"</f>
        <v>女</v>
      </c>
    </row>
    <row r="690" spans="1:4" ht="24" customHeight="1">
      <c r="A690" t="str">
        <f>"10512020072709572829583"</f>
        <v>10512020072709572829583</v>
      </c>
      <c r="B690" t="s">
        <v>13</v>
      </c>
      <c r="C690" t="str">
        <f>"张宇恒"</f>
        <v>张宇恒</v>
      </c>
      <c r="D690" t="str">
        <f>"男"</f>
        <v>男</v>
      </c>
    </row>
    <row r="691" spans="1:4" ht="24" customHeight="1">
      <c r="A691" t="str">
        <f>"10512020072709582929584"</f>
        <v>10512020072709582929584</v>
      </c>
      <c r="B691" t="s">
        <v>13</v>
      </c>
      <c r="C691" t="str">
        <f>"刘菲"</f>
        <v>刘菲</v>
      </c>
      <c r="D691" t="str">
        <f>"女"</f>
        <v>女</v>
      </c>
    </row>
    <row r="692" spans="1:4" ht="24" customHeight="1">
      <c r="A692" t="str">
        <f>"10512020072709585429585"</f>
        <v>10512020072709585429585</v>
      </c>
      <c r="B692" t="s">
        <v>5</v>
      </c>
      <c r="C692" t="str">
        <f>"李天翔"</f>
        <v>李天翔</v>
      </c>
      <c r="D692" t="str">
        <f>"男"</f>
        <v>男</v>
      </c>
    </row>
    <row r="693" spans="1:4" ht="24" customHeight="1">
      <c r="A693" t="str">
        <f>"10512020072709591729586"</f>
        <v>10512020072709591729586</v>
      </c>
      <c r="B693" t="s">
        <v>52</v>
      </c>
      <c r="C693" t="str">
        <f>"谭亮"</f>
        <v>谭亮</v>
      </c>
      <c r="D693" t="str">
        <f>"男"</f>
        <v>男</v>
      </c>
    </row>
    <row r="694" spans="1:4" ht="24" customHeight="1">
      <c r="A694" t="str">
        <f>"10512020072710003229587"</f>
        <v>10512020072710003229587</v>
      </c>
      <c r="B694" t="s">
        <v>11</v>
      </c>
      <c r="C694" t="str">
        <f>"丰凯莉"</f>
        <v>丰凯莉</v>
      </c>
      <c r="D694" t="str">
        <f>"女"</f>
        <v>女</v>
      </c>
    </row>
    <row r="695" spans="1:4" ht="24" customHeight="1">
      <c r="A695" t="str">
        <f>"10512020072710004629588"</f>
        <v>10512020072710004629588</v>
      </c>
      <c r="B695" t="s">
        <v>18</v>
      </c>
      <c r="C695" t="str">
        <f>"聂吕潇"</f>
        <v>聂吕潇</v>
      </c>
      <c r="D695" t="str">
        <f>"男"</f>
        <v>男</v>
      </c>
    </row>
    <row r="696" spans="1:4" ht="24" customHeight="1">
      <c r="A696" t="str">
        <f>"10512020072710014429589"</f>
        <v>10512020072710014429589</v>
      </c>
      <c r="B696" t="s">
        <v>21</v>
      </c>
      <c r="C696" t="str">
        <f>"陈佴依"</f>
        <v>陈佴依</v>
      </c>
      <c r="D696" t="str">
        <f t="shared" ref="D696:D703" si="12">"女"</f>
        <v>女</v>
      </c>
    </row>
    <row r="697" spans="1:4" ht="24" customHeight="1">
      <c r="A697" t="str">
        <f>"10512020072710015329590"</f>
        <v>10512020072710015329590</v>
      </c>
      <c r="B697" t="s">
        <v>33</v>
      </c>
      <c r="C697" t="str">
        <f>"谭浩含"</f>
        <v>谭浩含</v>
      </c>
      <c r="D697" t="str">
        <f t="shared" si="12"/>
        <v>女</v>
      </c>
    </row>
    <row r="698" spans="1:4" ht="24" customHeight="1">
      <c r="A698" t="str">
        <f>"10512020072710024029591"</f>
        <v>10512020072710024029591</v>
      </c>
      <c r="B698" t="s">
        <v>59</v>
      </c>
      <c r="C698" t="str">
        <f>"张婷"</f>
        <v>张婷</v>
      </c>
      <c r="D698" t="str">
        <f t="shared" si="12"/>
        <v>女</v>
      </c>
    </row>
    <row r="699" spans="1:4" ht="24" customHeight="1">
      <c r="A699" t="str">
        <f>"10512020072710033029592"</f>
        <v>10512020072710033029592</v>
      </c>
      <c r="B699" t="s">
        <v>26</v>
      </c>
      <c r="C699" t="str">
        <f>"才梅"</f>
        <v>才梅</v>
      </c>
      <c r="D699" t="str">
        <f t="shared" si="12"/>
        <v>女</v>
      </c>
    </row>
    <row r="700" spans="1:4" ht="24" customHeight="1">
      <c r="A700" t="str">
        <f>"10512020072710033429593"</f>
        <v>10512020072710033429593</v>
      </c>
      <c r="B700" t="s">
        <v>13</v>
      </c>
      <c r="C700" t="str">
        <f>"揭梦洋"</f>
        <v>揭梦洋</v>
      </c>
      <c r="D700" t="str">
        <f t="shared" si="12"/>
        <v>女</v>
      </c>
    </row>
    <row r="701" spans="1:4" ht="24" customHeight="1">
      <c r="A701" t="str">
        <f>"10512020072710053329594"</f>
        <v>10512020072710053329594</v>
      </c>
      <c r="B701" t="s">
        <v>10</v>
      </c>
      <c r="C701" t="str">
        <f>"黄娟"</f>
        <v>黄娟</v>
      </c>
      <c r="D701" t="str">
        <f t="shared" si="12"/>
        <v>女</v>
      </c>
    </row>
    <row r="702" spans="1:4" ht="24" customHeight="1">
      <c r="A702" t="str">
        <f>"10512020072710065029595"</f>
        <v>10512020072710065029595</v>
      </c>
      <c r="B702" t="s">
        <v>17</v>
      </c>
      <c r="C702" t="str">
        <f>"尹雅平"</f>
        <v>尹雅平</v>
      </c>
      <c r="D702" t="str">
        <f t="shared" si="12"/>
        <v>女</v>
      </c>
    </row>
    <row r="703" spans="1:4" ht="24" customHeight="1">
      <c r="A703" t="str">
        <f>"10512020072710074329596"</f>
        <v>10512020072710074329596</v>
      </c>
      <c r="B703" t="s">
        <v>6</v>
      </c>
      <c r="C703" t="str">
        <f>"万仁杰"</f>
        <v>万仁杰</v>
      </c>
      <c r="D703" t="str">
        <f t="shared" si="12"/>
        <v>女</v>
      </c>
    </row>
    <row r="704" spans="1:4" ht="24" customHeight="1">
      <c r="A704" t="str">
        <f>"10512020072710074629597"</f>
        <v>10512020072710074629597</v>
      </c>
      <c r="B704" t="s">
        <v>6</v>
      </c>
      <c r="C704" t="str">
        <f>"钟勇"</f>
        <v>钟勇</v>
      </c>
      <c r="D704" t="str">
        <f>"男"</f>
        <v>男</v>
      </c>
    </row>
    <row r="705" spans="1:4" ht="24" customHeight="1">
      <c r="A705" t="str">
        <f>"10512020072710084529598"</f>
        <v>10512020072710084529598</v>
      </c>
      <c r="B705" t="s">
        <v>20</v>
      </c>
      <c r="C705" t="str">
        <f>"穆勇"</f>
        <v>穆勇</v>
      </c>
      <c r="D705" t="str">
        <f>"男"</f>
        <v>男</v>
      </c>
    </row>
    <row r="706" spans="1:4" ht="24" customHeight="1">
      <c r="A706" t="str">
        <f>"10512020072710084529599"</f>
        <v>10512020072710084529599</v>
      </c>
      <c r="B706" t="s">
        <v>13</v>
      </c>
      <c r="C706" t="str">
        <f>"彭力"</f>
        <v>彭力</v>
      </c>
      <c r="D706" t="str">
        <f>"女"</f>
        <v>女</v>
      </c>
    </row>
    <row r="707" spans="1:4" ht="24" customHeight="1">
      <c r="A707" t="str">
        <f>"10512020072710090229600"</f>
        <v>10512020072710090229600</v>
      </c>
      <c r="B707" t="s">
        <v>6</v>
      </c>
      <c r="C707" t="str">
        <f>"陈桂"</f>
        <v>陈桂</v>
      </c>
      <c r="D707" t="str">
        <f>"男"</f>
        <v>男</v>
      </c>
    </row>
    <row r="708" spans="1:4" ht="24" customHeight="1">
      <c r="A708" t="str">
        <f>"10512020072710100929601"</f>
        <v>10512020072710100929601</v>
      </c>
      <c r="B708" t="s">
        <v>6</v>
      </c>
      <c r="C708" t="str">
        <f>"莫双双"</f>
        <v>莫双双</v>
      </c>
      <c r="D708" t="str">
        <f>"女"</f>
        <v>女</v>
      </c>
    </row>
    <row r="709" spans="1:4" ht="24" customHeight="1">
      <c r="A709" t="str">
        <f>"10512020072710112529602"</f>
        <v>10512020072710112529602</v>
      </c>
      <c r="B709" t="s">
        <v>32</v>
      </c>
      <c r="C709" t="str">
        <f>"胡涛"</f>
        <v>胡涛</v>
      </c>
      <c r="D709" t="str">
        <f>"男"</f>
        <v>男</v>
      </c>
    </row>
    <row r="710" spans="1:4" ht="24" customHeight="1">
      <c r="A710" t="str">
        <f>"10512020072710121229603"</f>
        <v>10512020072710121229603</v>
      </c>
      <c r="B710" t="s">
        <v>6</v>
      </c>
      <c r="C710" t="str">
        <f>"卜和申"</f>
        <v>卜和申</v>
      </c>
      <c r="D710" t="str">
        <f>"男"</f>
        <v>男</v>
      </c>
    </row>
    <row r="711" spans="1:4" ht="24" customHeight="1">
      <c r="A711" t="str">
        <f>"10512020072710134229604"</f>
        <v>10512020072710134229604</v>
      </c>
      <c r="B711" t="s">
        <v>30</v>
      </c>
      <c r="C711" t="str">
        <f>"熊磊"</f>
        <v>熊磊</v>
      </c>
      <c r="D711" t="str">
        <f>"男"</f>
        <v>男</v>
      </c>
    </row>
    <row r="712" spans="1:4" ht="24" customHeight="1">
      <c r="A712" t="str">
        <f>"10512020072710142829605"</f>
        <v>10512020072710142829605</v>
      </c>
      <c r="B712" t="s">
        <v>12</v>
      </c>
      <c r="C712" t="str">
        <f>"王子璇"</f>
        <v>王子璇</v>
      </c>
      <c r="D712" t="str">
        <f>"女"</f>
        <v>女</v>
      </c>
    </row>
    <row r="713" spans="1:4" ht="24" customHeight="1">
      <c r="A713" t="str">
        <f>"10512020072710150129606"</f>
        <v>10512020072710150129606</v>
      </c>
      <c r="B713" t="s">
        <v>35</v>
      </c>
      <c r="C713" t="str">
        <f>"彭雅文"</f>
        <v>彭雅文</v>
      </c>
      <c r="D713" t="str">
        <f>"女"</f>
        <v>女</v>
      </c>
    </row>
    <row r="714" spans="1:4" ht="24" customHeight="1">
      <c r="A714" t="str">
        <f>"10512020072710154829607"</f>
        <v>10512020072710154829607</v>
      </c>
      <c r="B714" t="s">
        <v>29</v>
      </c>
      <c r="C714" t="str">
        <f>"王杰余"</f>
        <v>王杰余</v>
      </c>
      <c r="D714" t="str">
        <f>"女"</f>
        <v>女</v>
      </c>
    </row>
    <row r="715" spans="1:4" ht="24" customHeight="1">
      <c r="A715" t="str">
        <f>"10512020072710160029608"</f>
        <v>10512020072710160029608</v>
      </c>
      <c r="B715" t="s">
        <v>6</v>
      </c>
      <c r="C715" t="str">
        <f>"杨云媚"</f>
        <v>杨云媚</v>
      </c>
      <c r="D715" t="str">
        <f>"女"</f>
        <v>女</v>
      </c>
    </row>
    <row r="716" spans="1:4" ht="24" customHeight="1">
      <c r="A716" t="str">
        <f>"10512020072710160129609"</f>
        <v>10512020072710160129609</v>
      </c>
      <c r="B716" t="s">
        <v>26</v>
      </c>
      <c r="C716" t="str">
        <f>"黄秋霞"</f>
        <v>黄秋霞</v>
      </c>
      <c r="D716" t="str">
        <f>"女"</f>
        <v>女</v>
      </c>
    </row>
    <row r="717" spans="1:4" ht="24" customHeight="1">
      <c r="A717" t="str">
        <f>"10512020072710160629610"</f>
        <v>10512020072710160629610</v>
      </c>
      <c r="B717" t="s">
        <v>5</v>
      </c>
      <c r="C717" t="str">
        <f>"鲁伟"</f>
        <v>鲁伟</v>
      </c>
      <c r="D717" t="str">
        <f>"男"</f>
        <v>男</v>
      </c>
    </row>
    <row r="718" spans="1:4" ht="24" customHeight="1">
      <c r="A718" t="str">
        <f>"10512020072710160929611"</f>
        <v>10512020072710160929611</v>
      </c>
      <c r="B718" t="s">
        <v>30</v>
      </c>
      <c r="C718" t="str">
        <f>"廖天佑"</f>
        <v>廖天佑</v>
      </c>
      <c r="D718" t="str">
        <f>"男"</f>
        <v>男</v>
      </c>
    </row>
    <row r="719" spans="1:4" ht="24" customHeight="1">
      <c r="A719" t="str">
        <f>"10512020072710164229612"</f>
        <v>10512020072710164229612</v>
      </c>
      <c r="B719" t="s">
        <v>33</v>
      </c>
      <c r="C719" t="str">
        <f>"崔泉锋"</f>
        <v>崔泉锋</v>
      </c>
      <c r="D719" t="str">
        <f>"男"</f>
        <v>男</v>
      </c>
    </row>
    <row r="720" spans="1:4" ht="24" customHeight="1">
      <c r="A720" t="str">
        <f>"10512020072710165329613"</f>
        <v>10512020072710165329613</v>
      </c>
      <c r="B720" t="s">
        <v>7</v>
      </c>
      <c r="C720" t="str">
        <f>"金蕾"</f>
        <v>金蕾</v>
      </c>
      <c r="D720" t="str">
        <f>"女"</f>
        <v>女</v>
      </c>
    </row>
    <row r="721" spans="1:4" ht="24" customHeight="1">
      <c r="A721" t="str">
        <f>"10512020072710171029614"</f>
        <v>10512020072710171029614</v>
      </c>
      <c r="B721" t="s">
        <v>31</v>
      </c>
      <c r="C721" t="str">
        <f>"邓宇杰"</f>
        <v>邓宇杰</v>
      </c>
      <c r="D721" t="str">
        <f>"男"</f>
        <v>男</v>
      </c>
    </row>
    <row r="722" spans="1:4" ht="24" customHeight="1">
      <c r="A722" t="str">
        <f>"10512020072710172929615"</f>
        <v>10512020072710172929615</v>
      </c>
      <c r="B722" t="s">
        <v>27</v>
      </c>
      <c r="C722" t="str">
        <f>"梁盼"</f>
        <v>梁盼</v>
      </c>
      <c r="D722" t="str">
        <f>"男"</f>
        <v>男</v>
      </c>
    </row>
    <row r="723" spans="1:4" ht="24" customHeight="1">
      <c r="A723" t="str">
        <f>"10512020072710180229616"</f>
        <v>10512020072710180229616</v>
      </c>
      <c r="B723" t="s">
        <v>41</v>
      </c>
      <c r="C723" t="str">
        <f>"贵璇"</f>
        <v>贵璇</v>
      </c>
      <c r="D723" t="str">
        <f>"女"</f>
        <v>女</v>
      </c>
    </row>
    <row r="724" spans="1:4" ht="24" customHeight="1">
      <c r="A724" t="str">
        <f>"10512020072710180629617"</f>
        <v>10512020072710180629617</v>
      </c>
      <c r="B724" t="s">
        <v>24</v>
      </c>
      <c r="C724" t="str">
        <f>"郭健"</f>
        <v>郭健</v>
      </c>
      <c r="D724" t="str">
        <f>"男"</f>
        <v>男</v>
      </c>
    </row>
    <row r="725" spans="1:4" ht="24" customHeight="1">
      <c r="A725" t="str">
        <f>"10512020072710201729619"</f>
        <v>10512020072710201729619</v>
      </c>
      <c r="B725" t="s">
        <v>23</v>
      </c>
      <c r="C725" t="str">
        <f>"曾蔓乐"</f>
        <v>曾蔓乐</v>
      </c>
      <c r="D725" t="str">
        <f>"女"</f>
        <v>女</v>
      </c>
    </row>
    <row r="726" spans="1:4" ht="24" customHeight="1">
      <c r="A726" t="str">
        <f>"10512020072710203829620"</f>
        <v>10512020072710203829620</v>
      </c>
      <c r="B726" t="s">
        <v>11</v>
      </c>
      <c r="C726" t="str">
        <f>"毛典君"</f>
        <v>毛典君</v>
      </c>
      <c r="D726" t="str">
        <f>"女"</f>
        <v>女</v>
      </c>
    </row>
    <row r="727" spans="1:4" ht="24" customHeight="1">
      <c r="A727" t="str">
        <f>"10512020072710231829621"</f>
        <v>10512020072710231829621</v>
      </c>
      <c r="B727" t="s">
        <v>23</v>
      </c>
      <c r="C727" t="str">
        <f>"吴君雨"</f>
        <v>吴君雨</v>
      </c>
      <c r="D727" t="str">
        <f>"女"</f>
        <v>女</v>
      </c>
    </row>
    <row r="728" spans="1:4" ht="24" customHeight="1">
      <c r="A728" t="str">
        <f>"10512020072710234129622"</f>
        <v>10512020072710234129622</v>
      </c>
      <c r="B728" t="s">
        <v>11</v>
      </c>
      <c r="C728" t="str">
        <f>"王灏"</f>
        <v>王灏</v>
      </c>
      <c r="D728" t="str">
        <f>"男"</f>
        <v>男</v>
      </c>
    </row>
    <row r="729" spans="1:4" ht="24" customHeight="1">
      <c r="A729" t="str">
        <f>"10512020072710234929623"</f>
        <v>10512020072710234929623</v>
      </c>
      <c r="B729" t="s">
        <v>15</v>
      </c>
      <c r="C729" t="str">
        <f>"杜君安"</f>
        <v>杜君安</v>
      </c>
      <c r="D729" t="str">
        <f>"男"</f>
        <v>男</v>
      </c>
    </row>
    <row r="730" spans="1:4" ht="24" customHeight="1">
      <c r="A730" t="str">
        <f>"10512020072710240229624"</f>
        <v>10512020072710240229624</v>
      </c>
      <c r="B730" t="s">
        <v>13</v>
      </c>
      <c r="C730" t="str">
        <f>"刘亚萍"</f>
        <v>刘亚萍</v>
      </c>
      <c r="D730" t="str">
        <f>"女"</f>
        <v>女</v>
      </c>
    </row>
    <row r="731" spans="1:4" ht="24" customHeight="1">
      <c r="A731" t="str">
        <f>"10512020072710300229625"</f>
        <v>10512020072710300229625</v>
      </c>
      <c r="B731" t="s">
        <v>21</v>
      </c>
      <c r="C731" t="str">
        <f>"于楠"</f>
        <v>于楠</v>
      </c>
      <c r="D731" t="str">
        <f>"女"</f>
        <v>女</v>
      </c>
    </row>
    <row r="732" spans="1:4" ht="24" customHeight="1">
      <c r="A732" t="str">
        <f>"10512020072710312329626"</f>
        <v>10512020072710312329626</v>
      </c>
      <c r="B732" t="s">
        <v>34</v>
      </c>
      <c r="C732" t="str">
        <f>"王凤娇"</f>
        <v>王凤娇</v>
      </c>
      <c r="D732" t="str">
        <f>"女"</f>
        <v>女</v>
      </c>
    </row>
    <row r="733" spans="1:4" ht="24" customHeight="1">
      <c r="A733" t="str">
        <f>"10512020072710315629627"</f>
        <v>10512020072710315629627</v>
      </c>
      <c r="B733" t="s">
        <v>13</v>
      </c>
      <c r="C733" t="str">
        <f>"朱朝凤"</f>
        <v>朱朝凤</v>
      </c>
      <c r="D733" t="str">
        <f>"女"</f>
        <v>女</v>
      </c>
    </row>
    <row r="734" spans="1:4" ht="24" customHeight="1">
      <c r="A734" t="str">
        <f>"10512020072710324629628"</f>
        <v>10512020072710324629628</v>
      </c>
      <c r="B734" t="s">
        <v>38</v>
      </c>
      <c r="C734" t="str">
        <f>"段敏"</f>
        <v>段敏</v>
      </c>
      <c r="D734" t="str">
        <f>"女"</f>
        <v>女</v>
      </c>
    </row>
    <row r="735" spans="1:4" ht="24" customHeight="1">
      <c r="A735" t="str">
        <f>"10512020072710331029629"</f>
        <v>10512020072710331029629</v>
      </c>
      <c r="B735" t="s">
        <v>8</v>
      </c>
      <c r="C735" t="str">
        <f>"郭陈"</f>
        <v>郭陈</v>
      </c>
      <c r="D735" t="str">
        <f>"男"</f>
        <v>男</v>
      </c>
    </row>
    <row r="736" spans="1:4" ht="24" customHeight="1">
      <c r="A736" t="str">
        <f>"10512020072710341029630"</f>
        <v>10512020072710341029630</v>
      </c>
      <c r="B736" t="s">
        <v>41</v>
      </c>
      <c r="C736" t="str">
        <f>"杨君"</f>
        <v>杨君</v>
      </c>
      <c r="D736" t="str">
        <f>"女"</f>
        <v>女</v>
      </c>
    </row>
    <row r="737" spans="1:4" ht="24" customHeight="1">
      <c r="A737" t="str">
        <f>"10512020072710344129631"</f>
        <v>10512020072710344129631</v>
      </c>
      <c r="B737" t="s">
        <v>15</v>
      </c>
      <c r="C737" t="str">
        <f>"彭维"</f>
        <v>彭维</v>
      </c>
      <c r="D737" t="str">
        <f>"男"</f>
        <v>男</v>
      </c>
    </row>
    <row r="738" spans="1:4" ht="24" customHeight="1">
      <c r="A738" t="str">
        <f>"10512020072710351829632"</f>
        <v>10512020072710351829632</v>
      </c>
      <c r="B738" t="s">
        <v>7</v>
      </c>
      <c r="C738" t="str">
        <f>"王逸文"</f>
        <v>王逸文</v>
      </c>
      <c r="D738" t="str">
        <f>"女"</f>
        <v>女</v>
      </c>
    </row>
    <row r="739" spans="1:4" ht="24" customHeight="1">
      <c r="A739" t="str">
        <f>"10512020072710371629633"</f>
        <v>10512020072710371629633</v>
      </c>
      <c r="B739" t="s">
        <v>20</v>
      </c>
      <c r="C739" t="str">
        <f>"熊凡"</f>
        <v>熊凡</v>
      </c>
      <c r="D739" t="str">
        <f>"女"</f>
        <v>女</v>
      </c>
    </row>
    <row r="740" spans="1:4" ht="24" customHeight="1">
      <c r="A740" t="str">
        <f>"10512020072710373629634"</f>
        <v>10512020072710373629634</v>
      </c>
      <c r="B740" t="s">
        <v>16</v>
      </c>
      <c r="C740" t="str">
        <f>"严云"</f>
        <v>严云</v>
      </c>
      <c r="D740" t="str">
        <f>"女"</f>
        <v>女</v>
      </c>
    </row>
    <row r="741" spans="1:4" ht="24" customHeight="1">
      <c r="A741" t="str">
        <f>"10512020072710374229635"</f>
        <v>10512020072710374229635</v>
      </c>
      <c r="B741" t="s">
        <v>10</v>
      </c>
      <c r="C741" t="str">
        <f>"刘敏"</f>
        <v>刘敏</v>
      </c>
      <c r="D741" t="str">
        <f>"女"</f>
        <v>女</v>
      </c>
    </row>
    <row r="742" spans="1:4" ht="24" customHeight="1">
      <c r="A742" t="str">
        <f>"10512020072710375129636"</f>
        <v>10512020072710375129636</v>
      </c>
      <c r="B742" t="s">
        <v>23</v>
      </c>
      <c r="C742" t="str">
        <f>"王萧"</f>
        <v>王萧</v>
      </c>
      <c r="D742" t="str">
        <f>"男"</f>
        <v>男</v>
      </c>
    </row>
    <row r="743" spans="1:4" ht="24" customHeight="1">
      <c r="A743" t="str">
        <f>"10512020072710382529637"</f>
        <v>10512020072710382529637</v>
      </c>
      <c r="B743" t="s">
        <v>19</v>
      </c>
      <c r="C743" t="str">
        <f>"田儒龙"</f>
        <v>田儒龙</v>
      </c>
      <c r="D743" t="str">
        <f>"男"</f>
        <v>男</v>
      </c>
    </row>
    <row r="744" spans="1:4" ht="24" customHeight="1">
      <c r="A744" t="str">
        <f>"10512020072710422029639"</f>
        <v>10512020072710422029639</v>
      </c>
      <c r="B744" t="s">
        <v>27</v>
      </c>
      <c r="C744" t="str">
        <f>"彭黎明"</f>
        <v>彭黎明</v>
      </c>
      <c r="D744" t="str">
        <f>"女"</f>
        <v>女</v>
      </c>
    </row>
    <row r="745" spans="1:4" ht="24" customHeight="1">
      <c r="A745" t="str">
        <f>"10512020072710433029640"</f>
        <v>10512020072710433029640</v>
      </c>
      <c r="B745" t="s">
        <v>17</v>
      </c>
      <c r="C745" t="str">
        <f>"戴朝辉"</f>
        <v>戴朝辉</v>
      </c>
      <c r="D745" t="str">
        <f>"女"</f>
        <v>女</v>
      </c>
    </row>
    <row r="746" spans="1:4" ht="24" customHeight="1">
      <c r="A746" t="str">
        <f>"10512020072710434129641"</f>
        <v>10512020072710434129641</v>
      </c>
      <c r="B746" t="s">
        <v>23</v>
      </c>
      <c r="C746" t="str">
        <f>"张瑶"</f>
        <v>张瑶</v>
      </c>
      <c r="D746" t="str">
        <f>"男"</f>
        <v>男</v>
      </c>
    </row>
    <row r="747" spans="1:4" ht="24" customHeight="1">
      <c r="A747" t="str">
        <f>"10512020072710445529642"</f>
        <v>10512020072710445529642</v>
      </c>
      <c r="B747" t="s">
        <v>15</v>
      </c>
      <c r="C747" t="str">
        <f>"许静文"</f>
        <v>许静文</v>
      </c>
      <c r="D747" t="str">
        <f>"女"</f>
        <v>女</v>
      </c>
    </row>
    <row r="748" spans="1:4" ht="24" customHeight="1">
      <c r="A748" t="str">
        <f>"10512020072710452329643"</f>
        <v>10512020072710452329643</v>
      </c>
      <c r="B748" t="s">
        <v>6</v>
      </c>
      <c r="C748" t="str">
        <f>"廖幸"</f>
        <v>廖幸</v>
      </c>
      <c r="D748" t="str">
        <f>"男"</f>
        <v>男</v>
      </c>
    </row>
    <row r="749" spans="1:4" ht="24" customHeight="1">
      <c r="A749" t="str">
        <f>"10512020072710454329644"</f>
        <v>10512020072710454329644</v>
      </c>
      <c r="B749" t="s">
        <v>41</v>
      </c>
      <c r="C749" t="str">
        <f>"向婷"</f>
        <v>向婷</v>
      </c>
      <c r="D749" t="str">
        <f>"女"</f>
        <v>女</v>
      </c>
    </row>
    <row r="750" spans="1:4" ht="24" customHeight="1">
      <c r="A750" t="str">
        <f>"10512020072710455129646"</f>
        <v>10512020072710455129646</v>
      </c>
      <c r="B750" t="s">
        <v>6</v>
      </c>
      <c r="C750" t="str">
        <f>"何曼"</f>
        <v>何曼</v>
      </c>
      <c r="D750" t="str">
        <f>"女"</f>
        <v>女</v>
      </c>
    </row>
    <row r="751" spans="1:4" ht="24" customHeight="1">
      <c r="A751" t="str">
        <f>"10512020072710460829647"</f>
        <v>10512020072710460829647</v>
      </c>
      <c r="B751" t="s">
        <v>30</v>
      </c>
      <c r="C751" t="str">
        <f>"丁威"</f>
        <v>丁威</v>
      </c>
      <c r="D751" t="str">
        <f>"男"</f>
        <v>男</v>
      </c>
    </row>
    <row r="752" spans="1:4" ht="24" customHeight="1">
      <c r="A752" t="str">
        <f>"10512020072710463529648"</f>
        <v>10512020072710463529648</v>
      </c>
      <c r="B752" t="s">
        <v>32</v>
      </c>
      <c r="C752" t="str">
        <f>"李立为"</f>
        <v>李立为</v>
      </c>
      <c r="D752" t="str">
        <f>"女"</f>
        <v>女</v>
      </c>
    </row>
    <row r="753" spans="1:4" ht="24" customHeight="1">
      <c r="A753" t="str">
        <f>"10512020072710502229649"</f>
        <v>10512020072710502229649</v>
      </c>
      <c r="B753" t="s">
        <v>36</v>
      </c>
      <c r="C753" t="str">
        <f>"王业恒"</f>
        <v>王业恒</v>
      </c>
      <c r="D753" t="str">
        <f>"男"</f>
        <v>男</v>
      </c>
    </row>
    <row r="754" spans="1:4" ht="24" customHeight="1">
      <c r="A754" t="str">
        <f>"10512020072710505229650"</f>
        <v>10512020072710505229650</v>
      </c>
      <c r="B754" t="s">
        <v>26</v>
      </c>
      <c r="C754" t="str">
        <f>"樊庶州"</f>
        <v>樊庶州</v>
      </c>
      <c r="D754" t="str">
        <f>"男"</f>
        <v>男</v>
      </c>
    </row>
    <row r="755" spans="1:4" ht="24" customHeight="1">
      <c r="A755" t="str">
        <f>"10512020072710524729651"</f>
        <v>10512020072710524729651</v>
      </c>
      <c r="B755" t="s">
        <v>19</v>
      </c>
      <c r="C755" t="str">
        <f>"胡羚羊"</f>
        <v>胡羚羊</v>
      </c>
      <c r="D755" t="str">
        <f>"男"</f>
        <v>男</v>
      </c>
    </row>
    <row r="756" spans="1:4" ht="24" customHeight="1">
      <c r="A756" t="str">
        <f>"10512020072710542029652"</f>
        <v>10512020072710542029652</v>
      </c>
      <c r="B756" t="s">
        <v>6</v>
      </c>
      <c r="C756" t="str">
        <f>"宋佳"</f>
        <v>宋佳</v>
      </c>
      <c r="D756" t="str">
        <f>"女"</f>
        <v>女</v>
      </c>
    </row>
    <row r="757" spans="1:4" ht="24" customHeight="1">
      <c r="A757" t="str">
        <f>"10512020072710542729653"</f>
        <v>10512020072710542729653</v>
      </c>
      <c r="B757" t="s">
        <v>29</v>
      </c>
      <c r="C757" t="str">
        <f>"陈婉琴"</f>
        <v>陈婉琴</v>
      </c>
      <c r="D757" t="str">
        <f>"女"</f>
        <v>女</v>
      </c>
    </row>
    <row r="758" spans="1:4" ht="24" customHeight="1">
      <c r="A758" t="str">
        <f>"10512020072710551329654"</f>
        <v>10512020072710551329654</v>
      </c>
      <c r="B758" t="s">
        <v>33</v>
      </c>
      <c r="C758" t="str">
        <f>"熊力文"</f>
        <v>熊力文</v>
      </c>
      <c r="D758" t="str">
        <f>"男"</f>
        <v>男</v>
      </c>
    </row>
    <row r="759" spans="1:4" ht="24" customHeight="1">
      <c r="A759" t="str">
        <f>"10512020072710552429655"</f>
        <v>10512020072710552429655</v>
      </c>
      <c r="B759" t="s">
        <v>12</v>
      </c>
      <c r="C759" t="str">
        <f>"曹诗卉"</f>
        <v>曹诗卉</v>
      </c>
      <c r="D759" t="str">
        <f>"女"</f>
        <v>女</v>
      </c>
    </row>
    <row r="760" spans="1:4" ht="24" customHeight="1">
      <c r="A760" t="str">
        <f>"10512020072710555829656"</f>
        <v>10512020072710555829656</v>
      </c>
      <c r="B760" t="s">
        <v>36</v>
      </c>
      <c r="C760" t="str">
        <f>"郭腊梅"</f>
        <v>郭腊梅</v>
      </c>
      <c r="D760" t="str">
        <f>"女"</f>
        <v>女</v>
      </c>
    </row>
    <row r="761" spans="1:4" ht="24" customHeight="1">
      <c r="A761" t="str">
        <f>"10512020072710571929657"</f>
        <v>10512020072710571929657</v>
      </c>
      <c r="B761" t="s">
        <v>16</v>
      </c>
      <c r="C761" t="str">
        <f>"贺子珍"</f>
        <v>贺子珍</v>
      </c>
      <c r="D761" t="str">
        <f>"女"</f>
        <v>女</v>
      </c>
    </row>
    <row r="762" spans="1:4" ht="24" customHeight="1">
      <c r="A762" t="str">
        <f>"10512020072710575729658"</f>
        <v>10512020072710575729658</v>
      </c>
      <c r="B762" t="s">
        <v>48</v>
      </c>
      <c r="C762" t="str">
        <f>"王志威"</f>
        <v>王志威</v>
      </c>
      <c r="D762" t="str">
        <f>"男"</f>
        <v>男</v>
      </c>
    </row>
    <row r="763" spans="1:4" ht="24" customHeight="1">
      <c r="A763" t="str">
        <f>"10512020072710581529659"</f>
        <v>10512020072710581529659</v>
      </c>
      <c r="B763" t="s">
        <v>7</v>
      </c>
      <c r="C763" t="str">
        <f>"张玲琳"</f>
        <v>张玲琳</v>
      </c>
      <c r="D763" t="str">
        <f t="shared" ref="D763:D769" si="13">"女"</f>
        <v>女</v>
      </c>
    </row>
    <row r="764" spans="1:4" ht="24" customHeight="1">
      <c r="A764" t="str">
        <f>"10512020072710591929660"</f>
        <v>10512020072710591929660</v>
      </c>
      <c r="B764" t="s">
        <v>40</v>
      </c>
      <c r="C764" t="str">
        <f>"罗蓉"</f>
        <v>罗蓉</v>
      </c>
      <c r="D764" t="str">
        <f t="shared" si="13"/>
        <v>女</v>
      </c>
    </row>
    <row r="765" spans="1:4" ht="24" customHeight="1">
      <c r="A765" t="str">
        <f>"10512020072710593429661"</f>
        <v>10512020072710593429661</v>
      </c>
      <c r="B765" t="s">
        <v>20</v>
      </c>
      <c r="C765" t="str">
        <f>"胡丹"</f>
        <v>胡丹</v>
      </c>
      <c r="D765" t="str">
        <f t="shared" si="13"/>
        <v>女</v>
      </c>
    </row>
    <row r="766" spans="1:4" ht="24" customHeight="1">
      <c r="A766" t="str">
        <f>"10512020072711002629662"</f>
        <v>10512020072711002629662</v>
      </c>
      <c r="B766" t="s">
        <v>21</v>
      </c>
      <c r="C766" t="str">
        <f>"程岚"</f>
        <v>程岚</v>
      </c>
      <c r="D766" t="str">
        <f t="shared" si="13"/>
        <v>女</v>
      </c>
    </row>
    <row r="767" spans="1:4" ht="24" customHeight="1">
      <c r="A767" t="str">
        <f>"10512020072711010529663"</f>
        <v>10512020072711010529663</v>
      </c>
      <c r="B767" t="s">
        <v>38</v>
      </c>
      <c r="C767" t="str">
        <f>"陈艳"</f>
        <v>陈艳</v>
      </c>
      <c r="D767" t="str">
        <f t="shared" si="13"/>
        <v>女</v>
      </c>
    </row>
    <row r="768" spans="1:4" ht="24" customHeight="1">
      <c r="A768" t="str">
        <f>"10512020072711011029664"</f>
        <v>10512020072711011029664</v>
      </c>
      <c r="B768" t="s">
        <v>41</v>
      </c>
      <c r="C768" t="str">
        <f>"王碧美"</f>
        <v>王碧美</v>
      </c>
      <c r="D768" t="str">
        <f t="shared" si="13"/>
        <v>女</v>
      </c>
    </row>
    <row r="769" spans="1:4" ht="24" customHeight="1">
      <c r="A769" t="str">
        <f>"10512020072711032629665"</f>
        <v>10512020072711032629665</v>
      </c>
      <c r="B769" t="s">
        <v>44</v>
      </c>
      <c r="C769" t="str">
        <f>"黄雷湘"</f>
        <v>黄雷湘</v>
      </c>
      <c r="D769" t="str">
        <f t="shared" si="13"/>
        <v>女</v>
      </c>
    </row>
    <row r="770" spans="1:4" ht="24" customHeight="1">
      <c r="A770" t="str">
        <f>"10512020072711060329666"</f>
        <v>10512020072711060329666</v>
      </c>
      <c r="B770" t="s">
        <v>13</v>
      </c>
      <c r="C770" t="str">
        <f>"傅昱翔"</f>
        <v>傅昱翔</v>
      </c>
      <c r="D770" t="str">
        <f>"男"</f>
        <v>男</v>
      </c>
    </row>
    <row r="771" spans="1:4" ht="24" customHeight="1">
      <c r="A771" t="str">
        <f>"10512020072711062629667"</f>
        <v>10512020072711062629667</v>
      </c>
      <c r="B771" t="s">
        <v>40</v>
      </c>
      <c r="C771" t="str">
        <f>"唐雪艳"</f>
        <v>唐雪艳</v>
      </c>
      <c r="D771" t="str">
        <f>"女"</f>
        <v>女</v>
      </c>
    </row>
    <row r="772" spans="1:4" ht="24" customHeight="1">
      <c r="A772" t="str">
        <f>"10512020072711080029668"</f>
        <v>10512020072711080029668</v>
      </c>
      <c r="B772" t="s">
        <v>5</v>
      </c>
      <c r="C772" t="str">
        <f>"陈诚"</f>
        <v>陈诚</v>
      </c>
      <c r="D772" t="str">
        <f>"男"</f>
        <v>男</v>
      </c>
    </row>
    <row r="773" spans="1:4" ht="24" customHeight="1">
      <c r="A773" t="str">
        <f>"10512020072711080329669"</f>
        <v>10512020072711080329669</v>
      </c>
      <c r="B773" t="s">
        <v>5</v>
      </c>
      <c r="C773" t="str">
        <f>"汪炎"</f>
        <v>汪炎</v>
      </c>
      <c r="D773" t="str">
        <f>"男"</f>
        <v>男</v>
      </c>
    </row>
    <row r="774" spans="1:4" ht="24" customHeight="1">
      <c r="A774" t="str">
        <f>"10512020072711085929671"</f>
        <v>10512020072711085929671</v>
      </c>
      <c r="B774" t="s">
        <v>19</v>
      </c>
      <c r="C774" t="str">
        <f>"唐玉华"</f>
        <v>唐玉华</v>
      </c>
      <c r="D774" t="str">
        <f>"女"</f>
        <v>女</v>
      </c>
    </row>
    <row r="775" spans="1:4" ht="24" customHeight="1">
      <c r="A775" t="str">
        <f>"10512020072711092529672"</f>
        <v>10512020072711092529672</v>
      </c>
      <c r="B775" t="s">
        <v>8</v>
      </c>
      <c r="C775" t="str">
        <f>"张静"</f>
        <v>张静</v>
      </c>
      <c r="D775" t="str">
        <f>"女"</f>
        <v>女</v>
      </c>
    </row>
    <row r="776" spans="1:4" ht="24" customHeight="1">
      <c r="A776" t="str">
        <f>"10512020072711113529673"</f>
        <v>10512020072711113529673</v>
      </c>
      <c r="B776" t="s">
        <v>11</v>
      </c>
      <c r="C776" t="str">
        <f>"宋奕宏"</f>
        <v>宋奕宏</v>
      </c>
      <c r="D776" t="str">
        <f>"男"</f>
        <v>男</v>
      </c>
    </row>
    <row r="777" spans="1:4" ht="24" customHeight="1">
      <c r="A777" t="str">
        <f>"10512020072711115429674"</f>
        <v>10512020072711115429674</v>
      </c>
      <c r="B777" t="s">
        <v>15</v>
      </c>
      <c r="C777" t="str">
        <f>"龚德洋"</f>
        <v>龚德洋</v>
      </c>
      <c r="D777" t="str">
        <f>"男"</f>
        <v>男</v>
      </c>
    </row>
    <row r="778" spans="1:4" ht="24" customHeight="1">
      <c r="A778" t="str">
        <f>"10512020072711124129675"</f>
        <v>10512020072711124129675</v>
      </c>
      <c r="B778" t="s">
        <v>13</v>
      </c>
      <c r="C778" t="str">
        <f>"田菁"</f>
        <v>田菁</v>
      </c>
      <c r="D778" t="str">
        <f>"女"</f>
        <v>女</v>
      </c>
    </row>
    <row r="779" spans="1:4" ht="24" customHeight="1">
      <c r="A779" t="str">
        <f>"10512020072711160029676"</f>
        <v>10512020072711160029676</v>
      </c>
      <c r="B779" t="s">
        <v>37</v>
      </c>
      <c r="C779" t="str">
        <f>"余遥格"</f>
        <v>余遥格</v>
      </c>
      <c r="D779" t="str">
        <f>"女"</f>
        <v>女</v>
      </c>
    </row>
    <row r="780" spans="1:4" ht="24" customHeight="1">
      <c r="A780" t="str">
        <f>"10512020072711160829677"</f>
        <v>10512020072711160829677</v>
      </c>
      <c r="B780" t="s">
        <v>24</v>
      </c>
      <c r="C780" t="str">
        <f>"鲁严龙"</f>
        <v>鲁严龙</v>
      </c>
      <c r="D780" t="str">
        <f>"男"</f>
        <v>男</v>
      </c>
    </row>
    <row r="781" spans="1:4" ht="24" customHeight="1">
      <c r="A781" t="str">
        <f>"10512020072711190729678"</f>
        <v>10512020072711190729678</v>
      </c>
      <c r="B781" t="s">
        <v>11</v>
      </c>
      <c r="C781" t="str">
        <f>"赵茜茜"</f>
        <v>赵茜茜</v>
      </c>
      <c r="D781" t="str">
        <f>"女"</f>
        <v>女</v>
      </c>
    </row>
    <row r="782" spans="1:4" ht="24" customHeight="1">
      <c r="A782" t="str">
        <f>"10512020072711212429679"</f>
        <v>10512020072711212429679</v>
      </c>
      <c r="B782" t="s">
        <v>7</v>
      </c>
      <c r="C782" t="str">
        <f>"马伟明"</f>
        <v>马伟明</v>
      </c>
      <c r="D782" t="str">
        <f>"男"</f>
        <v>男</v>
      </c>
    </row>
    <row r="783" spans="1:4" ht="24" customHeight="1">
      <c r="A783" t="str">
        <f>"10512020072711213729680"</f>
        <v>10512020072711213729680</v>
      </c>
      <c r="B783" t="s">
        <v>18</v>
      </c>
      <c r="C783" t="str">
        <f>"罗梓萱"</f>
        <v>罗梓萱</v>
      </c>
      <c r="D783" t="str">
        <f>"女"</f>
        <v>女</v>
      </c>
    </row>
    <row r="784" spans="1:4" ht="24" customHeight="1">
      <c r="A784" t="str">
        <f>"10512020072711230529681"</f>
        <v>10512020072711230529681</v>
      </c>
      <c r="B784" t="s">
        <v>8</v>
      </c>
      <c r="C784" t="str">
        <f>"刘斐霏"</f>
        <v>刘斐霏</v>
      </c>
      <c r="D784" t="str">
        <f>"女"</f>
        <v>女</v>
      </c>
    </row>
    <row r="785" spans="1:4" ht="24" customHeight="1">
      <c r="A785" t="str">
        <f>"10512020072711230529682"</f>
        <v>10512020072711230529682</v>
      </c>
      <c r="B785" t="s">
        <v>8</v>
      </c>
      <c r="C785" t="str">
        <f>"肖淇文"</f>
        <v>肖淇文</v>
      </c>
      <c r="D785" t="str">
        <f>"男"</f>
        <v>男</v>
      </c>
    </row>
    <row r="786" spans="1:4" ht="24" customHeight="1">
      <c r="A786" t="str">
        <f>"10512020072711231529683"</f>
        <v>10512020072711231529683</v>
      </c>
      <c r="B786" t="s">
        <v>32</v>
      </c>
      <c r="C786" t="str">
        <f>"黄楠"</f>
        <v>黄楠</v>
      </c>
      <c r="D786" t="str">
        <f t="shared" ref="D786:D795" si="14">"女"</f>
        <v>女</v>
      </c>
    </row>
    <row r="787" spans="1:4" ht="24" customHeight="1">
      <c r="A787" t="str">
        <f>"10512020072711231629684"</f>
        <v>10512020072711231629684</v>
      </c>
      <c r="B787" t="s">
        <v>20</v>
      </c>
      <c r="C787" t="str">
        <f>"杜桂材"</f>
        <v>杜桂材</v>
      </c>
      <c r="D787" t="str">
        <f t="shared" si="14"/>
        <v>女</v>
      </c>
    </row>
    <row r="788" spans="1:4" ht="24" customHeight="1">
      <c r="A788" t="str">
        <f>"10512020072711243929685"</f>
        <v>10512020072711243929685</v>
      </c>
      <c r="B788" t="s">
        <v>32</v>
      </c>
      <c r="C788" t="str">
        <f>"张国立"</f>
        <v>张国立</v>
      </c>
      <c r="D788" t="str">
        <f t="shared" si="14"/>
        <v>女</v>
      </c>
    </row>
    <row r="789" spans="1:4" ht="24" customHeight="1">
      <c r="A789" t="str">
        <f>"10512020072711245329686"</f>
        <v>10512020072711245329686</v>
      </c>
      <c r="B789" t="s">
        <v>26</v>
      </c>
      <c r="C789" t="str">
        <f>"刘莉莉"</f>
        <v>刘莉莉</v>
      </c>
      <c r="D789" t="str">
        <f t="shared" si="14"/>
        <v>女</v>
      </c>
    </row>
    <row r="790" spans="1:4" ht="24" customHeight="1">
      <c r="A790" t="str">
        <f>"10512020072711245529687"</f>
        <v>10512020072711245529687</v>
      </c>
      <c r="B790" t="s">
        <v>6</v>
      </c>
      <c r="C790" t="str">
        <f>"彭晓丹"</f>
        <v>彭晓丹</v>
      </c>
      <c r="D790" t="str">
        <f t="shared" si="14"/>
        <v>女</v>
      </c>
    </row>
    <row r="791" spans="1:4" ht="24" customHeight="1">
      <c r="A791" t="str">
        <f>"10512020072711252029688"</f>
        <v>10512020072711252029688</v>
      </c>
      <c r="B791" t="s">
        <v>18</v>
      </c>
      <c r="C791" t="str">
        <f>"韩晴"</f>
        <v>韩晴</v>
      </c>
      <c r="D791" t="str">
        <f t="shared" si="14"/>
        <v>女</v>
      </c>
    </row>
    <row r="792" spans="1:4" ht="24" customHeight="1">
      <c r="A792" t="str">
        <f>"10512020072711253729689"</f>
        <v>10512020072711253729689</v>
      </c>
      <c r="B792" t="s">
        <v>12</v>
      </c>
      <c r="C792" t="str">
        <f>"毛小妹"</f>
        <v>毛小妹</v>
      </c>
      <c r="D792" t="str">
        <f t="shared" si="14"/>
        <v>女</v>
      </c>
    </row>
    <row r="793" spans="1:4" ht="24" customHeight="1">
      <c r="A793" t="str">
        <f>"10512020072711264229690"</f>
        <v>10512020072711264229690</v>
      </c>
      <c r="B793" t="s">
        <v>6</v>
      </c>
      <c r="C793" t="str">
        <f>"曾丽华"</f>
        <v>曾丽华</v>
      </c>
      <c r="D793" t="str">
        <f t="shared" si="14"/>
        <v>女</v>
      </c>
    </row>
    <row r="794" spans="1:4" ht="24" customHeight="1">
      <c r="A794" t="str">
        <f>"10512020072711264629691"</f>
        <v>10512020072711264629691</v>
      </c>
      <c r="B794" t="s">
        <v>21</v>
      </c>
      <c r="C794" t="str">
        <f>"赵媛媛"</f>
        <v>赵媛媛</v>
      </c>
      <c r="D794" t="str">
        <f t="shared" si="14"/>
        <v>女</v>
      </c>
    </row>
    <row r="795" spans="1:4" ht="24" customHeight="1">
      <c r="A795" t="str">
        <f>"10512020072711271829692"</f>
        <v>10512020072711271829692</v>
      </c>
      <c r="B795" t="s">
        <v>9</v>
      </c>
      <c r="C795" t="str">
        <f>"官其超"</f>
        <v>官其超</v>
      </c>
      <c r="D795" t="str">
        <f t="shared" si="14"/>
        <v>女</v>
      </c>
    </row>
    <row r="796" spans="1:4" ht="24" customHeight="1">
      <c r="A796" t="str">
        <f>"10512020072711302629693"</f>
        <v>10512020072711302629693</v>
      </c>
      <c r="B796" t="s">
        <v>20</v>
      </c>
      <c r="C796" t="str">
        <f>"刘毅明"</f>
        <v>刘毅明</v>
      </c>
      <c r="D796" t="str">
        <f>"男"</f>
        <v>男</v>
      </c>
    </row>
    <row r="797" spans="1:4" ht="24" customHeight="1">
      <c r="A797" t="str">
        <f>"10512020072711323629694"</f>
        <v>10512020072711323629694</v>
      </c>
      <c r="B797" t="s">
        <v>11</v>
      </c>
      <c r="C797" t="str">
        <f>"马新军"</f>
        <v>马新军</v>
      </c>
      <c r="D797" t="str">
        <f>"男"</f>
        <v>男</v>
      </c>
    </row>
    <row r="798" spans="1:4" ht="24" customHeight="1">
      <c r="A798" t="str">
        <f>"10512020072711334729696"</f>
        <v>10512020072711334729696</v>
      </c>
      <c r="B798" t="s">
        <v>13</v>
      </c>
      <c r="C798" t="str">
        <f>"颜颂嘉"</f>
        <v>颜颂嘉</v>
      </c>
      <c r="D798" t="str">
        <f>"女"</f>
        <v>女</v>
      </c>
    </row>
    <row r="799" spans="1:4" ht="24" customHeight="1">
      <c r="A799" t="str">
        <f>"10512020072711341929697"</f>
        <v>10512020072711341929697</v>
      </c>
      <c r="B799" t="s">
        <v>21</v>
      </c>
      <c r="C799" t="str">
        <f>"李俊宏"</f>
        <v>李俊宏</v>
      </c>
      <c r="D799" t="str">
        <f>"男"</f>
        <v>男</v>
      </c>
    </row>
    <row r="800" spans="1:4" ht="24" customHeight="1">
      <c r="A800" t="str">
        <f>"10512020072711351829698"</f>
        <v>10512020072711351829698</v>
      </c>
      <c r="B800" t="s">
        <v>10</v>
      </c>
      <c r="C800" t="str">
        <f>"张方恒"</f>
        <v>张方恒</v>
      </c>
      <c r="D800" t="str">
        <f>"女"</f>
        <v>女</v>
      </c>
    </row>
    <row r="801" spans="1:4" ht="24" customHeight="1">
      <c r="A801" t="str">
        <f>"10512020072711403829699"</f>
        <v>10512020072711403829699</v>
      </c>
      <c r="B801" t="s">
        <v>32</v>
      </c>
      <c r="C801" t="str">
        <f>"李元金"</f>
        <v>李元金</v>
      </c>
      <c r="D801" t="str">
        <f>"男"</f>
        <v>男</v>
      </c>
    </row>
    <row r="802" spans="1:4" ht="24" customHeight="1">
      <c r="A802" t="str">
        <f>"10512020072711413229700"</f>
        <v>10512020072711413229700</v>
      </c>
      <c r="B802" t="s">
        <v>4</v>
      </c>
      <c r="C802" t="str">
        <f>"李敏"</f>
        <v>李敏</v>
      </c>
      <c r="D802" t="str">
        <f t="shared" ref="D802:D808" si="15">"女"</f>
        <v>女</v>
      </c>
    </row>
    <row r="803" spans="1:4" ht="24" customHeight="1">
      <c r="A803" t="str">
        <f>"10512020072711420629701"</f>
        <v>10512020072711420629701</v>
      </c>
      <c r="B803" t="s">
        <v>37</v>
      </c>
      <c r="C803" t="str">
        <f>"晏山清"</f>
        <v>晏山清</v>
      </c>
      <c r="D803" t="str">
        <f t="shared" si="15"/>
        <v>女</v>
      </c>
    </row>
    <row r="804" spans="1:4" ht="24" customHeight="1">
      <c r="A804" t="str">
        <f>"10512020072711421129702"</f>
        <v>10512020072711421129702</v>
      </c>
      <c r="B804" t="s">
        <v>17</v>
      </c>
      <c r="C804" t="str">
        <f>"唐明月"</f>
        <v>唐明月</v>
      </c>
      <c r="D804" t="str">
        <f t="shared" si="15"/>
        <v>女</v>
      </c>
    </row>
    <row r="805" spans="1:4" ht="24" customHeight="1">
      <c r="A805" t="str">
        <f>"10512020072711422529703"</f>
        <v>10512020072711422529703</v>
      </c>
      <c r="B805" t="s">
        <v>16</v>
      </c>
      <c r="C805" t="str">
        <f>"张莉伟"</f>
        <v>张莉伟</v>
      </c>
      <c r="D805" t="str">
        <f t="shared" si="15"/>
        <v>女</v>
      </c>
    </row>
    <row r="806" spans="1:4" ht="24" customHeight="1">
      <c r="A806" t="str">
        <f>"10512020072711432429704"</f>
        <v>10512020072711432429704</v>
      </c>
      <c r="B806" t="s">
        <v>23</v>
      </c>
      <c r="C806" t="str">
        <f>"梁靖"</f>
        <v>梁靖</v>
      </c>
      <c r="D806" t="str">
        <f t="shared" si="15"/>
        <v>女</v>
      </c>
    </row>
    <row r="807" spans="1:4" ht="24" customHeight="1">
      <c r="A807" t="str">
        <f>"10512020072711440229705"</f>
        <v>10512020072711440229705</v>
      </c>
      <c r="B807" t="s">
        <v>21</v>
      </c>
      <c r="C807" t="str">
        <f>"周湘婷"</f>
        <v>周湘婷</v>
      </c>
      <c r="D807" t="str">
        <f t="shared" si="15"/>
        <v>女</v>
      </c>
    </row>
    <row r="808" spans="1:4" ht="24" customHeight="1">
      <c r="A808" t="str">
        <f>"10512020072711464729706"</f>
        <v>10512020072711464729706</v>
      </c>
      <c r="B808" t="s">
        <v>20</v>
      </c>
      <c r="C808" t="str">
        <f>"郑雯菁"</f>
        <v>郑雯菁</v>
      </c>
      <c r="D808" t="str">
        <f t="shared" si="15"/>
        <v>女</v>
      </c>
    </row>
    <row r="809" spans="1:4" ht="24" customHeight="1">
      <c r="A809" t="str">
        <f>"10512020072711474629707"</f>
        <v>10512020072711474629707</v>
      </c>
      <c r="B809" t="s">
        <v>13</v>
      </c>
      <c r="C809" t="str">
        <f>"张维国"</f>
        <v>张维国</v>
      </c>
      <c r="D809" t="str">
        <f>"男"</f>
        <v>男</v>
      </c>
    </row>
    <row r="810" spans="1:4" ht="24" customHeight="1">
      <c r="A810" t="str">
        <f>"10512020072711503429708"</f>
        <v>10512020072711503429708</v>
      </c>
      <c r="B810" t="s">
        <v>13</v>
      </c>
      <c r="C810" t="str">
        <f>"鲁志霖"</f>
        <v>鲁志霖</v>
      </c>
      <c r="D810" t="str">
        <f>"女"</f>
        <v>女</v>
      </c>
    </row>
    <row r="811" spans="1:4" ht="24" customHeight="1">
      <c r="A811" t="str">
        <f>"10512020072711505129709"</f>
        <v>10512020072711505129709</v>
      </c>
      <c r="B811" t="s">
        <v>27</v>
      </c>
      <c r="C811" t="str">
        <f>"刘泽栋"</f>
        <v>刘泽栋</v>
      </c>
      <c r="D811" t="str">
        <f>"男"</f>
        <v>男</v>
      </c>
    </row>
    <row r="812" spans="1:4" ht="24" customHeight="1">
      <c r="A812" t="str">
        <f>"10512020072711523429710"</f>
        <v>10512020072711523429710</v>
      </c>
      <c r="B812" t="s">
        <v>12</v>
      </c>
      <c r="C812" t="str">
        <f>"刘艳飞"</f>
        <v>刘艳飞</v>
      </c>
      <c r="D812" t="str">
        <f>"女"</f>
        <v>女</v>
      </c>
    </row>
    <row r="813" spans="1:4" ht="24" customHeight="1">
      <c r="A813" t="str">
        <f>"10512020072711530929711"</f>
        <v>10512020072711530929711</v>
      </c>
      <c r="B813" t="s">
        <v>11</v>
      </c>
      <c r="C813" t="str">
        <f>"徐金辉"</f>
        <v>徐金辉</v>
      </c>
      <c r="D813" t="str">
        <f>"女"</f>
        <v>女</v>
      </c>
    </row>
    <row r="814" spans="1:4" ht="24" customHeight="1">
      <c r="A814" t="str">
        <f>"10512020072711544729712"</f>
        <v>10512020072711544729712</v>
      </c>
      <c r="B814" t="s">
        <v>14</v>
      </c>
      <c r="C814" t="str">
        <f>"贺子欯"</f>
        <v>贺子欯</v>
      </c>
      <c r="D814" t="str">
        <f>"女"</f>
        <v>女</v>
      </c>
    </row>
    <row r="815" spans="1:4" ht="24" customHeight="1">
      <c r="A815" t="str">
        <f>"10512020072711552829713"</f>
        <v>10512020072711552829713</v>
      </c>
      <c r="B815" t="s">
        <v>48</v>
      </c>
      <c r="C815" t="str">
        <f>"李伦"</f>
        <v>李伦</v>
      </c>
      <c r="D815" t="str">
        <f>"男"</f>
        <v>男</v>
      </c>
    </row>
    <row r="816" spans="1:4" ht="24" customHeight="1">
      <c r="A816" t="str">
        <f>"10512020072711564029714"</f>
        <v>10512020072711564029714</v>
      </c>
      <c r="B816" t="s">
        <v>6</v>
      </c>
      <c r="C816" t="str">
        <f>"吴远洋"</f>
        <v>吴远洋</v>
      </c>
      <c r="D816" t="str">
        <f>"男"</f>
        <v>男</v>
      </c>
    </row>
    <row r="817" spans="1:4" ht="24" customHeight="1">
      <c r="A817" t="str">
        <f>"10512020072711574429715"</f>
        <v>10512020072711574429715</v>
      </c>
      <c r="B817" t="s">
        <v>30</v>
      </c>
      <c r="C817" t="str">
        <f>"彭燕"</f>
        <v>彭燕</v>
      </c>
      <c r="D817" t="str">
        <f t="shared" ref="D817:D824" si="16">"女"</f>
        <v>女</v>
      </c>
    </row>
    <row r="818" spans="1:4" ht="24" customHeight="1">
      <c r="A818" t="str">
        <f>"10512020072711581729716"</f>
        <v>10512020072711581729716</v>
      </c>
      <c r="B818" t="s">
        <v>31</v>
      </c>
      <c r="C818" t="str">
        <f>"常岚"</f>
        <v>常岚</v>
      </c>
      <c r="D818" t="str">
        <f t="shared" si="16"/>
        <v>女</v>
      </c>
    </row>
    <row r="819" spans="1:4" ht="24" customHeight="1">
      <c r="A819" t="str">
        <f>"10512020072711585929717"</f>
        <v>10512020072711585929717</v>
      </c>
      <c r="B819" t="s">
        <v>27</v>
      </c>
      <c r="C819" t="str">
        <f>"向欣"</f>
        <v>向欣</v>
      </c>
      <c r="D819" t="str">
        <f t="shared" si="16"/>
        <v>女</v>
      </c>
    </row>
    <row r="820" spans="1:4" ht="24" customHeight="1">
      <c r="A820" t="str">
        <f>"10512020072711592129718"</f>
        <v>10512020072711592129718</v>
      </c>
      <c r="B820" t="s">
        <v>9</v>
      </c>
      <c r="C820" t="str">
        <f>"谢春燕"</f>
        <v>谢春燕</v>
      </c>
      <c r="D820" t="str">
        <f t="shared" si="16"/>
        <v>女</v>
      </c>
    </row>
    <row r="821" spans="1:4" ht="24" customHeight="1">
      <c r="A821" t="str">
        <f>"10512020072712001829719"</f>
        <v>10512020072712001829719</v>
      </c>
      <c r="B821" t="s">
        <v>20</v>
      </c>
      <c r="C821" t="str">
        <f>"曾文斌"</f>
        <v>曾文斌</v>
      </c>
      <c r="D821" t="str">
        <f t="shared" si="16"/>
        <v>女</v>
      </c>
    </row>
    <row r="822" spans="1:4" ht="24" customHeight="1">
      <c r="A822" t="str">
        <f>"10512020072712030329720"</f>
        <v>10512020072712030329720</v>
      </c>
      <c r="B822" t="s">
        <v>21</v>
      </c>
      <c r="C822" t="str">
        <f>"邱希燕"</f>
        <v>邱希燕</v>
      </c>
      <c r="D822" t="str">
        <f t="shared" si="16"/>
        <v>女</v>
      </c>
    </row>
    <row r="823" spans="1:4" ht="24" customHeight="1">
      <c r="A823" t="str">
        <f>"10512020072712035129721"</f>
        <v>10512020072712035129721</v>
      </c>
      <c r="B823" t="s">
        <v>7</v>
      </c>
      <c r="C823" t="str">
        <f>"廖莹"</f>
        <v>廖莹</v>
      </c>
      <c r="D823" t="str">
        <f t="shared" si="16"/>
        <v>女</v>
      </c>
    </row>
    <row r="824" spans="1:4" ht="24" customHeight="1">
      <c r="A824" t="str">
        <f>"10512020072712135529722"</f>
        <v>10512020072712135529722</v>
      </c>
      <c r="B824" t="s">
        <v>32</v>
      </c>
      <c r="C824" t="str">
        <f>"唐豆豆"</f>
        <v>唐豆豆</v>
      </c>
      <c r="D824" t="str">
        <f t="shared" si="16"/>
        <v>女</v>
      </c>
    </row>
    <row r="825" spans="1:4" ht="24" customHeight="1">
      <c r="A825" t="str">
        <f>"10512020072712164929723"</f>
        <v>10512020072712164929723</v>
      </c>
      <c r="B825" t="s">
        <v>20</v>
      </c>
      <c r="C825" t="str">
        <f>"张韬略"</f>
        <v>张韬略</v>
      </c>
      <c r="D825" t="str">
        <f>"男"</f>
        <v>男</v>
      </c>
    </row>
    <row r="826" spans="1:4" ht="24" customHeight="1">
      <c r="A826" t="str">
        <f>"10512020072712184729724"</f>
        <v>10512020072712184729724</v>
      </c>
      <c r="B826" t="s">
        <v>10</v>
      </c>
      <c r="C826" t="str">
        <f>"覃浩斌"</f>
        <v>覃浩斌</v>
      </c>
      <c r="D826" t="str">
        <f>"男"</f>
        <v>男</v>
      </c>
    </row>
    <row r="827" spans="1:4" ht="24" customHeight="1">
      <c r="A827" t="str">
        <f>"10512020072712200029725"</f>
        <v>10512020072712200029725</v>
      </c>
      <c r="B827" t="s">
        <v>21</v>
      </c>
      <c r="C827" t="str">
        <f>"姚孙丽"</f>
        <v>姚孙丽</v>
      </c>
      <c r="D827" t="str">
        <f>"女"</f>
        <v>女</v>
      </c>
    </row>
    <row r="828" spans="1:4" ht="24" customHeight="1">
      <c r="A828" t="str">
        <f>"10512020072712201429726"</f>
        <v>10512020072712201429726</v>
      </c>
      <c r="B828" t="s">
        <v>23</v>
      </c>
      <c r="C828" t="str">
        <f>"覃基聚"</f>
        <v>覃基聚</v>
      </c>
      <c r="D828" t="str">
        <f>"男"</f>
        <v>男</v>
      </c>
    </row>
    <row r="829" spans="1:4" ht="24" customHeight="1">
      <c r="A829" t="str">
        <f>"10512020072712204729727"</f>
        <v>10512020072712204729727</v>
      </c>
      <c r="B829" t="s">
        <v>11</v>
      </c>
      <c r="C829" t="str">
        <f>"吴桂安"</f>
        <v>吴桂安</v>
      </c>
      <c r="D829" t="str">
        <f>"男"</f>
        <v>男</v>
      </c>
    </row>
    <row r="830" spans="1:4" ht="24" customHeight="1">
      <c r="A830" t="str">
        <f>"10512020072712231929728"</f>
        <v>10512020072712231929728</v>
      </c>
      <c r="B830" t="s">
        <v>26</v>
      </c>
      <c r="C830" t="str">
        <f>"曾波"</f>
        <v>曾波</v>
      </c>
      <c r="D830" t="str">
        <f>"男"</f>
        <v>男</v>
      </c>
    </row>
    <row r="831" spans="1:4" ht="24" customHeight="1">
      <c r="A831" t="str">
        <f>"10512020072712242329729"</f>
        <v>10512020072712242329729</v>
      </c>
      <c r="B831" t="s">
        <v>31</v>
      </c>
      <c r="C831" t="str">
        <f>"郑飞"</f>
        <v>郑飞</v>
      </c>
      <c r="D831" t="str">
        <f>"男"</f>
        <v>男</v>
      </c>
    </row>
    <row r="832" spans="1:4" ht="24" customHeight="1">
      <c r="A832" t="str">
        <f>"10512020072712263129730"</f>
        <v>10512020072712263129730</v>
      </c>
      <c r="B832" t="s">
        <v>11</v>
      </c>
      <c r="C832" t="str">
        <f>"钱乐"</f>
        <v>钱乐</v>
      </c>
      <c r="D832" t="str">
        <f>"男"</f>
        <v>男</v>
      </c>
    </row>
    <row r="833" spans="1:4" ht="24" customHeight="1">
      <c r="A833" t="str">
        <f>"10512020072712273729731"</f>
        <v>10512020072712273729731</v>
      </c>
      <c r="B833" t="s">
        <v>32</v>
      </c>
      <c r="C833" t="str">
        <f>"杨洁"</f>
        <v>杨洁</v>
      </c>
      <c r="D833" t="str">
        <f>"女"</f>
        <v>女</v>
      </c>
    </row>
    <row r="834" spans="1:4" ht="24" customHeight="1">
      <c r="A834" t="str">
        <f>"10512020072712275129732"</f>
        <v>10512020072712275129732</v>
      </c>
      <c r="B834" t="s">
        <v>26</v>
      </c>
      <c r="C834" t="str">
        <f>"尹慧"</f>
        <v>尹慧</v>
      </c>
      <c r="D834" t="str">
        <f>"女"</f>
        <v>女</v>
      </c>
    </row>
    <row r="835" spans="1:4" ht="24" customHeight="1">
      <c r="A835" t="str">
        <f>"10512020072712301429733"</f>
        <v>10512020072712301429733</v>
      </c>
      <c r="B835" t="s">
        <v>6</v>
      </c>
      <c r="C835" t="str">
        <f>"胡莉"</f>
        <v>胡莉</v>
      </c>
      <c r="D835" t="str">
        <f>"女"</f>
        <v>女</v>
      </c>
    </row>
    <row r="836" spans="1:4" ht="24" customHeight="1">
      <c r="A836" t="str">
        <f>"10512020072712423029735"</f>
        <v>10512020072712423029735</v>
      </c>
      <c r="B836" t="s">
        <v>10</v>
      </c>
      <c r="C836" t="str">
        <f>"郭秦汝"</f>
        <v>郭秦汝</v>
      </c>
      <c r="D836" t="str">
        <f>"女"</f>
        <v>女</v>
      </c>
    </row>
    <row r="837" spans="1:4" ht="24" customHeight="1">
      <c r="A837" t="str">
        <f>"10512020072712444229736"</f>
        <v>10512020072712444229736</v>
      </c>
      <c r="B837" t="s">
        <v>48</v>
      </c>
      <c r="C837" t="str">
        <f>"罗皎"</f>
        <v>罗皎</v>
      </c>
      <c r="D837" t="str">
        <f>"男"</f>
        <v>男</v>
      </c>
    </row>
    <row r="838" spans="1:4" ht="24" customHeight="1">
      <c r="A838" t="str">
        <f>"10512020072712532729737"</f>
        <v>10512020072712532729737</v>
      </c>
      <c r="B838" t="s">
        <v>6</v>
      </c>
      <c r="C838" t="str">
        <f>"邓远发"</f>
        <v>邓远发</v>
      </c>
      <c r="D838" t="str">
        <f>"男"</f>
        <v>男</v>
      </c>
    </row>
    <row r="839" spans="1:4" ht="24" customHeight="1">
      <c r="A839" t="str">
        <f>"10512020072712543229738"</f>
        <v>10512020072712543229738</v>
      </c>
      <c r="B839" t="s">
        <v>21</v>
      </c>
      <c r="C839" t="str">
        <f>"张彬"</f>
        <v>张彬</v>
      </c>
      <c r="D839" t="str">
        <f>"女"</f>
        <v>女</v>
      </c>
    </row>
    <row r="840" spans="1:4" ht="24" customHeight="1">
      <c r="A840" t="str">
        <f>"10512020072712573729739"</f>
        <v>10512020072712573729739</v>
      </c>
      <c r="B840" t="s">
        <v>24</v>
      </c>
      <c r="C840" t="str">
        <f>"刘松"</f>
        <v>刘松</v>
      </c>
      <c r="D840" t="str">
        <f>"男"</f>
        <v>男</v>
      </c>
    </row>
    <row r="841" spans="1:4" ht="24" customHeight="1">
      <c r="A841" t="str">
        <f>"10512020072712591929740"</f>
        <v>10512020072712591929740</v>
      </c>
      <c r="B841" t="s">
        <v>38</v>
      </c>
      <c r="C841" t="str">
        <f>"刘琪"</f>
        <v>刘琪</v>
      </c>
      <c r="D841" t="str">
        <f>"女"</f>
        <v>女</v>
      </c>
    </row>
    <row r="842" spans="1:4" ht="24" customHeight="1">
      <c r="A842" t="str">
        <f>"10512020072713004129741"</f>
        <v>10512020072713004129741</v>
      </c>
      <c r="B842" t="s">
        <v>25</v>
      </c>
      <c r="C842" t="str">
        <f>"陈霞"</f>
        <v>陈霞</v>
      </c>
      <c r="D842" t="str">
        <f>"女"</f>
        <v>女</v>
      </c>
    </row>
    <row r="843" spans="1:4" ht="24" customHeight="1">
      <c r="A843" t="str">
        <f>"10512020072713071829742"</f>
        <v>10512020072713071829742</v>
      </c>
      <c r="B843" t="s">
        <v>21</v>
      </c>
      <c r="C843" t="str">
        <f>"刘海波"</f>
        <v>刘海波</v>
      </c>
      <c r="D843" t="str">
        <f>"男"</f>
        <v>男</v>
      </c>
    </row>
    <row r="844" spans="1:4" ht="24" customHeight="1">
      <c r="A844" t="str">
        <f>"10512020072713074029743"</f>
        <v>10512020072713074029743</v>
      </c>
      <c r="B844" t="s">
        <v>33</v>
      </c>
      <c r="C844" t="str">
        <f>"陈鸿莲"</f>
        <v>陈鸿莲</v>
      </c>
      <c r="D844" t="str">
        <f>"女"</f>
        <v>女</v>
      </c>
    </row>
    <row r="845" spans="1:4" ht="24" customHeight="1">
      <c r="A845" t="str">
        <f>"10512020072713074429744"</f>
        <v>10512020072713074429744</v>
      </c>
      <c r="B845" t="s">
        <v>39</v>
      </c>
      <c r="C845" t="str">
        <f>"陈锐"</f>
        <v>陈锐</v>
      </c>
      <c r="D845" t="str">
        <f>"男"</f>
        <v>男</v>
      </c>
    </row>
    <row r="846" spans="1:4" ht="24" customHeight="1">
      <c r="A846" t="str">
        <f>"10512020072713092829745"</f>
        <v>10512020072713092829745</v>
      </c>
      <c r="B846" t="s">
        <v>8</v>
      </c>
      <c r="C846" t="str">
        <f>"唐建刚"</f>
        <v>唐建刚</v>
      </c>
      <c r="D846" t="str">
        <f>"男"</f>
        <v>男</v>
      </c>
    </row>
    <row r="847" spans="1:4" ht="24" customHeight="1">
      <c r="A847" t="str">
        <f>"10512020072713113329746"</f>
        <v>10512020072713113329746</v>
      </c>
      <c r="B847" t="s">
        <v>40</v>
      </c>
      <c r="C847" t="str">
        <f>"覃明芬"</f>
        <v>覃明芬</v>
      </c>
      <c r="D847" t="str">
        <f>"女"</f>
        <v>女</v>
      </c>
    </row>
    <row r="848" spans="1:4" ht="24" customHeight="1">
      <c r="A848" t="str">
        <f>"10512020072713122329747"</f>
        <v>10512020072713122329747</v>
      </c>
      <c r="B848" t="s">
        <v>26</v>
      </c>
      <c r="C848" t="str">
        <f>"姜春霞"</f>
        <v>姜春霞</v>
      </c>
      <c r="D848" t="str">
        <f>"女"</f>
        <v>女</v>
      </c>
    </row>
    <row r="849" spans="1:4" ht="24" customHeight="1">
      <c r="A849" t="str">
        <f>"10512020072713143529748"</f>
        <v>10512020072713143529748</v>
      </c>
      <c r="B849" t="s">
        <v>24</v>
      </c>
      <c r="C849" t="str">
        <f>"徐曾"</f>
        <v>徐曾</v>
      </c>
      <c r="D849" t="str">
        <f>"男"</f>
        <v>男</v>
      </c>
    </row>
    <row r="850" spans="1:4" ht="24" customHeight="1">
      <c r="A850" t="str">
        <f>"10512020072713151929749"</f>
        <v>10512020072713151929749</v>
      </c>
      <c r="B850" t="s">
        <v>16</v>
      </c>
      <c r="C850" t="str">
        <f>"史程"</f>
        <v>史程</v>
      </c>
      <c r="D850" t="str">
        <f>"男"</f>
        <v>男</v>
      </c>
    </row>
    <row r="851" spans="1:4" ht="24" customHeight="1">
      <c r="A851" t="str">
        <f>"10512020072713193329750"</f>
        <v>10512020072713193329750</v>
      </c>
      <c r="B851" t="s">
        <v>13</v>
      </c>
      <c r="C851" t="str">
        <f>"张圣鑫"</f>
        <v>张圣鑫</v>
      </c>
      <c r="D851" t="str">
        <f>"女"</f>
        <v>女</v>
      </c>
    </row>
    <row r="852" spans="1:4" ht="24" customHeight="1">
      <c r="A852" t="str">
        <f>"10512020072713221029751"</f>
        <v>10512020072713221029751</v>
      </c>
      <c r="B852" t="s">
        <v>13</v>
      </c>
      <c r="C852" t="str">
        <f>"杨欢"</f>
        <v>杨欢</v>
      </c>
      <c r="D852" t="str">
        <f>"女"</f>
        <v>女</v>
      </c>
    </row>
    <row r="853" spans="1:4" ht="24" customHeight="1">
      <c r="A853" t="str">
        <f>"10512020072713251029752"</f>
        <v>10512020072713251029752</v>
      </c>
      <c r="B853" t="s">
        <v>27</v>
      </c>
      <c r="C853" t="str">
        <f>"莫明明"</f>
        <v>莫明明</v>
      </c>
      <c r="D853" t="str">
        <f>"男"</f>
        <v>男</v>
      </c>
    </row>
    <row r="854" spans="1:4" ht="24" customHeight="1">
      <c r="A854" t="str">
        <f>"10512020072713270829753"</f>
        <v>10512020072713270829753</v>
      </c>
      <c r="B854" t="s">
        <v>30</v>
      </c>
      <c r="C854" t="str">
        <f>"李远"</f>
        <v>李远</v>
      </c>
      <c r="D854" t="str">
        <f>"男"</f>
        <v>男</v>
      </c>
    </row>
    <row r="855" spans="1:4" ht="24" customHeight="1">
      <c r="A855" t="str">
        <f>"10512020072713363329754"</f>
        <v>10512020072713363329754</v>
      </c>
      <c r="B855" t="s">
        <v>14</v>
      </c>
      <c r="C855" t="str">
        <f>"彭纯"</f>
        <v>彭纯</v>
      </c>
      <c r="D855" t="str">
        <f>"女"</f>
        <v>女</v>
      </c>
    </row>
    <row r="856" spans="1:4" ht="24" customHeight="1">
      <c r="A856" t="str">
        <f>"10512020072713374929755"</f>
        <v>10512020072713374929755</v>
      </c>
      <c r="B856" t="s">
        <v>21</v>
      </c>
      <c r="C856" t="str">
        <f>"黄梦颖"</f>
        <v>黄梦颖</v>
      </c>
      <c r="D856" t="str">
        <f>"女"</f>
        <v>女</v>
      </c>
    </row>
    <row r="857" spans="1:4" ht="24" customHeight="1">
      <c r="A857" t="str">
        <f>"10512020072713392029756"</f>
        <v>10512020072713392029756</v>
      </c>
      <c r="B857" t="s">
        <v>14</v>
      </c>
      <c r="C857" t="str">
        <f>"周静敏"</f>
        <v>周静敏</v>
      </c>
      <c r="D857" t="str">
        <f>"女"</f>
        <v>女</v>
      </c>
    </row>
    <row r="858" spans="1:4" ht="24" customHeight="1">
      <c r="A858" t="str">
        <f>"10512020072713400729757"</f>
        <v>10512020072713400729757</v>
      </c>
      <c r="B858" t="s">
        <v>13</v>
      </c>
      <c r="C858" t="str">
        <f>"刘展华"</f>
        <v>刘展华</v>
      </c>
      <c r="D858" t="str">
        <f>"女"</f>
        <v>女</v>
      </c>
    </row>
    <row r="859" spans="1:4" ht="24" customHeight="1">
      <c r="A859" t="str">
        <f>"10512020072713413729758"</f>
        <v>10512020072713413729758</v>
      </c>
      <c r="B859" t="s">
        <v>33</v>
      </c>
      <c r="C859" t="str">
        <f>"彭顺波"</f>
        <v>彭顺波</v>
      </c>
      <c r="D859" t="str">
        <f>"男"</f>
        <v>男</v>
      </c>
    </row>
    <row r="860" spans="1:4" ht="24" customHeight="1">
      <c r="A860" t="str">
        <f>"10512020072713420729759"</f>
        <v>10512020072713420729759</v>
      </c>
      <c r="B860" t="s">
        <v>34</v>
      </c>
      <c r="C860" t="str">
        <f>"向翊桦"</f>
        <v>向翊桦</v>
      </c>
      <c r="D860" t="str">
        <f>"男"</f>
        <v>男</v>
      </c>
    </row>
    <row r="861" spans="1:4" ht="24" customHeight="1">
      <c r="A861" t="str">
        <f>"10512020072713465129760"</f>
        <v>10512020072713465129760</v>
      </c>
      <c r="B861" t="s">
        <v>26</v>
      </c>
      <c r="C861" t="str">
        <f>"严华"</f>
        <v>严华</v>
      </c>
      <c r="D861" t="str">
        <f t="shared" ref="D861:D866" si="17">"女"</f>
        <v>女</v>
      </c>
    </row>
    <row r="862" spans="1:4" ht="24" customHeight="1">
      <c r="A862" t="str">
        <f>"10512020072713483329761"</f>
        <v>10512020072713483329761</v>
      </c>
      <c r="B862" t="s">
        <v>28</v>
      </c>
      <c r="C862" t="str">
        <f>"罗兰"</f>
        <v>罗兰</v>
      </c>
      <c r="D862" t="str">
        <f t="shared" si="17"/>
        <v>女</v>
      </c>
    </row>
    <row r="863" spans="1:4" ht="24" customHeight="1">
      <c r="A863" t="str">
        <f>"10512020072713484429762"</f>
        <v>10512020072713484429762</v>
      </c>
      <c r="B863" t="s">
        <v>23</v>
      </c>
      <c r="C863" t="str">
        <f>"莫春香"</f>
        <v>莫春香</v>
      </c>
      <c r="D863" t="str">
        <f t="shared" si="17"/>
        <v>女</v>
      </c>
    </row>
    <row r="864" spans="1:4" ht="24" customHeight="1">
      <c r="A864" t="str">
        <f>"10512020072713485529763"</f>
        <v>10512020072713485529763</v>
      </c>
      <c r="B864" t="s">
        <v>42</v>
      </c>
      <c r="C864" t="str">
        <f>"姜正燕"</f>
        <v>姜正燕</v>
      </c>
      <c r="D864" t="str">
        <f t="shared" si="17"/>
        <v>女</v>
      </c>
    </row>
    <row r="865" spans="1:4" ht="24" customHeight="1">
      <c r="A865" t="str">
        <f>"10512020072713492329764"</f>
        <v>10512020072713492329764</v>
      </c>
      <c r="B865" t="s">
        <v>16</v>
      </c>
      <c r="C865" t="str">
        <f>"胡琪瑶"</f>
        <v>胡琪瑶</v>
      </c>
      <c r="D865" t="str">
        <f t="shared" si="17"/>
        <v>女</v>
      </c>
    </row>
    <row r="866" spans="1:4" ht="24" customHeight="1">
      <c r="A866" t="str">
        <f>"10512020072713510329765"</f>
        <v>10512020072713510329765</v>
      </c>
      <c r="B866" t="s">
        <v>11</v>
      </c>
      <c r="C866" t="str">
        <f>"韦雨"</f>
        <v>韦雨</v>
      </c>
      <c r="D866" t="str">
        <f t="shared" si="17"/>
        <v>女</v>
      </c>
    </row>
    <row r="867" spans="1:4" ht="24" customHeight="1">
      <c r="A867" t="str">
        <f>"10512020072713511329766"</f>
        <v>10512020072713511329766</v>
      </c>
      <c r="B867" t="s">
        <v>11</v>
      </c>
      <c r="C867" t="str">
        <f>"王汉金"</f>
        <v>王汉金</v>
      </c>
      <c r="D867" t="str">
        <f>"男"</f>
        <v>男</v>
      </c>
    </row>
    <row r="868" spans="1:4" ht="24" customHeight="1">
      <c r="A868" t="str">
        <f>"10512020072714012429767"</f>
        <v>10512020072714012429767</v>
      </c>
      <c r="B868" t="s">
        <v>13</v>
      </c>
      <c r="C868" t="str">
        <f>"马蕾"</f>
        <v>马蕾</v>
      </c>
      <c r="D868" t="str">
        <f>"女"</f>
        <v>女</v>
      </c>
    </row>
    <row r="869" spans="1:4" ht="24" customHeight="1">
      <c r="A869" t="str">
        <f>"10512020072714015929768"</f>
        <v>10512020072714015929768</v>
      </c>
      <c r="B869" t="s">
        <v>9</v>
      </c>
      <c r="C869" t="str">
        <f>"罗小蓉"</f>
        <v>罗小蓉</v>
      </c>
      <c r="D869" t="str">
        <f>"女"</f>
        <v>女</v>
      </c>
    </row>
    <row r="870" spans="1:4" ht="24" customHeight="1">
      <c r="A870" t="str">
        <f>"10512020072714020629769"</f>
        <v>10512020072714020629769</v>
      </c>
      <c r="B870" t="s">
        <v>18</v>
      </c>
      <c r="C870" t="str">
        <f>"江大伟"</f>
        <v>江大伟</v>
      </c>
      <c r="D870" t="str">
        <f>"男"</f>
        <v>男</v>
      </c>
    </row>
    <row r="871" spans="1:4" ht="24" customHeight="1">
      <c r="A871" t="str">
        <f>"10512020072714034429770"</f>
        <v>10512020072714034429770</v>
      </c>
      <c r="B871" t="s">
        <v>21</v>
      </c>
      <c r="C871" t="str">
        <f>"戴林子"</f>
        <v>戴林子</v>
      </c>
      <c r="D871" t="str">
        <f>"女"</f>
        <v>女</v>
      </c>
    </row>
    <row r="872" spans="1:4" ht="24" customHeight="1">
      <c r="A872" t="str">
        <f>"10512020072714045929771"</f>
        <v>10512020072714045929771</v>
      </c>
      <c r="B872" t="s">
        <v>20</v>
      </c>
      <c r="C872" t="str">
        <f>"何芸"</f>
        <v>何芸</v>
      </c>
      <c r="D872" t="str">
        <f>"女"</f>
        <v>女</v>
      </c>
    </row>
    <row r="873" spans="1:4" ht="24" customHeight="1">
      <c r="A873" t="str">
        <f>"10512020072714071029772"</f>
        <v>10512020072714071029772</v>
      </c>
      <c r="B873" t="s">
        <v>23</v>
      </c>
      <c r="C873" t="str">
        <f>"赵艳"</f>
        <v>赵艳</v>
      </c>
      <c r="D873" t="str">
        <f>"女"</f>
        <v>女</v>
      </c>
    </row>
    <row r="874" spans="1:4" ht="24" customHeight="1">
      <c r="A874" t="str">
        <f>"10512020072714083129773"</f>
        <v>10512020072714083129773</v>
      </c>
      <c r="B874" t="s">
        <v>5</v>
      </c>
      <c r="C874" t="str">
        <f>"宋善淋"</f>
        <v>宋善淋</v>
      </c>
      <c r="D874" t="str">
        <f>"男"</f>
        <v>男</v>
      </c>
    </row>
    <row r="875" spans="1:4" ht="24" customHeight="1">
      <c r="A875" t="str">
        <f>"10512020072714105429774"</f>
        <v>10512020072714105429774</v>
      </c>
      <c r="B875" t="s">
        <v>43</v>
      </c>
      <c r="C875" t="str">
        <f>"梁爽"</f>
        <v>梁爽</v>
      </c>
      <c r="D875" t="str">
        <f>"女"</f>
        <v>女</v>
      </c>
    </row>
    <row r="876" spans="1:4" ht="24" customHeight="1">
      <c r="A876" t="str">
        <f>"10512020072714112029775"</f>
        <v>10512020072714112029775</v>
      </c>
      <c r="B876" t="s">
        <v>13</v>
      </c>
      <c r="C876" t="str">
        <f>"朱琳"</f>
        <v>朱琳</v>
      </c>
      <c r="D876" t="str">
        <f>"女"</f>
        <v>女</v>
      </c>
    </row>
    <row r="877" spans="1:4" ht="24" customHeight="1">
      <c r="A877" t="str">
        <f>"10512020072714161529776"</f>
        <v>10512020072714161529776</v>
      </c>
      <c r="B877" t="s">
        <v>44</v>
      </c>
      <c r="C877" t="str">
        <f>"程卓"</f>
        <v>程卓</v>
      </c>
      <c r="D877" t="str">
        <f>"男"</f>
        <v>男</v>
      </c>
    </row>
    <row r="878" spans="1:4" ht="24" customHeight="1">
      <c r="A878" t="str">
        <f>"10512020072714174129777"</f>
        <v>10512020072714174129777</v>
      </c>
      <c r="B878" t="s">
        <v>40</v>
      </c>
      <c r="C878" t="str">
        <f>"李铁伍"</f>
        <v>李铁伍</v>
      </c>
      <c r="D878" t="str">
        <f>"男"</f>
        <v>男</v>
      </c>
    </row>
    <row r="879" spans="1:4" ht="24" customHeight="1">
      <c r="A879" t="str">
        <f>"10512020072714192029778"</f>
        <v>10512020072714192029778</v>
      </c>
      <c r="B879" t="s">
        <v>13</v>
      </c>
      <c r="C879" t="str">
        <f>"吴军军"</f>
        <v>吴军军</v>
      </c>
      <c r="D879" t="str">
        <f>"男"</f>
        <v>男</v>
      </c>
    </row>
    <row r="880" spans="1:4" ht="24" customHeight="1">
      <c r="A880" t="str">
        <f>"10512020072714192329779"</f>
        <v>10512020072714192329779</v>
      </c>
      <c r="B880" t="s">
        <v>13</v>
      </c>
      <c r="C880" t="str">
        <f>"颜静"</f>
        <v>颜静</v>
      </c>
      <c r="D880" t="str">
        <f>"女"</f>
        <v>女</v>
      </c>
    </row>
    <row r="881" spans="1:4" ht="24" customHeight="1">
      <c r="A881" t="str">
        <f>"10512020072714193729780"</f>
        <v>10512020072714193729780</v>
      </c>
      <c r="B881" t="s">
        <v>10</v>
      </c>
      <c r="C881" t="str">
        <f>"郭紫琦"</f>
        <v>郭紫琦</v>
      </c>
      <c r="D881" t="str">
        <f>"女"</f>
        <v>女</v>
      </c>
    </row>
    <row r="882" spans="1:4" ht="24" customHeight="1">
      <c r="A882" t="str">
        <f>"10512020072714220029781"</f>
        <v>10512020072714220029781</v>
      </c>
      <c r="B882" t="s">
        <v>23</v>
      </c>
      <c r="C882" t="str">
        <f>"凌宇"</f>
        <v>凌宇</v>
      </c>
      <c r="D882" t="str">
        <f>"男"</f>
        <v>男</v>
      </c>
    </row>
    <row r="883" spans="1:4" ht="24" customHeight="1">
      <c r="A883" t="str">
        <f>"10512020072714233229782"</f>
        <v>10512020072714233229782</v>
      </c>
      <c r="B883" t="s">
        <v>23</v>
      </c>
      <c r="C883" t="str">
        <f>"刘丹"</f>
        <v>刘丹</v>
      </c>
      <c r="D883" t="str">
        <f>"女"</f>
        <v>女</v>
      </c>
    </row>
    <row r="884" spans="1:4" ht="24" customHeight="1">
      <c r="A884" t="str">
        <f>"10512020072714251429783"</f>
        <v>10512020072714251429783</v>
      </c>
      <c r="B884" t="s">
        <v>5</v>
      </c>
      <c r="C884" t="str">
        <f>"熊晶"</f>
        <v>熊晶</v>
      </c>
      <c r="D884" t="str">
        <f>"女"</f>
        <v>女</v>
      </c>
    </row>
    <row r="885" spans="1:4" ht="24" customHeight="1">
      <c r="A885" t="str">
        <f>"10512020072714254929784"</f>
        <v>10512020072714254929784</v>
      </c>
      <c r="B885" t="s">
        <v>26</v>
      </c>
      <c r="C885" t="str">
        <f>"向彦睿"</f>
        <v>向彦睿</v>
      </c>
      <c r="D885" t="str">
        <f>"男"</f>
        <v>男</v>
      </c>
    </row>
    <row r="886" spans="1:4" ht="24" customHeight="1">
      <c r="A886" t="str">
        <f>"10512020072714280029785"</f>
        <v>10512020072714280029785</v>
      </c>
      <c r="B886" t="s">
        <v>20</v>
      </c>
      <c r="C886" t="str">
        <f>"周名福"</f>
        <v>周名福</v>
      </c>
      <c r="D886" t="str">
        <f>"男"</f>
        <v>男</v>
      </c>
    </row>
    <row r="887" spans="1:4" ht="24" customHeight="1">
      <c r="A887" t="str">
        <f>"10512020072714281029786"</f>
        <v>10512020072714281029786</v>
      </c>
      <c r="B887" t="s">
        <v>25</v>
      </c>
      <c r="C887" t="str">
        <f>"祝淼"</f>
        <v>祝淼</v>
      </c>
      <c r="D887" t="str">
        <f>"女"</f>
        <v>女</v>
      </c>
    </row>
    <row r="888" spans="1:4" ht="24" customHeight="1">
      <c r="A888" t="str">
        <f>"10512020072714300829787"</f>
        <v>10512020072714300829787</v>
      </c>
      <c r="B888" t="s">
        <v>30</v>
      </c>
      <c r="C888" t="str">
        <f>"刘一"</f>
        <v>刘一</v>
      </c>
      <c r="D888" t="str">
        <f>"男"</f>
        <v>男</v>
      </c>
    </row>
    <row r="889" spans="1:4" ht="24" customHeight="1">
      <c r="A889" t="str">
        <f>"10512020072714302929788"</f>
        <v>10512020072714302929788</v>
      </c>
      <c r="B889" t="s">
        <v>40</v>
      </c>
      <c r="C889" t="str">
        <f>"李红瑞"</f>
        <v>李红瑞</v>
      </c>
      <c r="D889" t="str">
        <f>"女"</f>
        <v>女</v>
      </c>
    </row>
    <row r="890" spans="1:4" ht="24" customHeight="1">
      <c r="A890" t="str">
        <f>"10512020072714323929789"</f>
        <v>10512020072714323929789</v>
      </c>
      <c r="B890" t="s">
        <v>30</v>
      </c>
      <c r="C890" t="str">
        <f>"彭佩香"</f>
        <v>彭佩香</v>
      </c>
      <c r="D890" t="str">
        <f>"女"</f>
        <v>女</v>
      </c>
    </row>
    <row r="891" spans="1:4" ht="24" customHeight="1">
      <c r="A891" t="str">
        <f>"10512020072714352129790"</f>
        <v>10512020072714352129790</v>
      </c>
      <c r="B891" t="s">
        <v>12</v>
      </c>
      <c r="C891" t="str">
        <f>"田菁菁"</f>
        <v>田菁菁</v>
      </c>
      <c r="D891" t="str">
        <f>"女"</f>
        <v>女</v>
      </c>
    </row>
    <row r="892" spans="1:4" ht="24" customHeight="1">
      <c r="A892" t="str">
        <f>"10512020072714353429791"</f>
        <v>10512020072714353429791</v>
      </c>
      <c r="B892" t="s">
        <v>9</v>
      </c>
      <c r="C892" t="str">
        <f>"唐子幸"</f>
        <v>唐子幸</v>
      </c>
      <c r="D892" t="str">
        <f>"女"</f>
        <v>女</v>
      </c>
    </row>
    <row r="893" spans="1:4" ht="24" customHeight="1">
      <c r="A893" t="str">
        <f>"10512020072714392929792"</f>
        <v>10512020072714392929792</v>
      </c>
      <c r="B893" t="s">
        <v>21</v>
      </c>
      <c r="C893" t="str">
        <f>"王舷妍"</f>
        <v>王舷妍</v>
      </c>
      <c r="D893" t="str">
        <f>"女"</f>
        <v>女</v>
      </c>
    </row>
    <row r="894" spans="1:4" ht="24" customHeight="1">
      <c r="A894" t="str">
        <f>"10512020072714410629793"</f>
        <v>10512020072714410629793</v>
      </c>
      <c r="B894" t="s">
        <v>6</v>
      </c>
      <c r="C894" t="str">
        <f>"李民警"</f>
        <v>李民警</v>
      </c>
      <c r="D894" t="str">
        <f>"男"</f>
        <v>男</v>
      </c>
    </row>
    <row r="895" spans="1:4" ht="24" customHeight="1">
      <c r="A895" t="str">
        <f>"10512020072714423629794"</f>
        <v>10512020072714423629794</v>
      </c>
      <c r="B895" t="s">
        <v>7</v>
      </c>
      <c r="C895" t="str">
        <f>"盛思源"</f>
        <v>盛思源</v>
      </c>
      <c r="D895" t="str">
        <f>"女"</f>
        <v>女</v>
      </c>
    </row>
    <row r="896" spans="1:4" ht="24" customHeight="1">
      <c r="A896" t="str">
        <f>"10512020072714430729795"</f>
        <v>10512020072714430729795</v>
      </c>
      <c r="B896" t="s">
        <v>6</v>
      </c>
      <c r="C896" t="str">
        <f>"黄伟"</f>
        <v>黄伟</v>
      </c>
      <c r="D896" t="str">
        <f>"男"</f>
        <v>男</v>
      </c>
    </row>
    <row r="897" spans="1:4" ht="24" customHeight="1">
      <c r="A897" t="str">
        <f>"10512020072714450329796"</f>
        <v>10512020072714450329796</v>
      </c>
      <c r="B897" t="s">
        <v>13</v>
      </c>
      <c r="C897" t="str">
        <f>"王茜"</f>
        <v>王茜</v>
      </c>
      <c r="D897" t="str">
        <f>"女"</f>
        <v>女</v>
      </c>
    </row>
    <row r="898" spans="1:4" ht="24" customHeight="1">
      <c r="A898" t="str">
        <f>"10512020072714485229797"</f>
        <v>10512020072714485229797</v>
      </c>
      <c r="B898" t="s">
        <v>45</v>
      </c>
      <c r="C898" t="str">
        <f>"彭佳"</f>
        <v>彭佳</v>
      </c>
      <c r="D898" t="str">
        <f>"男"</f>
        <v>男</v>
      </c>
    </row>
    <row r="899" spans="1:4" ht="24" customHeight="1">
      <c r="A899" t="str">
        <f>"10512020072714485429798"</f>
        <v>10512020072714485429798</v>
      </c>
      <c r="B899" t="s">
        <v>11</v>
      </c>
      <c r="C899" t="str">
        <f>"黄俊惠"</f>
        <v>黄俊惠</v>
      </c>
      <c r="D899" t="str">
        <f>"女"</f>
        <v>女</v>
      </c>
    </row>
    <row r="900" spans="1:4" ht="24" customHeight="1">
      <c r="A900" t="str">
        <f>"10512020072714491329799"</f>
        <v>10512020072714491329799</v>
      </c>
      <c r="B900" t="s">
        <v>30</v>
      </c>
      <c r="C900" t="str">
        <f>"陈智"</f>
        <v>陈智</v>
      </c>
      <c r="D900" t="str">
        <f>"男"</f>
        <v>男</v>
      </c>
    </row>
    <row r="901" spans="1:4" ht="24" customHeight="1">
      <c r="A901" t="str">
        <f>"10512020072714544929800"</f>
        <v>10512020072714544929800</v>
      </c>
      <c r="B901" t="s">
        <v>53</v>
      </c>
      <c r="C901" t="str">
        <f>"蔡芳草"</f>
        <v>蔡芳草</v>
      </c>
      <c r="D901" t="str">
        <f>"女"</f>
        <v>女</v>
      </c>
    </row>
    <row r="902" spans="1:4" ht="24" customHeight="1">
      <c r="A902" t="str">
        <f>"10512020072714573729801"</f>
        <v>10512020072714573729801</v>
      </c>
      <c r="B902" t="s">
        <v>6</v>
      </c>
      <c r="C902" t="str">
        <f>"戚威"</f>
        <v>戚威</v>
      </c>
      <c r="D902" t="str">
        <f>"男"</f>
        <v>男</v>
      </c>
    </row>
    <row r="903" spans="1:4" ht="24" customHeight="1">
      <c r="A903" t="str">
        <f>"10512020072714584629802"</f>
        <v>10512020072714584629802</v>
      </c>
      <c r="B903" t="s">
        <v>5</v>
      </c>
      <c r="C903" t="str">
        <f>"陶叶"</f>
        <v>陶叶</v>
      </c>
      <c r="D903" t="str">
        <f>"女"</f>
        <v>女</v>
      </c>
    </row>
    <row r="904" spans="1:4" ht="24" customHeight="1">
      <c r="A904" t="str">
        <f>"10512020072714585229803"</f>
        <v>10512020072714585229803</v>
      </c>
      <c r="B904" t="s">
        <v>16</v>
      </c>
      <c r="C904" t="str">
        <f>"皮诗筠"</f>
        <v>皮诗筠</v>
      </c>
      <c r="D904" t="str">
        <f>"女"</f>
        <v>女</v>
      </c>
    </row>
    <row r="905" spans="1:4" ht="24" customHeight="1">
      <c r="A905" t="str">
        <f>"10512020072714594929804"</f>
        <v>10512020072714594929804</v>
      </c>
      <c r="B905" t="s">
        <v>20</v>
      </c>
      <c r="C905" t="str">
        <f>"刘晓敏"</f>
        <v>刘晓敏</v>
      </c>
      <c r="D905" t="str">
        <f>"女"</f>
        <v>女</v>
      </c>
    </row>
    <row r="906" spans="1:4" ht="24" customHeight="1">
      <c r="A906" t="str">
        <f>"10512020072715004229805"</f>
        <v>10512020072715004229805</v>
      </c>
      <c r="B906" t="s">
        <v>13</v>
      </c>
      <c r="C906" t="str">
        <f>"谢泠秋"</f>
        <v>谢泠秋</v>
      </c>
      <c r="D906" t="str">
        <f>"女"</f>
        <v>女</v>
      </c>
    </row>
    <row r="907" spans="1:4" ht="24" customHeight="1">
      <c r="A907" t="str">
        <f>"10512020072715035329806"</f>
        <v>10512020072715035329806</v>
      </c>
      <c r="B907" t="s">
        <v>27</v>
      </c>
      <c r="C907" t="str">
        <f>"王绍生"</f>
        <v>王绍生</v>
      </c>
      <c r="D907" t="str">
        <f>"男"</f>
        <v>男</v>
      </c>
    </row>
    <row r="908" spans="1:4" ht="24" customHeight="1">
      <c r="A908" t="str">
        <f>"10512020072715041129807"</f>
        <v>10512020072715041129807</v>
      </c>
      <c r="B908" t="s">
        <v>11</v>
      </c>
      <c r="C908" t="str">
        <f>"陈乃智"</f>
        <v>陈乃智</v>
      </c>
      <c r="D908" t="str">
        <f>"男"</f>
        <v>男</v>
      </c>
    </row>
    <row r="909" spans="1:4" ht="24" customHeight="1">
      <c r="A909" t="str">
        <f>"10512020072715052029808"</f>
        <v>10512020072715052029808</v>
      </c>
      <c r="B909" t="s">
        <v>36</v>
      </c>
      <c r="C909" t="str">
        <f>"宋笑笑"</f>
        <v>宋笑笑</v>
      </c>
      <c r="D909" t="str">
        <f>"女"</f>
        <v>女</v>
      </c>
    </row>
    <row r="910" spans="1:4" ht="24" customHeight="1">
      <c r="A910" t="str">
        <f>"10512020072715053229809"</f>
        <v>10512020072715053229809</v>
      </c>
      <c r="B910" t="s">
        <v>10</v>
      </c>
      <c r="C910" t="str">
        <f>"刘镇"</f>
        <v>刘镇</v>
      </c>
      <c r="D910" t="str">
        <f>"男"</f>
        <v>男</v>
      </c>
    </row>
    <row r="911" spans="1:4" ht="24" customHeight="1">
      <c r="A911" t="str">
        <f>"10512020072715062229810"</f>
        <v>10512020072715062229810</v>
      </c>
      <c r="B911" t="s">
        <v>50</v>
      </c>
      <c r="C911" t="str">
        <f>"卢俊宇"</f>
        <v>卢俊宇</v>
      </c>
      <c r="D911" t="str">
        <f>"男"</f>
        <v>男</v>
      </c>
    </row>
    <row r="912" spans="1:4" ht="24" customHeight="1">
      <c r="A912" t="str">
        <f>"10512020072715070029811"</f>
        <v>10512020072715070029811</v>
      </c>
      <c r="B912" t="s">
        <v>19</v>
      </c>
      <c r="C912" t="str">
        <f>"丁汀汀"</f>
        <v>丁汀汀</v>
      </c>
      <c r="D912" t="str">
        <f t="shared" ref="D912:D919" si="18">"女"</f>
        <v>女</v>
      </c>
    </row>
    <row r="913" spans="1:4" ht="24" customHeight="1">
      <c r="A913" t="str">
        <f>"10512020072715085229812"</f>
        <v>10512020072715085229812</v>
      </c>
      <c r="B913" t="s">
        <v>41</v>
      </c>
      <c r="C913" t="str">
        <f>"周丹妮"</f>
        <v>周丹妮</v>
      </c>
      <c r="D913" t="str">
        <f t="shared" si="18"/>
        <v>女</v>
      </c>
    </row>
    <row r="914" spans="1:4" ht="24" customHeight="1">
      <c r="A914" t="str">
        <f>"10512020072715094829813"</f>
        <v>10512020072715094829813</v>
      </c>
      <c r="B914" t="s">
        <v>18</v>
      </c>
      <c r="C914" t="str">
        <f>"张草儿"</f>
        <v>张草儿</v>
      </c>
      <c r="D914" t="str">
        <f t="shared" si="18"/>
        <v>女</v>
      </c>
    </row>
    <row r="915" spans="1:4" ht="24" customHeight="1">
      <c r="A915" t="str">
        <f>"10512020072715095629814"</f>
        <v>10512020072715095629814</v>
      </c>
      <c r="B915" t="s">
        <v>41</v>
      </c>
      <c r="C915" t="str">
        <f>"彭丹蕾"</f>
        <v>彭丹蕾</v>
      </c>
      <c r="D915" t="str">
        <f t="shared" si="18"/>
        <v>女</v>
      </c>
    </row>
    <row r="916" spans="1:4" ht="24" customHeight="1">
      <c r="A916" t="str">
        <f>"10512020072715154729815"</f>
        <v>10512020072715154729815</v>
      </c>
      <c r="B916" t="s">
        <v>18</v>
      </c>
      <c r="C916" t="str">
        <f>"李梦颖"</f>
        <v>李梦颖</v>
      </c>
      <c r="D916" t="str">
        <f t="shared" si="18"/>
        <v>女</v>
      </c>
    </row>
    <row r="917" spans="1:4" ht="24" customHeight="1">
      <c r="A917" t="str">
        <f>"10512020072715155329816"</f>
        <v>10512020072715155329816</v>
      </c>
      <c r="B917" t="s">
        <v>11</v>
      </c>
      <c r="C917" t="str">
        <f>"刘敏"</f>
        <v>刘敏</v>
      </c>
      <c r="D917" t="str">
        <f t="shared" si="18"/>
        <v>女</v>
      </c>
    </row>
    <row r="918" spans="1:4" ht="24" customHeight="1">
      <c r="A918" t="str">
        <f>"10512020072715160429817"</f>
        <v>10512020072715160429817</v>
      </c>
      <c r="B918" t="s">
        <v>6</v>
      </c>
      <c r="C918" t="str">
        <f>"杨心成"</f>
        <v>杨心成</v>
      </c>
      <c r="D918" t="str">
        <f t="shared" si="18"/>
        <v>女</v>
      </c>
    </row>
    <row r="919" spans="1:4" ht="24" customHeight="1">
      <c r="A919" t="str">
        <f>"10512020072715161729818"</f>
        <v>10512020072715161729818</v>
      </c>
      <c r="B919" t="s">
        <v>31</v>
      </c>
      <c r="C919" t="str">
        <f>"魏杏"</f>
        <v>魏杏</v>
      </c>
      <c r="D919" t="str">
        <f t="shared" si="18"/>
        <v>女</v>
      </c>
    </row>
    <row r="920" spans="1:4" ht="24" customHeight="1">
      <c r="A920" t="str">
        <f>"10512020072715201529819"</f>
        <v>10512020072715201529819</v>
      </c>
      <c r="B920" t="s">
        <v>21</v>
      </c>
      <c r="C920" t="str">
        <f>"吴穷"</f>
        <v>吴穷</v>
      </c>
      <c r="D920" t="str">
        <f>"男"</f>
        <v>男</v>
      </c>
    </row>
    <row r="921" spans="1:4" ht="24" customHeight="1">
      <c r="A921" t="str">
        <f>"10512020072715220629820"</f>
        <v>10512020072715220629820</v>
      </c>
      <c r="B921" t="s">
        <v>48</v>
      </c>
      <c r="C921" t="str">
        <f>"李正锦"</f>
        <v>李正锦</v>
      </c>
      <c r="D921" t="str">
        <f>"男"</f>
        <v>男</v>
      </c>
    </row>
    <row r="922" spans="1:4" ht="24" customHeight="1">
      <c r="A922" t="str">
        <f>"10512020072715231229821"</f>
        <v>10512020072715231229821</v>
      </c>
      <c r="B922" t="s">
        <v>16</v>
      </c>
      <c r="C922" t="str">
        <f>"熊云"</f>
        <v>熊云</v>
      </c>
      <c r="D922" t="str">
        <f>"女"</f>
        <v>女</v>
      </c>
    </row>
    <row r="923" spans="1:4" ht="24" customHeight="1">
      <c r="A923" t="str">
        <f>"10512020072715235229822"</f>
        <v>10512020072715235229822</v>
      </c>
      <c r="B923" t="s">
        <v>12</v>
      </c>
      <c r="C923" t="str">
        <f>"刘源慧"</f>
        <v>刘源慧</v>
      </c>
      <c r="D923" t="str">
        <f>"女"</f>
        <v>女</v>
      </c>
    </row>
    <row r="924" spans="1:4" ht="24" customHeight="1">
      <c r="A924" t="str">
        <f>"10512020072715241629823"</f>
        <v>10512020072715241629823</v>
      </c>
      <c r="B924" t="s">
        <v>11</v>
      </c>
      <c r="C924" t="str">
        <f>"冯师双"</f>
        <v>冯师双</v>
      </c>
      <c r="D924" t="str">
        <f>"男"</f>
        <v>男</v>
      </c>
    </row>
    <row r="925" spans="1:4" ht="24" customHeight="1">
      <c r="A925" t="str">
        <f>"10512020072715244529824"</f>
        <v>10512020072715244529824</v>
      </c>
      <c r="B925" t="s">
        <v>13</v>
      </c>
      <c r="C925" t="str">
        <f>"周静雯"</f>
        <v>周静雯</v>
      </c>
      <c r="D925" t="str">
        <f>"女"</f>
        <v>女</v>
      </c>
    </row>
    <row r="926" spans="1:4" ht="24" customHeight="1">
      <c r="A926" t="str">
        <f>"10512020072715260729825"</f>
        <v>10512020072715260729825</v>
      </c>
      <c r="B926" t="s">
        <v>48</v>
      </c>
      <c r="C926" t="str">
        <f>"汤帅"</f>
        <v>汤帅</v>
      </c>
      <c r="D926" t="str">
        <f>"男"</f>
        <v>男</v>
      </c>
    </row>
    <row r="927" spans="1:4" ht="24" customHeight="1">
      <c r="A927" t="str">
        <f>"10512020072715264629826"</f>
        <v>10512020072715264629826</v>
      </c>
      <c r="B927" t="s">
        <v>33</v>
      </c>
      <c r="C927" t="str">
        <f>"罗漫亭"</f>
        <v>罗漫亭</v>
      </c>
      <c r="D927" t="str">
        <f>"女"</f>
        <v>女</v>
      </c>
    </row>
    <row r="928" spans="1:4" ht="24" customHeight="1">
      <c r="A928" t="str">
        <f>"10512020072715270329827"</f>
        <v>10512020072715270329827</v>
      </c>
      <c r="B928" t="s">
        <v>20</v>
      </c>
      <c r="C928" t="str">
        <f>"朱敏"</f>
        <v>朱敏</v>
      </c>
      <c r="D928" t="str">
        <f>"女"</f>
        <v>女</v>
      </c>
    </row>
    <row r="929" spans="1:4" ht="24" customHeight="1">
      <c r="A929" t="str">
        <f>"10512020072715294329828"</f>
        <v>10512020072715294329828</v>
      </c>
      <c r="B929" t="s">
        <v>13</v>
      </c>
      <c r="C929" t="str">
        <f>"谢瑾"</f>
        <v>谢瑾</v>
      </c>
      <c r="D929" t="str">
        <f>"女"</f>
        <v>女</v>
      </c>
    </row>
    <row r="930" spans="1:4" ht="24" customHeight="1">
      <c r="A930" t="str">
        <f>"10512020072715312429829"</f>
        <v>10512020072715312429829</v>
      </c>
      <c r="B930" t="s">
        <v>35</v>
      </c>
      <c r="C930" t="str">
        <f>"陈潇静"</f>
        <v>陈潇静</v>
      </c>
      <c r="D930" t="str">
        <f>"女"</f>
        <v>女</v>
      </c>
    </row>
    <row r="931" spans="1:4" ht="24" customHeight="1">
      <c r="A931" t="str">
        <f>"10512020072715342129830"</f>
        <v>10512020072715342129830</v>
      </c>
      <c r="B931" t="s">
        <v>30</v>
      </c>
      <c r="C931" t="str">
        <f>"胡睿"</f>
        <v>胡睿</v>
      </c>
      <c r="D931" t="str">
        <f>"男"</f>
        <v>男</v>
      </c>
    </row>
    <row r="932" spans="1:4" ht="24" customHeight="1">
      <c r="A932" t="str">
        <f>"10512020072715342229831"</f>
        <v>10512020072715342229831</v>
      </c>
      <c r="B932" t="s">
        <v>6</v>
      </c>
      <c r="C932" t="str">
        <f>"李珍蓉"</f>
        <v>李珍蓉</v>
      </c>
      <c r="D932" t="str">
        <f t="shared" ref="D932:D941" si="19">"女"</f>
        <v>女</v>
      </c>
    </row>
    <row r="933" spans="1:4" ht="24" customHeight="1">
      <c r="A933" t="str">
        <f>"10512020072715373429832"</f>
        <v>10512020072715373429832</v>
      </c>
      <c r="B933" t="s">
        <v>16</v>
      </c>
      <c r="C933" t="str">
        <f>"左瑞"</f>
        <v>左瑞</v>
      </c>
      <c r="D933" t="str">
        <f t="shared" si="19"/>
        <v>女</v>
      </c>
    </row>
    <row r="934" spans="1:4" ht="24" customHeight="1">
      <c r="A934" t="str">
        <f>"10512020072715380929833"</f>
        <v>10512020072715380929833</v>
      </c>
      <c r="B934" t="s">
        <v>20</v>
      </c>
      <c r="C934" t="str">
        <f>"刘慧敏"</f>
        <v>刘慧敏</v>
      </c>
      <c r="D934" t="str">
        <f t="shared" si="19"/>
        <v>女</v>
      </c>
    </row>
    <row r="935" spans="1:4" ht="24" customHeight="1">
      <c r="A935" t="str">
        <f>"10512020072715381029834"</f>
        <v>10512020072715381029834</v>
      </c>
      <c r="B935" t="s">
        <v>11</v>
      </c>
      <c r="C935" t="str">
        <f>"傅洁"</f>
        <v>傅洁</v>
      </c>
      <c r="D935" t="str">
        <f t="shared" si="19"/>
        <v>女</v>
      </c>
    </row>
    <row r="936" spans="1:4" ht="24" customHeight="1">
      <c r="A936" t="str">
        <f>"10512020072715390929836"</f>
        <v>10512020072715390929836</v>
      </c>
      <c r="B936" t="s">
        <v>32</v>
      </c>
      <c r="C936" t="str">
        <f>"李承林"</f>
        <v>李承林</v>
      </c>
      <c r="D936" t="str">
        <f t="shared" si="19"/>
        <v>女</v>
      </c>
    </row>
    <row r="937" spans="1:4" ht="24" customHeight="1">
      <c r="A937" t="str">
        <f>"10512020072715393129837"</f>
        <v>10512020072715393129837</v>
      </c>
      <c r="B937" t="s">
        <v>16</v>
      </c>
      <c r="C937" t="str">
        <f>"刘爽"</f>
        <v>刘爽</v>
      </c>
      <c r="D937" t="str">
        <f t="shared" si="19"/>
        <v>女</v>
      </c>
    </row>
    <row r="938" spans="1:4" ht="24" customHeight="1">
      <c r="A938" t="str">
        <f>"10512020072715441629839"</f>
        <v>10512020072715441629839</v>
      </c>
      <c r="B938" t="s">
        <v>6</v>
      </c>
      <c r="C938" t="str">
        <f>"娄静"</f>
        <v>娄静</v>
      </c>
      <c r="D938" t="str">
        <f t="shared" si="19"/>
        <v>女</v>
      </c>
    </row>
    <row r="939" spans="1:4" ht="24" customHeight="1">
      <c r="A939" t="str">
        <f>"10512020072715443429840"</f>
        <v>10512020072715443429840</v>
      </c>
      <c r="B939" t="s">
        <v>25</v>
      </c>
      <c r="C939" t="str">
        <f>"廖梓罕"</f>
        <v>廖梓罕</v>
      </c>
      <c r="D939" t="str">
        <f t="shared" si="19"/>
        <v>女</v>
      </c>
    </row>
    <row r="940" spans="1:4" ht="24" customHeight="1">
      <c r="A940" t="str">
        <f>"10512020072715445729841"</f>
        <v>10512020072715445729841</v>
      </c>
      <c r="B940" t="s">
        <v>35</v>
      </c>
      <c r="C940" t="str">
        <f>"熊思敏"</f>
        <v>熊思敏</v>
      </c>
      <c r="D940" t="str">
        <f t="shared" si="19"/>
        <v>女</v>
      </c>
    </row>
    <row r="941" spans="1:4" ht="24" customHeight="1">
      <c r="A941" t="str">
        <f>"10512020072715483529842"</f>
        <v>10512020072715483529842</v>
      </c>
      <c r="B941" t="s">
        <v>12</v>
      </c>
      <c r="C941" t="str">
        <f>"张靖婉"</f>
        <v>张靖婉</v>
      </c>
      <c r="D941" t="str">
        <f t="shared" si="19"/>
        <v>女</v>
      </c>
    </row>
    <row r="942" spans="1:4" ht="24" customHeight="1">
      <c r="A942" t="str">
        <f>"10512020072715492629843"</f>
        <v>10512020072715492629843</v>
      </c>
      <c r="B942" t="s">
        <v>6</v>
      </c>
      <c r="C942" t="str">
        <f>"王勋"</f>
        <v>王勋</v>
      </c>
      <c r="D942" t="str">
        <f>"男"</f>
        <v>男</v>
      </c>
    </row>
    <row r="943" spans="1:4" ht="24" customHeight="1">
      <c r="A943" t="str">
        <f>"10512020072715541129844"</f>
        <v>10512020072715541129844</v>
      </c>
      <c r="B943" t="s">
        <v>16</v>
      </c>
      <c r="C943" t="str">
        <f>"程邦"</f>
        <v>程邦</v>
      </c>
      <c r="D943" t="str">
        <f>"男"</f>
        <v>男</v>
      </c>
    </row>
    <row r="944" spans="1:4" ht="24" customHeight="1">
      <c r="A944" t="str">
        <f>"10512020072715554129845"</f>
        <v>10512020072715554129845</v>
      </c>
      <c r="B944" t="s">
        <v>25</v>
      </c>
      <c r="C944" t="str">
        <f>"陈杏琳"</f>
        <v>陈杏琳</v>
      </c>
      <c r="D944" t="str">
        <f t="shared" ref="D944:D949" si="20">"女"</f>
        <v>女</v>
      </c>
    </row>
    <row r="945" spans="1:4" ht="24" customHeight="1">
      <c r="A945" t="str">
        <f>"10512020072715565629846"</f>
        <v>10512020072715565629846</v>
      </c>
      <c r="B945" t="s">
        <v>10</v>
      </c>
      <c r="C945" t="str">
        <f>"文雅萍"</f>
        <v>文雅萍</v>
      </c>
      <c r="D945" t="str">
        <f t="shared" si="20"/>
        <v>女</v>
      </c>
    </row>
    <row r="946" spans="1:4" ht="24" customHeight="1">
      <c r="A946" t="str">
        <f>"10512020072715570929847"</f>
        <v>10512020072715570929847</v>
      </c>
      <c r="B946" t="s">
        <v>27</v>
      </c>
      <c r="C946" t="str">
        <f>"李嘉雯"</f>
        <v>李嘉雯</v>
      </c>
      <c r="D946" t="str">
        <f t="shared" si="20"/>
        <v>女</v>
      </c>
    </row>
    <row r="947" spans="1:4" ht="24" customHeight="1">
      <c r="A947" t="str">
        <f>"10512020072715572629848"</f>
        <v>10512020072715572629848</v>
      </c>
      <c r="B947" t="s">
        <v>50</v>
      </c>
      <c r="C947" t="str">
        <f>"李琼"</f>
        <v>李琼</v>
      </c>
      <c r="D947" t="str">
        <f t="shared" si="20"/>
        <v>女</v>
      </c>
    </row>
    <row r="948" spans="1:4" ht="24" customHeight="1">
      <c r="A948" t="str">
        <f>"10512020072715585129849"</f>
        <v>10512020072715585129849</v>
      </c>
      <c r="B948" t="s">
        <v>21</v>
      </c>
      <c r="C948" t="str">
        <f>"夏婷"</f>
        <v>夏婷</v>
      </c>
      <c r="D948" t="str">
        <f t="shared" si="20"/>
        <v>女</v>
      </c>
    </row>
    <row r="949" spans="1:4" ht="24" customHeight="1">
      <c r="A949" t="str">
        <f>"10512020072715585829850"</f>
        <v>10512020072715585829850</v>
      </c>
      <c r="B949" t="s">
        <v>44</v>
      </c>
      <c r="C949" t="str">
        <f>"杨欣"</f>
        <v>杨欣</v>
      </c>
      <c r="D949" t="str">
        <f t="shared" si="20"/>
        <v>女</v>
      </c>
    </row>
    <row r="950" spans="1:4" ht="24" customHeight="1">
      <c r="A950" t="str">
        <f>"10512020072716014729851"</f>
        <v>10512020072716014729851</v>
      </c>
      <c r="B950" t="s">
        <v>20</v>
      </c>
      <c r="C950" t="str">
        <f>"姚杰"</f>
        <v>姚杰</v>
      </c>
      <c r="D950" t="str">
        <f>"男"</f>
        <v>男</v>
      </c>
    </row>
    <row r="951" spans="1:4" ht="24" customHeight="1">
      <c r="A951" t="str">
        <f>"10512020072716031729852"</f>
        <v>10512020072716031729852</v>
      </c>
      <c r="B951" t="s">
        <v>9</v>
      </c>
      <c r="C951" t="str">
        <f>"郑经泾"</f>
        <v>郑经泾</v>
      </c>
      <c r="D951" t="str">
        <f t="shared" ref="D951:D956" si="21">"女"</f>
        <v>女</v>
      </c>
    </row>
    <row r="952" spans="1:4" ht="24" customHeight="1">
      <c r="A952" t="str">
        <f>"10512020072716044229853"</f>
        <v>10512020072716044229853</v>
      </c>
      <c r="B952" t="s">
        <v>14</v>
      </c>
      <c r="C952" t="str">
        <f>"魏亚铃"</f>
        <v>魏亚铃</v>
      </c>
      <c r="D952" t="str">
        <f t="shared" si="21"/>
        <v>女</v>
      </c>
    </row>
    <row r="953" spans="1:4" ht="24" customHeight="1">
      <c r="A953" t="str">
        <f>"10512020072716075529854"</f>
        <v>10512020072716075529854</v>
      </c>
      <c r="B953" t="s">
        <v>5</v>
      </c>
      <c r="C953" t="str">
        <f>"王芳"</f>
        <v>王芳</v>
      </c>
      <c r="D953" t="str">
        <f t="shared" si="21"/>
        <v>女</v>
      </c>
    </row>
    <row r="954" spans="1:4" ht="24" customHeight="1">
      <c r="A954" t="str">
        <f>"10512020072716081229855"</f>
        <v>10512020072716081229855</v>
      </c>
      <c r="B954" t="s">
        <v>7</v>
      </c>
      <c r="C954" t="str">
        <f>"尹戈"</f>
        <v>尹戈</v>
      </c>
      <c r="D954" t="str">
        <f t="shared" si="21"/>
        <v>女</v>
      </c>
    </row>
    <row r="955" spans="1:4" ht="24" customHeight="1">
      <c r="A955" t="str">
        <f>"10512020072716084029857"</f>
        <v>10512020072716084029857</v>
      </c>
      <c r="B955" t="s">
        <v>8</v>
      </c>
      <c r="C955" t="str">
        <f>"贾雨婷"</f>
        <v>贾雨婷</v>
      </c>
      <c r="D955" t="str">
        <f t="shared" si="21"/>
        <v>女</v>
      </c>
    </row>
    <row r="956" spans="1:4" ht="24" customHeight="1">
      <c r="A956" t="str">
        <f>"10512020072716100729859"</f>
        <v>10512020072716100729859</v>
      </c>
      <c r="B956" t="s">
        <v>7</v>
      </c>
      <c r="C956" t="str">
        <f>"王露洁"</f>
        <v>王露洁</v>
      </c>
      <c r="D956" t="str">
        <f t="shared" si="21"/>
        <v>女</v>
      </c>
    </row>
    <row r="957" spans="1:4" ht="24" customHeight="1">
      <c r="A957" t="str">
        <f>"10512020072716101029860"</f>
        <v>10512020072716101029860</v>
      </c>
      <c r="B957" t="s">
        <v>35</v>
      </c>
      <c r="C957" t="str">
        <f>"王卓"</f>
        <v>王卓</v>
      </c>
      <c r="D957" t="str">
        <f>"男"</f>
        <v>男</v>
      </c>
    </row>
    <row r="958" spans="1:4" ht="24" customHeight="1">
      <c r="A958" t="str">
        <f>"10512020072716121429861"</f>
        <v>10512020072716121429861</v>
      </c>
      <c r="B958" t="s">
        <v>21</v>
      </c>
      <c r="C958" t="str">
        <f>"王依雯"</f>
        <v>王依雯</v>
      </c>
      <c r="D958" t="str">
        <f>"女"</f>
        <v>女</v>
      </c>
    </row>
    <row r="959" spans="1:4" ht="24" customHeight="1">
      <c r="A959" t="str">
        <f>"10512020072716141629863"</f>
        <v>10512020072716141629863</v>
      </c>
      <c r="B959" t="s">
        <v>25</v>
      </c>
      <c r="C959" t="str">
        <f>"张渝曼"</f>
        <v>张渝曼</v>
      </c>
      <c r="D959" t="str">
        <f>"女"</f>
        <v>女</v>
      </c>
    </row>
    <row r="960" spans="1:4" ht="24" customHeight="1">
      <c r="A960" t="str">
        <f>"10512020072716142029864"</f>
        <v>10512020072716142029864</v>
      </c>
      <c r="B960" t="s">
        <v>14</v>
      </c>
      <c r="C960" t="str">
        <f>"甘妮娟 "</f>
        <v xml:space="preserve">甘妮娟 </v>
      </c>
      <c r="D960" t="str">
        <f>"女"</f>
        <v>女</v>
      </c>
    </row>
    <row r="961" spans="1:4" ht="24" customHeight="1">
      <c r="A961" t="str">
        <f>"10512020072716150029865"</f>
        <v>10512020072716150029865</v>
      </c>
      <c r="B961" t="s">
        <v>23</v>
      </c>
      <c r="C961" t="str">
        <f>"陈霞"</f>
        <v>陈霞</v>
      </c>
      <c r="D961" t="str">
        <f>"女"</f>
        <v>女</v>
      </c>
    </row>
    <row r="962" spans="1:4" ht="24" customHeight="1">
      <c r="A962" t="str">
        <f>"10512020072716154329866"</f>
        <v>10512020072716154329866</v>
      </c>
      <c r="B962" t="s">
        <v>25</v>
      </c>
      <c r="C962" t="str">
        <f>"陈奕顺"</f>
        <v>陈奕顺</v>
      </c>
      <c r="D962" t="str">
        <f>"女"</f>
        <v>女</v>
      </c>
    </row>
    <row r="963" spans="1:4" ht="24" customHeight="1">
      <c r="A963" t="str">
        <f>"10512020072716163429867"</f>
        <v>10512020072716163429867</v>
      </c>
      <c r="B963" t="s">
        <v>24</v>
      </c>
      <c r="C963" t="str">
        <f>"肖杨"</f>
        <v>肖杨</v>
      </c>
      <c r="D963" t="str">
        <f>"男"</f>
        <v>男</v>
      </c>
    </row>
    <row r="964" spans="1:4" ht="24" customHeight="1">
      <c r="A964" t="str">
        <f>"10512020072716165729868"</f>
        <v>10512020072716165729868</v>
      </c>
      <c r="B964" t="s">
        <v>9</v>
      </c>
      <c r="C964" t="str">
        <f>"徐辉"</f>
        <v>徐辉</v>
      </c>
      <c r="D964" t="str">
        <f>"男"</f>
        <v>男</v>
      </c>
    </row>
    <row r="965" spans="1:4" ht="24" customHeight="1">
      <c r="A965" t="str">
        <f>"10512020072716170029869"</f>
        <v>10512020072716170029869</v>
      </c>
      <c r="B965" t="s">
        <v>27</v>
      </c>
      <c r="C965" t="str">
        <f>"李欣"</f>
        <v>李欣</v>
      </c>
      <c r="D965" t="str">
        <f t="shared" ref="D965:D971" si="22">"女"</f>
        <v>女</v>
      </c>
    </row>
    <row r="966" spans="1:4" ht="24" customHeight="1">
      <c r="A966" t="str">
        <f>"10512020072716191629870"</f>
        <v>10512020072716191629870</v>
      </c>
      <c r="B966" t="s">
        <v>10</v>
      </c>
      <c r="C966" t="str">
        <f>"谭霞"</f>
        <v>谭霞</v>
      </c>
      <c r="D966" t="str">
        <f t="shared" si="22"/>
        <v>女</v>
      </c>
    </row>
    <row r="967" spans="1:4" ht="24" customHeight="1">
      <c r="A967" t="str">
        <f>"10512020072716191629871"</f>
        <v>10512020072716191629871</v>
      </c>
      <c r="B967" t="s">
        <v>25</v>
      </c>
      <c r="C967" t="str">
        <f>"卢方瑞"</f>
        <v>卢方瑞</v>
      </c>
      <c r="D967" t="str">
        <f t="shared" si="22"/>
        <v>女</v>
      </c>
    </row>
    <row r="968" spans="1:4" ht="24" customHeight="1">
      <c r="A968" t="str">
        <f>"10512020072716205129872"</f>
        <v>10512020072716205129872</v>
      </c>
      <c r="B968" t="s">
        <v>27</v>
      </c>
      <c r="C968" t="str">
        <f>"陶琴琴"</f>
        <v>陶琴琴</v>
      </c>
      <c r="D968" t="str">
        <f t="shared" si="22"/>
        <v>女</v>
      </c>
    </row>
    <row r="969" spans="1:4" ht="24" customHeight="1">
      <c r="A969" t="str">
        <f>"10512020072716210929873"</f>
        <v>10512020072716210929873</v>
      </c>
      <c r="B969" t="s">
        <v>21</v>
      </c>
      <c r="C969" t="str">
        <f>"吴香如"</f>
        <v>吴香如</v>
      </c>
      <c r="D969" t="str">
        <f t="shared" si="22"/>
        <v>女</v>
      </c>
    </row>
    <row r="970" spans="1:4" ht="24" customHeight="1">
      <c r="A970" t="str">
        <f>"10512020072716234629874"</f>
        <v>10512020072716234629874</v>
      </c>
      <c r="B970" t="s">
        <v>41</v>
      </c>
      <c r="C970" t="str">
        <f>"胡新苗"</f>
        <v>胡新苗</v>
      </c>
      <c r="D970" t="str">
        <f t="shared" si="22"/>
        <v>女</v>
      </c>
    </row>
    <row r="971" spans="1:4" ht="24" customHeight="1">
      <c r="A971" t="str">
        <f>"10512020072716245429875"</f>
        <v>10512020072716245429875</v>
      </c>
      <c r="B971" t="s">
        <v>13</v>
      </c>
      <c r="C971" t="str">
        <f>"王雅倩"</f>
        <v>王雅倩</v>
      </c>
      <c r="D971" t="str">
        <f t="shared" si="22"/>
        <v>女</v>
      </c>
    </row>
    <row r="972" spans="1:4" ht="24" customHeight="1">
      <c r="A972" t="str">
        <f>"10512020072716254229876"</f>
        <v>10512020072716254229876</v>
      </c>
      <c r="B972" t="s">
        <v>20</v>
      </c>
      <c r="C972" t="str">
        <f>"罗思为"</f>
        <v>罗思为</v>
      </c>
      <c r="D972" t="str">
        <f>"男"</f>
        <v>男</v>
      </c>
    </row>
    <row r="973" spans="1:4" ht="24" customHeight="1">
      <c r="A973" t="str">
        <f>"10512020072716282929877"</f>
        <v>10512020072716282929877</v>
      </c>
      <c r="B973" t="s">
        <v>21</v>
      </c>
      <c r="C973" t="str">
        <f>"彭海燕"</f>
        <v>彭海燕</v>
      </c>
      <c r="D973" t="str">
        <f>"女"</f>
        <v>女</v>
      </c>
    </row>
    <row r="974" spans="1:4" ht="24" customHeight="1">
      <c r="A974" t="str">
        <f>"10512020072716301329878"</f>
        <v>10512020072716301329878</v>
      </c>
      <c r="B974" t="s">
        <v>32</v>
      </c>
      <c r="C974" t="str">
        <f>"张平"</f>
        <v>张平</v>
      </c>
      <c r="D974" t="str">
        <f>"女"</f>
        <v>女</v>
      </c>
    </row>
    <row r="975" spans="1:4" ht="24" customHeight="1">
      <c r="A975" t="str">
        <f>"10512020072716315829879"</f>
        <v>10512020072716315829879</v>
      </c>
      <c r="B975" t="s">
        <v>5</v>
      </c>
      <c r="C975" t="str">
        <f>"杨柳"</f>
        <v>杨柳</v>
      </c>
      <c r="D975" t="str">
        <f>"女"</f>
        <v>女</v>
      </c>
    </row>
    <row r="976" spans="1:4" ht="24" customHeight="1">
      <c r="A976" t="str">
        <f>"10512020072716330929880"</f>
        <v>10512020072716330929880</v>
      </c>
      <c r="B976" t="s">
        <v>9</v>
      </c>
      <c r="C976" t="str">
        <f>"陈茜雨"</f>
        <v>陈茜雨</v>
      </c>
      <c r="D976" t="str">
        <f>"女"</f>
        <v>女</v>
      </c>
    </row>
    <row r="977" spans="1:4" ht="24" customHeight="1">
      <c r="A977" t="str">
        <f>"10512020072716361529881"</f>
        <v>10512020072716361529881</v>
      </c>
      <c r="B977" t="s">
        <v>53</v>
      </c>
      <c r="C977" t="str">
        <f>"杨送文"</f>
        <v>杨送文</v>
      </c>
      <c r="D977" t="str">
        <f>"男"</f>
        <v>男</v>
      </c>
    </row>
    <row r="978" spans="1:4" ht="24" customHeight="1">
      <c r="A978" t="str">
        <f>"10512020072716362729882"</f>
        <v>10512020072716362729882</v>
      </c>
      <c r="B978" t="s">
        <v>12</v>
      </c>
      <c r="C978" t="str">
        <f>"周远辉"</f>
        <v>周远辉</v>
      </c>
      <c r="D978" t="str">
        <f>"男"</f>
        <v>男</v>
      </c>
    </row>
    <row r="979" spans="1:4" ht="24" customHeight="1">
      <c r="A979" t="str">
        <f>"10512020072716374129883"</f>
        <v>10512020072716374129883</v>
      </c>
      <c r="B979" t="s">
        <v>6</v>
      </c>
      <c r="C979" t="str">
        <f>"刘明明"</f>
        <v>刘明明</v>
      </c>
      <c r="D979" t="str">
        <f>"女"</f>
        <v>女</v>
      </c>
    </row>
    <row r="980" spans="1:4" ht="24" customHeight="1">
      <c r="A980" t="str">
        <f>"10512020072716404029885"</f>
        <v>10512020072716404029885</v>
      </c>
      <c r="B980" t="s">
        <v>6</v>
      </c>
      <c r="C980" t="str">
        <f>"尹虹"</f>
        <v>尹虹</v>
      </c>
      <c r="D980" t="str">
        <f>"女"</f>
        <v>女</v>
      </c>
    </row>
    <row r="981" spans="1:4" ht="24" customHeight="1">
      <c r="A981" t="str">
        <f>"10512020072716430129886"</f>
        <v>10512020072716430129886</v>
      </c>
      <c r="B981" t="s">
        <v>13</v>
      </c>
      <c r="C981" t="str">
        <f>"罗瑞敏"</f>
        <v>罗瑞敏</v>
      </c>
      <c r="D981" t="str">
        <f>"男"</f>
        <v>男</v>
      </c>
    </row>
    <row r="982" spans="1:4" ht="24" customHeight="1">
      <c r="A982" t="str">
        <f>"10512020072716432729887"</f>
        <v>10512020072716432729887</v>
      </c>
      <c r="B982" t="s">
        <v>30</v>
      </c>
      <c r="C982" t="str">
        <f>"胡杰"</f>
        <v>胡杰</v>
      </c>
      <c r="D982" t="str">
        <f>"男"</f>
        <v>男</v>
      </c>
    </row>
    <row r="983" spans="1:4" ht="24" customHeight="1">
      <c r="A983" t="str">
        <f>"10512020072716445829888"</f>
        <v>10512020072716445829888</v>
      </c>
      <c r="B983" t="s">
        <v>14</v>
      </c>
      <c r="C983" t="str">
        <f>"孟叙宋"</f>
        <v>孟叙宋</v>
      </c>
      <c r="D983" t="str">
        <f>"女"</f>
        <v>女</v>
      </c>
    </row>
    <row r="984" spans="1:4" ht="24" customHeight="1">
      <c r="A984" t="str">
        <f>"10512020072716460929889"</f>
        <v>10512020072716460929889</v>
      </c>
      <c r="B984" t="s">
        <v>6</v>
      </c>
      <c r="C984" t="str">
        <f>"杨胡悦"</f>
        <v>杨胡悦</v>
      </c>
      <c r="D984" t="str">
        <f>"女"</f>
        <v>女</v>
      </c>
    </row>
    <row r="985" spans="1:4" ht="24" customHeight="1">
      <c r="A985" t="str">
        <f>"10512020072716524229891"</f>
        <v>10512020072716524229891</v>
      </c>
      <c r="B985" t="s">
        <v>48</v>
      </c>
      <c r="C985" t="str">
        <f>"戴琪琪"</f>
        <v>戴琪琪</v>
      </c>
      <c r="D985" t="str">
        <f>"女"</f>
        <v>女</v>
      </c>
    </row>
    <row r="986" spans="1:4" ht="24" customHeight="1">
      <c r="A986" t="str">
        <f>"10512020072716575629893"</f>
        <v>10512020072716575629893</v>
      </c>
      <c r="B986" t="s">
        <v>9</v>
      </c>
      <c r="C986" t="str">
        <f>"刘小雅"</f>
        <v>刘小雅</v>
      </c>
      <c r="D986" t="str">
        <f>"女"</f>
        <v>女</v>
      </c>
    </row>
    <row r="987" spans="1:4" ht="24" customHeight="1">
      <c r="A987" t="str">
        <f>"10512020072716583529894"</f>
        <v>10512020072716583529894</v>
      </c>
      <c r="B987" t="s">
        <v>28</v>
      </c>
      <c r="C987" t="str">
        <f>"刘叙宽"</f>
        <v>刘叙宽</v>
      </c>
      <c r="D987" t="str">
        <f>"男"</f>
        <v>男</v>
      </c>
    </row>
    <row r="988" spans="1:4" ht="24" customHeight="1">
      <c r="A988" t="str">
        <f>"10512020072717004629895"</f>
        <v>10512020072717004629895</v>
      </c>
      <c r="B988" t="s">
        <v>13</v>
      </c>
      <c r="C988" t="str">
        <f>"王瑜"</f>
        <v>王瑜</v>
      </c>
      <c r="D988" t="str">
        <f>"女"</f>
        <v>女</v>
      </c>
    </row>
    <row r="989" spans="1:4" ht="24" customHeight="1">
      <c r="A989" t="str">
        <f>"10512020072717012429896"</f>
        <v>10512020072717012429896</v>
      </c>
      <c r="B989" t="s">
        <v>21</v>
      </c>
      <c r="C989" t="str">
        <f>"梁鹏"</f>
        <v>梁鹏</v>
      </c>
      <c r="D989" t="str">
        <f>"男"</f>
        <v>男</v>
      </c>
    </row>
    <row r="990" spans="1:4" ht="24" customHeight="1">
      <c r="A990" t="str">
        <f>"10512020072717013129897"</f>
        <v>10512020072717013129897</v>
      </c>
      <c r="B990" t="s">
        <v>9</v>
      </c>
      <c r="C990" t="str">
        <f>"唐智慧"</f>
        <v>唐智慧</v>
      </c>
      <c r="D990" t="str">
        <f>"女"</f>
        <v>女</v>
      </c>
    </row>
    <row r="991" spans="1:4" ht="24" customHeight="1">
      <c r="A991" t="str">
        <f>"10512020072717085029898"</f>
        <v>10512020072717085029898</v>
      </c>
      <c r="B991" t="s">
        <v>4</v>
      </c>
      <c r="C991" t="str">
        <f>"刘晓霜"</f>
        <v>刘晓霜</v>
      </c>
      <c r="D991" t="str">
        <f>"男"</f>
        <v>男</v>
      </c>
    </row>
    <row r="992" spans="1:4" ht="24" customHeight="1">
      <c r="A992" t="str">
        <f>"10512020072717092529899"</f>
        <v>10512020072717092529899</v>
      </c>
      <c r="B992" t="s">
        <v>13</v>
      </c>
      <c r="C992" t="str">
        <f>"许慧"</f>
        <v>许慧</v>
      </c>
      <c r="D992" t="str">
        <f>"女"</f>
        <v>女</v>
      </c>
    </row>
    <row r="993" spans="1:4" ht="24" customHeight="1">
      <c r="A993" t="str">
        <f>"10512020072717120129901"</f>
        <v>10512020072717120129901</v>
      </c>
      <c r="B993" t="s">
        <v>47</v>
      </c>
      <c r="C993" t="str">
        <f>"龚政铭"</f>
        <v>龚政铭</v>
      </c>
      <c r="D993" t="str">
        <f>"男"</f>
        <v>男</v>
      </c>
    </row>
    <row r="994" spans="1:4" ht="24" customHeight="1">
      <c r="A994" t="str">
        <f>"10512020072717120829902"</f>
        <v>10512020072717120829902</v>
      </c>
      <c r="B994" t="s">
        <v>40</v>
      </c>
      <c r="C994" t="str">
        <f>"曾周敏"</f>
        <v>曾周敏</v>
      </c>
      <c r="D994" t="str">
        <f>"女"</f>
        <v>女</v>
      </c>
    </row>
    <row r="995" spans="1:4" ht="24" customHeight="1">
      <c r="A995" t="str">
        <f>"10512020072717130829903"</f>
        <v>10512020072717130829903</v>
      </c>
      <c r="B995" t="s">
        <v>12</v>
      </c>
      <c r="C995" t="str">
        <f>"郑成城"</f>
        <v>郑成城</v>
      </c>
      <c r="D995" t="str">
        <f>"女"</f>
        <v>女</v>
      </c>
    </row>
    <row r="996" spans="1:4" ht="24" customHeight="1">
      <c r="A996" t="str">
        <f>"10512020072717132229904"</f>
        <v>10512020072717132229904</v>
      </c>
      <c r="B996" t="s">
        <v>20</v>
      </c>
      <c r="C996" t="str">
        <f>"童晶"</f>
        <v>童晶</v>
      </c>
      <c r="D996" t="str">
        <f>"女"</f>
        <v>女</v>
      </c>
    </row>
    <row r="997" spans="1:4" ht="24" customHeight="1">
      <c r="A997" t="str">
        <f>"10512020072717165329905"</f>
        <v>10512020072717165329905</v>
      </c>
      <c r="B997" t="s">
        <v>28</v>
      </c>
      <c r="C997" t="str">
        <f>"范康杨"</f>
        <v>范康杨</v>
      </c>
      <c r="D997" t="str">
        <f>"男"</f>
        <v>男</v>
      </c>
    </row>
    <row r="998" spans="1:4" ht="24" customHeight="1">
      <c r="A998" t="str">
        <f>"10512020072717190929906"</f>
        <v>10512020072717190929906</v>
      </c>
      <c r="B998" t="s">
        <v>9</v>
      </c>
      <c r="C998" t="str">
        <f>"朱涛"</f>
        <v>朱涛</v>
      </c>
      <c r="D998" t="str">
        <f>"男"</f>
        <v>男</v>
      </c>
    </row>
    <row r="999" spans="1:4" ht="24" customHeight="1">
      <c r="A999" t="str">
        <f>"10512020072717212729907"</f>
        <v>10512020072717212729907</v>
      </c>
      <c r="B999" t="s">
        <v>23</v>
      </c>
      <c r="C999" t="str">
        <f>"陈倩"</f>
        <v>陈倩</v>
      </c>
      <c r="D999" t="str">
        <f>"女"</f>
        <v>女</v>
      </c>
    </row>
    <row r="1000" spans="1:4" ht="24" customHeight="1">
      <c r="A1000" t="str">
        <f>"10512020072717222229908"</f>
        <v>10512020072717222229908</v>
      </c>
      <c r="B1000" t="s">
        <v>34</v>
      </c>
      <c r="C1000" t="str">
        <f>"张津铭"</f>
        <v>张津铭</v>
      </c>
      <c r="D1000" t="str">
        <f>"男"</f>
        <v>男</v>
      </c>
    </row>
    <row r="1001" spans="1:4" ht="24" customHeight="1">
      <c r="A1001" t="str">
        <f>"10512020072717245629909"</f>
        <v>10512020072717245629909</v>
      </c>
      <c r="B1001" t="s">
        <v>24</v>
      </c>
      <c r="C1001" t="str">
        <f>"彭可珂"</f>
        <v>彭可珂</v>
      </c>
      <c r="D1001" t="str">
        <f>"男"</f>
        <v>男</v>
      </c>
    </row>
    <row r="1002" spans="1:4" ht="24" customHeight="1">
      <c r="A1002" t="str">
        <f>"10512020072717250229910"</f>
        <v>10512020072717250229910</v>
      </c>
      <c r="B1002" t="s">
        <v>16</v>
      </c>
      <c r="C1002" t="str">
        <f>"鲁涛"</f>
        <v>鲁涛</v>
      </c>
      <c r="D1002" t="str">
        <f>"男"</f>
        <v>男</v>
      </c>
    </row>
    <row r="1003" spans="1:4" ht="24" customHeight="1">
      <c r="A1003" t="str">
        <f>"10512020072717263529911"</f>
        <v>10512020072717263529911</v>
      </c>
      <c r="B1003" t="s">
        <v>23</v>
      </c>
      <c r="C1003" t="str">
        <f>"刘盛"</f>
        <v>刘盛</v>
      </c>
      <c r="D1003" t="str">
        <f>"男"</f>
        <v>男</v>
      </c>
    </row>
    <row r="1004" spans="1:4" ht="24" customHeight="1">
      <c r="A1004" t="str">
        <f>"10512020072717263629912"</f>
        <v>10512020072717263629912</v>
      </c>
      <c r="B1004" t="s">
        <v>54</v>
      </c>
      <c r="C1004" t="str">
        <f>"李星"</f>
        <v>李星</v>
      </c>
      <c r="D1004" t="str">
        <f>"女"</f>
        <v>女</v>
      </c>
    </row>
    <row r="1005" spans="1:4" ht="24" customHeight="1">
      <c r="A1005" t="str">
        <f>"10512020072717271729914"</f>
        <v>10512020072717271729914</v>
      </c>
      <c r="B1005" t="s">
        <v>48</v>
      </c>
      <c r="C1005" t="str">
        <f>"杜慧"</f>
        <v>杜慧</v>
      </c>
      <c r="D1005" t="str">
        <f>"女"</f>
        <v>女</v>
      </c>
    </row>
    <row r="1006" spans="1:4" ht="24" customHeight="1">
      <c r="A1006" t="str">
        <f>"10512020072717272929915"</f>
        <v>10512020072717272929915</v>
      </c>
      <c r="B1006" t="s">
        <v>14</v>
      </c>
      <c r="C1006" t="str">
        <f>"陈柏玮"</f>
        <v>陈柏玮</v>
      </c>
      <c r="D1006" t="str">
        <f>"男"</f>
        <v>男</v>
      </c>
    </row>
    <row r="1007" spans="1:4" ht="24" customHeight="1">
      <c r="A1007" t="str">
        <f>"10512020072717281629916"</f>
        <v>10512020072717281629916</v>
      </c>
      <c r="B1007" t="s">
        <v>21</v>
      </c>
      <c r="C1007" t="str">
        <f>"段继童"</f>
        <v>段继童</v>
      </c>
      <c r="D1007" t="str">
        <f>"男"</f>
        <v>男</v>
      </c>
    </row>
    <row r="1008" spans="1:4" ht="24" customHeight="1">
      <c r="A1008" t="str">
        <f>"10512020072717282329917"</f>
        <v>10512020072717282329917</v>
      </c>
      <c r="B1008" t="s">
        <v>10</v>
      </c>
      <c r="C1008" t="str">
        <f>"贺潇"</f>
        <v>贺潇</v>
      </c>
      <c r="D1008" t="str">
        <f>"男"</f>
        <v>男</v>
      </c>
    </row>
    <row r="1009" spans="1:4" ht="24" customHeight="1">
      <c r="A1009" t="str">
        <f>"10512020072717283029918"</f>
        <v>10512020072717283029918</v>
      </c>
      <c r="B1009" t="s">
        <v>45</v>
      </c>
      <c r="C1009" t="str">
        <f>"杨静"</f>
        <v>杨静</v>
      </c>
      <c r="D1009" t="str">
        <f>"男"</f>
        <v>男</v>
      </c>
    </row>
    <row r="1010" spans="1:4" ht="24" customHeight="1">
      <c r="A1010" t="str">
        <f>"10512020072717302929920"</f>
        <v>10512020072717302929920</v>
      </c>
      <c r="B1010" t="s">
        <v>21</v>
      </c>
      <c r="C1010" t="str">
        <f>"翟涛"</f>
        <v>翟涛</v>
      </c>
      <c r="D1010" t="str">
        <f>"男"</f>
        <v>男</v>
      </c>
    </row>
    <row r="1011" spans="1:4" ht="24" customHeight="1">
      <c r="A1011" t="str">
        <f>"10512020072717313029922"</f>
        <v>10512020072717313029922</v>
      </c>
      <c r="B1011" t="s">
        <v>21</v>
      </c>
      <c r="C1011" t="str">
        <f>"尹玉萍"</f>
        <v>尹玉萍</v>
      </c>
      <c r="D1011" t="str">
        <f>"女"</f>
        <v>女</v>
      </c>
    </row>
    <row r="1012" spans="1:4" ht="24" customHeight="1">
      <c r="A1012" t="str">
        <f>"10512020072717324029924"</f>
        <v>10512020072717324029924</v>
      </c>
      <c r="B1012" t="s">
        <v>21</v>
      </c>
      <c r="C1012" t="str">
        <f>"龚勇"</f>
        <v>龚勇</v>
      </c>
      <c r="D1012" t="str">
        <f>"男"</f>
        <v>男</v>
      </c>
    </row>
    <row r="1013" spans="1:4" ht="24" customHeight="1">
      <c r="A1013" t="str">
        <f>"10512020072717361329925"</f>
        <v>10512020072717361329925</v>
      </c>
      <c r="B1013" t="s">
        <v>15</v>
      </c>
      <c r="C1013" t="str">
        <f>"毛立"</f>
        <v>毛立</v>
      </c>
      <c r="D1013" t="str">
        <f>"男"</f>
        <v>男</v>
      </c>
    </row>
    <row r="1014" spans="1:4" ht="24" customHeight="1">
      <c r="A1014" t="str">
        <f>"10512020072717362629926"</f>
        <v>10512020072717362629926</v>
      </c>
      <c r="B1014" t="s">
        <v>40</v>
      </c>
      <c r="C1014" t="str">
        <f>"黄丹"</f>
        <v>黄丹</v>
      </c>
      <c r="D1014" t="str">
        <f>"女"</f>
        <v>女</v>
      </c>
    </row>
    <row r="1015" spans="1:4" ht="24" customHeight="1">
      <c r="A1015" t="str">
        <f>"10512020072717372529927"</f>
        <v>10512020072717372529927</v>
      </c>
      <c r="B1015" t="s">
        <v>39</v>
      </c>
      <c r="C1015" t="str">
        <f>"宋湘泉"</f>
        <v>宋湘泉</v>
      </c>
      <c r="D1015" t="str">
        <f>"男"</f>
        <v>男</v>
      </c>
    </row>
    <row r="1016" spans="1:4" ht="24" customHeight="1">
      <c r="A1016" t="str">
        <f>"10512020072717400829928"</f>
        <v>10512020072717400829928</v>
      </c>
      <c r="B1016" t="s">
        <v>30</v>
      </c>
      <c r="C1016" t="str">
        <f>"易子娟"</f>
        <v>易子娟</v>
      </c>
      <c r="D1016" t="str">
        <f>"女"</f>
        <v>女</v>
      </c>
    </row>
    <row r="1017" spans="1:4" ht="24" customHeight="1">
      <c r="A1017" t="str">
        <f>"10512020072717463629929"</f>
        <v>10512020072717463629929</v>
      </c>
      <c r="B1017" t="s">
        <v>29</v>
      </c>
      <c r="C1017" t="str">
        <f>"卢文婷"</f>
        <v>卢文婷</v>
      </c>
      <c r="D1017" t="str">
        <f>"女"</f>
        <v>女</v>
      </c>
    </row>
    <row r="1018" spans="1:4" ht="24" customHeight="1">
      <c r="A1018" t="str">
        <f>"10512020072717465229930"</f>
        <v>10512020072717465229930</v>
      </c>
      <c r="B1018" t="s">
        <v>48</v>
      </c>
      <c r="C1018" t="str">
        <f>"高峰"</f>
        <v>高峰</v>
      </c>
      <c r="D1018" t="str">
        <f>"男"</f>
        <v>男</v>
      </c>
    </row>
    <row r="1019" spans="1:4" ht="24" customHeight="1">
      <c r="A1019" t="str">
        <f>"10512020072717484929931"</f>
        <v>10512020072717484929931</v>
      </c>
      <c r="B1019" t="s">
        <v>7</v>
      </c>
      <c r="C1019" t="str">
        <f>"杨硝"</f>
        <v>杨硝</v>
      </c>
      <c r="D1019" t="str">
        <f>"男"</f>
        <v>男</v>
      </c>
    </row>
    <row r="1020" spans="1:4" ht="24" customHeight="1">
      <c r="A1020" t="str">
        <f>"10512020072717485529932"</f>
        <v>10512020072717485529932</v>
      </c>
      <c r="B1020" t="s">
        <v>10</v>
      </c>
      <c r="C1020" t="str">
        <f>"覃媛媛"</f>
        <v>覃媛媛</v>
      </c>
      <c r="D1020" t="str">
        <f>"女"</f>
        <v>女</v>
      </c>
    </row>
    <row r="1021" spans="1:4" ht="24" customHeight="1">
      <c r="A1021" t="str">
        <f>"10512020072717524129933"</f>
        <v>10512020072717524129933</v>
      </c>
      <c r="B1021" t="s">
        <v>20</v>
      </c>
      <c r="C1021" t="str">
        <f>"范浩毅"</f>
        <v>范浩毅</v>
      </c>
      <c r="D1021" t="str">
        <f>"男"</f>
        <v>男</v>
      </c>
    </row>
    <row r="1022" spans="1:4" ht="24" customHeight="1">
      <c r="A1022" t="str">
        <f>"10512020072717533129934"</f>
        <v>10512020072717533129934</v>
      </c>
      <c r="B1022" t="s">
        <v>12</v>
      </c>
      <c r="C1022" t="str">
        <f>"张有缘"</f>
        <v>张有缘</v>
      </c>
      <c r="D1022" t="str">
        <f>"男"</f>
        <v>男</v>
      </c>
    </row>
    <row r="1023" spans="1:4" ht="24" customHeight="1">
      <c r="A1023" t="str">
        <f>"10512020072717555629936"</f>
        <v>10512020072717555629936</v>
      </c>
      <c r="B1023" t="s">
        <v>5</v>
      </c>
      <c r="C1023" t="str">
        <f>"阳涛"</f>
        <v>阳涛</v>
      </c>
      <c r="D1023" t="str">
        <f>"女"</f>
        <v>女</v>
      </c>
    </row>
    <row r="1024" spans="1:4" ht="24" customHeight="1">
      <c r="A1024" t="str">
        <f>"10512020072717563229937"</f>
        <v>10512020072717563229937</v>
      </c>
      <c r="B1024" t="s">
        <v>21</v>
      </c>
      <c r="C1024" t="str">
        <f>"毛艳"</f>
        <v>毛艳</v>
      </c>
      <c r="D1024" t="str">
        <f>"女"</f>
        <v>女</v>
      </c>
    </row>
    <row r="1025" spans="1:4" ht="24" customHeight="1">
      <c r="A1025" t="str">
        <f>"10512020072718034729938"</f>
        <v>10512020072718034729938</v>
      </c>
      <c r="B1025" t="s">
        <v>6</v>
      </c>
      <c r="C1025" t="str">
        <f>"孙伟"</f>
        <v>孙伟</v>
      </c>
      <c r="D1025" t="str">
        <f>"男"</f>
        <v>男</v>
      </c>
    </row>
    <row r="1026" spans="1:4" ht="24" customHeight="1">
      <c r="A1026" t="str">
        <f>"10512020072718042229940"</f>
        <v>10512020072718042229940</v>
      </c>
      <c r="B1026" t="s">
        <v>9</v>
      </c>
      <c r="C1026" t="str">
        <f>"李任民"</f>
        <v>李任民</v>
      </c>
      <c r="D1026" t="str">
        <f>"男"</f>
        <v>男</v>
      </c>
    </row>
    <row r="1027" spans="1:4" ht="24" customHeight="1">
      <c r="A1027" t="str">
        <f>"10512020072718054029941"</f>
        <v>10512020072718054029941</v>
      </c>
      <c r="B1027" t="s">
        <v>13</v>
      </c>
      <c r="C1027" t="str">
        <f>"张一凡"</f>
        <v>张一凡</v>
      </c>
      <c r="D1027" t="str">
        <f>"女"</f>
        <v>女</v>
      </c>
    </row>
    <row r="1028" spans="1:4" ht="24" customHeight="1">
      <c r="A1028" t="str">
        <f>"10512020072718105429942"</f>
        <v>10512020072718105429942</v>
      </c>
      <c r="B1028" t="s">
        <v>33</v>
      </c>
      <c r="C1028" t="str">
        <f>"罗澧洋"</f>
        <v>罗澧洋</v>
      </c>
      <c r="D1028" t="str">
        <f>"男"</f>
        <v>男</v>
      </c>
    </row>
    <row r="1029" spans="1:4" ht="24" customHeight="1">
      <c r="A1029" t="str">
        <f>"10512020072718114429943"</f>
        <v>10512020072718114429943</v>
      </c>
      <c r="B1029" t="s">
        <v>6</v>
      </c>
      <c r="C1029" t="str">
        <f>"张娜"</f>
        <v>张娜</v>
      </c>
      <c r="D1029" t="str">
        <f>"女"</f>
        <v>女</v>
      </c>
    </row>
    <row r="1030" spans="1:4" ht="24" customHeight="1">
      <c r="A1030" t="str">
        <f>"10512020072718141529944"</f>
        <v>10512020072718141529944</v>
      </c>
      <c r="B1030" t="s">
        <v>24</v>
      </c>
      <c r="C1030" t="str">
        <f>"樊珊"</f>
        <v>樊珊</v>
      </c>
      <c r="D1030" t="str">
        <f>"女"</f>
        <v>女</v>
      </c>
    </row>
    <row r="1031" spans="1:4" ht="24" customHeight="1">
      <c r="A1031" t="str">
        <f>"10512020072718152929945"</f>
        <v>10512020072718152929945</v>
      </c>
      <c r="B1031" t="s">
        <v>41</v>
      </c>
      <c r="C1031" t="str">
        <f>"向慧琳"</f>
        <v>向慧琳</v>
      </c>
      <c r="D1031" t="str">
        <f>"女"</f>
        <v>女</v>
      </c>
    </row>
    <row r="1032" spans="1:4" ht="24" customHeight="1">
      <c r="A1032" t="str">
        <f>"10512020072718213229946"</f>
        <v>10512020072718213229946</v>
      </c>
      <c r="B1032" t="s">
        <v>21</v>
      </c>
      <c r="C1032" t="str">
        <f>"曹洁"</f>
        <v>曹洁</v>
      </c>
      <c r="D1032" t="str">
        <f>"女"</f>
        <v>女</v>
      </c>
    </row>
    <row r="1033" spans="1:4" ht="24" customHeight="1">
      <c r="A1033" t="str">
        <f>"10512020072718223829947"</f>
        <v>10512020072718223829947</v>
      </c>
      <c r="B1033" t="s">
        <v>16</v>
      </c>
      <c r="C1033" t="str">
        <f>"邹玉繁"</f>
        <v>邹玉繁</v>
      </c>
      <c r="D1033" t="str">
        <f>"男"</f>
        <v>男</v>
      </c>
    </row>
    <row r="1034" spans="1:4" ht="24" customHeight="1">
      <c r="A1034" t="str">
        <f>"10512020072718234329948"</f>
        <v>10512020072718234329948</v>
      </c>
      <c r="B1034" t="s">
        <v>34</v>
      </c>
      <c r="C1034" t="str">
        <f>"余涛"</f>
        <v>余涛</v>
      </c>
      <c r="D1034" t="str">
        <f>"男"</f>
        <v>男</v>
      </c>
    </row>
    <row r="1035" spans="1:4" ht="24" customHeight="1">
      <c r="A1035" t="str">
        <f>"10512020072718243929949"</f>
        <v>10512020072718243929949</v>
      </c>
      <c r="B1035" t="s">
        <v>48</v>
      </c>
      <c r="C1035" t="str">
        <f>"蒋千"</f>
        <v>蒋千</v>
      </c>
      <c r="D1035" t="str">
        <f>"女"</f>
        <v>女</v>
      </c>
    </row>
    <row r="1036" spans="1:4" ht="24" customHeight="1">
      <c r="A1036" t="str">
        <f>"10512020072718252729950"</f>
        <v>10512020072718252729950</v>
      </c>
      <c r="B1036" t="s">
        <v>6</v>
      </c>
      <c r="C1036" t="str">
        <f>"曾兰杰"</f>
        <v>曾兰杰</v>
      </c>
      <c r="D1036" t="str">
        <f>"女"</f>
        <v>女</v>
      </c>
    </row>
    <row r="1037" spans="1:4" ht="24" customHeight="1">
      <c r="A1037" t="str">
        <f>"10512020072718313629951"</f>
        <v>10512020072718313629951</v>
      </c>
      <c r="B1037" t="s">
        <v>7</v>
      </c>
      <c r="C1037" t="str">
        <f>"雷超"</f>
        <v>雷超</v>
      </c>
      <c r="D1037" t="str">
        <f>"男"</f>
        <v>男</v>
      </c>
    </row>
    <row r="1038" spans="1:4" ht="24" customHeight="1">
      <c r="A1038" t="str">
        <f>"10512020072718324129952"</f>
        <v>10512020072718324129952</v>
      </c>
      <c r="B1038" t="s">
        <v>48</v>
      </c>
      <c r="C1038" t="str">
        <f>"李滨"</f>
        <v>李滨</v>
      </c>
      <c r="D1038" t="str">
        <f>"男"</f>
        <v>男</v>
      </c>
    </row>
    <row r="1039" spans="1:4" ht="24" customHeight="1">
      <c r="A1039" t="str">
        <f>"10512020072718371929953"</f>
        <v>10512020072718371929953</v>
      </c>
      <c r="B1039" t="s">
        <v>11</v>
      </c>
      <c r="C1039" t="str">
        <f>"蒋玮"</f>
        <v>蒋玮</v>
      </c>
      <c r="D1039" t="str">
        <f>"男"</f>
        <v>男</v>
      </c>
    </row>
    <row r="1040" spans="1:4" ht="24" customHeight="1">
      <c r="A1040" t="str">
        <f>"10512020072718375229954"</f>
        <v>10512020072718375229954</v>
      </c>
      <c r="B1040" t="s">
        <v>25</v>
      </c>
      <c r="C1040" t="str">
        <f>"陈婉婷"</f>
        <v>陈婉婷</v>
      </c>
      <c r="D1040" t="str">
        <f>"女"</f>
        <v>女</v>
      </c>
    </row>
    <row r="1041" spans="1:4" ht="24" customHeight="1">
      <c r="A1041" t="str">
        <f>"10512020072718400029955"</f>
        <v>10512020072718400029955</v>
      </c>
      <c r="B1041" t="s">
        <v>34</v>
      </c>
      <c r="C1041" t="str">
        <f>"周韬平"</f>
        <v>周韬平</v>
      </c>
      <c r="D1041" t="str">
        <f>"男"</f>
        <v>男</v>
      </c>
    </row>
    <row r="1042" spans="1:4" ht="24" customHeight="1">
      <c r="A1042" t="str">
        <f>"10512020072718461529956"</f>
        <v>10512020072718461529956</v>
      </c>
      <c r="B1042" t="s">
        <v>38</v>
      </c>
      <c r="C1042" t="str">
        <f>"陈前"</f>
        <v>陈前</v>
      </c>
      <c r="D1042" t="str">
        <f>"女"</f>
        <v>女</v>
      </c>
    </row>
    <row r="1043" spans="1:4" ht="24" customHeight="1">
      <c r="A1043" t="str">
        <f>"10512020072718480429957"</f>
        <v>10512020072718480429957</v>
      </c>
      <c r="B1043" t="s">
        <v>41</v>
      </c>
      <c r="C1043" t="str">
        <f>"龚鹤"</f>
        <v>龚鹤</v>
      </c>
      <c r="D1043" t="str">
        <f>"女"</f>
        <v>女</v>
      </c>
    </row>
    <row r="1044" spans="1:4" ht="24" customHeight="1">
      <c r="A1044" t="str">
        <f>"10512020072718483329958"</f>
        <v>10512020072718483329958</v>
      </c>
      <c r="B1044" t="s">
        <v>27</v>
      </c>
      <c r="C1044" t="str">
        <f>"文操"</f>
        <v>文操</v>
      </c>
      <c r="D1044" t="str">
        <f>"男"</f>
        <v>男</v>
      </c>
    </row>
    <row r="1045" spans="1:4" ht="24" customHeight="1">
      <c r="A1045" t="str">
        <f>"10512020072718490629959"</f>
        <v>10512020072718490629959</v>
      </c>
      <c r="B1045" t="s">
        <v>13</v>
      </c>
      <c r="C1045" t="str">
        <f>"孙玉莲"</f>
        <v>孙玉莲</v>
      </c>
      <c r="D1045" t="str">
        <f>"女"</f>
        <v>女</v>
      </c>
    </row>
    <row r="1046" spans="1:4" ht="24" customHeight="1">
      <c r="A1046" t="str">
        <f>"10512020072718542729960"</f>
        <v>10512020072718542729960</v>
      </c>
      <c r="B1046" t="s">
        <v>9</v>
      </c>
      <c r="C1046" t="str">
        <f>"皇鼎"</f>
        <v>皇鼎</v>
      </c>
      <c r="D1046" t="str">
        <f>"女"</f>
        <v>女</v>
      </c>
    </row>
    <row r="1047" spans="1:4" ht="24" customHeight="1">
      <c r="A1047" t="str">
        <f>"10512020072718595729961"</f>
        <v>10512020072718595729961</v>
      </c>
      <c r="B1047" t="s">
        <v>9</v>
      </c>
      <c r="C1047" t="str">
        <f>"周莎"</f>
        <v>周莎</v>
      </c>
      <c r="D1047" t="str">
        <f>"女"</f>
        <v>女</v>
      </c>
    </row>
    <row r="1048" spans="1:4" ht="24" customHeight="1">
      <c r="A1048" t="str">
        <f>"10512020072719023929962"</f>
        <v>10512020072719023929962</v>
      </c>
      <c r="B1048" t="s">
        <v>10</v>
      </c>
      <c r="C1048" t="str">
        <f>"杜巧林"</f>
        <v>杜巧林</v>
      </c>
      <c r="D1048" t="str">
        <f>"女"</f>
        <v>女</v>
      </c>
    </row>
    <row r="1049" spans="1:4" ht="24" customHeight="1">
      <c r="A1049" t="str">
        <f>"10512020072719041329963"</f>
        <v>10512020072719041329963</v>
      </c>
      <c r="B1049" t="s">
        <v>19</v>
      </c>
      <c r="C1049" t="str">
        <f>"薛成"</f>
        <v>薛成</v>
      </c>
      <c r="D1049" t="str">
        <f>"男"</f>
        <v>男</v>
      </c>
    </row>
    <row r="1050" spans="1:4" ht="24" customHeight="1">
      <c r="A1050" t="str">
        <f>"10512020072719052929964"</f>
        <v>10512020072719052929964</v>
      </c>
      <c r="B1050" t="s">
        <v>41</v>
      </c>
      <c r="C1050" t="str">
        <f>"宋炜婷"</f>
        <v>宋炜婷</v>
      </c>
      <c r="D1050" t="str">
        <f>"女"</f>
        <v>女</v>
      </c>
    </row>
    <row r="1051" spans="1:4" ht="24" customHeight="1">
      <c r="A1051" t="str">
        <f>"10512020072719080029965"</f>
        <v>10512020072719080029965</v>
      </c>
      <c r="B1051" t="s">
        <v>16</v>
      </c>
      <c r="C1051" t="str">
        <f>"谭萍"</f>
        <v>谭萍</v>
      </c>
      <c r="D1051" t="str">
        <f>"女"</f>
        <v>女</v>
      </c>
    </row>
    <row r="1052" spans="1:4" ht="24" customHeight="1">
      <c r="A1052" t="str">
        <f>"10512020072719094529966"</f>
        <v>10512020072719094529966</v>
      </c>
      <c r="B1052" t="s">
        <v>20</v>
      </c>
      <c r="C1052" t="str">
        <f>"文敏"</f>
        <v>文敏</v>
      </c>
      <c r="D1052" t="str">
        <f>"女"</f>
        <v>女</v>
      </c>
    </row>
    <row r="1053" spans="1:4" ht="24" customHeight="1">
      <c r="A1053" t="str">
        <f>"10512020072719104529967"</f>
        <v>10512020072719104529967</v>
      </c>
      <c r="B1053" t="s">
        <v>27</v>
      </c>
      <c r="C1053" t="str">
        <f>"谭强冰"</f>
        <v>谭强冰</v>
      </c>
      <c r="D1053" t="str">
        <f>"男"</f>
        <v>男</v>
      </c>
    </row>
    <row r="1054" spans="1:4" ht="24" customHeight="1">
      <c r="A1054" t="str">
        <f>"10512020072719163329968"</f>
        <v>10512020072719163329968</v>
      </c>
      <c r="B1054" t="s">
        <v>6</v>
      </c>
      <c r="C1054" t="str">
        <f>"赵艳辉"</f>
        <v>赵艳辉</v>
      </c>
      <c r="D1054" t="str">
        <f>"女"</f>
        <v>女</v>
      </c>
    </row>
    <row r="1055" spans="1:4" ht="24" customHeight="1">
      <c r="A1055" t="str">
        <f>"10512020072719173329969"</f>
        <v>10512020072719173329969</v>
      </c>
      <c r="B1055" t="s">
        <v>11</v>
      </c>
      <c r="C1055" t="str">
        <f>"潘雨轩"</f>
        <v>潘雨轩</v>
      </c>
      <c r="D1055" t="str">
        <f>"男"</f>
        <v>男</v>
      </c>
    </row>
    <row r="1056" spans="1:4" ht="24" customHeight="1">
      <c r="A1056" t="str">
        <f>"10512020072719221729970"</f>
        <v>10512020072719221729970</v>
      </c>
      <c r="B1056" t="s">
        <v>13</v>
      </c>
      <c r="C1056" t="str">
        <f>"黄丽"</f>
        <v>黄丽</v>
      </c>
      <c r="D1056" t="str">
        <f>"女"</f>
        <v>女</v>
      </c>
    </row>
    <row r="1057" spans="1:4" ht="24" customHeight="1">
      <c r="A1057" t="str">
        <f>"10512020072719252629971"</f>
        <v>10512020072719252629971</v>
      </c>
      <c r="B1057" t="s">
        <v>31</v>
      </c>
      <c r="C1057" t="str">
        <f>"唐勇"</f>
        <v>唐勇</v>
      </c>
      <c r="D1057" t="str">
        <f>"男"</f>
        <v>男</v>
      </c>
    </row>
    <row r="1058" spans="1:4" ht="24" customHeight="1">
      <c r="A1058" t="str">
        <f>"10512020072719312029972"</f>
        <v>10512020072719312029972</v>
      </c>
      <c r="B1058" t="s">
        <v>36</v>
      </c>
      <c r="C1058" t="str">
        <f>"胡孙"</f>
        <v>胡孙</v>
      </c>
      <c r="D1058" t="str">
        <f>"男"</f>
        <v>男</v>
      </c>
    </row>
    <row r="1059" spans="1:4" ht="24" customHeight="1">
      <c r="A1059" t="str">
        <f>"10512020072719363429973"</f>
        <v>10512020072719363429973</v>
      </c>
      <c r="B1059" t="s">
        <v>21</v>
      </c>
      <c r="C1059" t="str">
        <f>"张帆"</f>
        <v>张帆</v>
      </c>
      <c r="D1059" t="str">
        <f>"女"</f>
        <v>女</v>
      </c>
    </row>
    <row r="1060" spans="1:4" ht="24" customHeight="1">
      <c r="A1060" t="str">
        <f>"10512020072719363729974"</f>
        <v>10512020072719363729974</v>
      </c>
      <c r="B1060" t="s">
        <v>21</v>
      </c>
      <c r="C1060" t="str">
        <f>"周津荟"</f>
        <v>周津荟</v>
      </c>
      <c r="D1060" t="str">
        <f>"女"</f>
        <v>女</v>
      </c>
    </row>
    <row r="1061" spans="1:4" ht="24" customHeight="1">
      <c r="A1061" t="str">
        <f>"10512020072719382829975"</f>
        <v>10512020072719382829975</v>
      </c>
      <c r="B1061" t="s">
        <v>14</v>
      </c>
      <c r="C1061" t="str">
        <f>"刘乐"</f>
        <v>刘乐</v>
      </c>
      <c r="D1061" t="str">
        <f>"女"</f>
        <v>女</v>
      </c>
    </row>
    <row r="1062" spans="1:4" ht="24" customHeight="1">
      <c r="A1062" t="str">
        <f>"10512020072719515929977"</f>
        <v>10512020072719515929977</v>
      </c>
      <c r="B1062" t="s">
        <v>6</v>
      </c>
      <c r="C1062" t="str">
        <f>"孟婕"</f>
        <v>孟婕</v>
      </c>
      <c r="D1062" t="str">
        <f>"女"</f>
        <v>女</v>
      </c>
    </row>
    <row r="1063" spans="1:4" ht="24" customHeight="1">
      <c r="A1063" t="str">
        <f>"10512020072719593529978"</f>
        <v>10512020072719593529978</v>
      </c>
      <c r="B1063" t="s">
        <v>32</v>
      </c>
      <c r="C1063" t="str">
        <f>"梁骐"</f>
        <v>梁骐</v>
      </c>
      <c r="D1063" t="str">
        <f>"女"</f>
        <v>女</v>
      </c>
    </row>
    <row r="1064" spans="1:4" ht="24" customHeight="1">
      <c r="A1064" t="str">
        <f>"10512020072720001429979"</f>
        <v>10512020072720001429979</v>
      </c>
      <c r="B1064" t="s">
        <v>5</v>
      </c>
      <c r="C1064" t="str">
        <f>"陈文"</f>
        <v>陈文</v>
      </c>
      <c r="D1064" t="str">
        <f>"男"</f>
        <v>男</v>
      </c>
    </row>
    <row r="1065" spans="1:4" ht="24" customHeight="1">
      <c r="A1065" t="str">
        <f>"10512020072720033729980"</f>
        <v>10512020072720033729980</v>
      </c>
      <c r="B1065" t="s">
        <v>20</v>
      </c>
      <c r="C1065" t="str">
        <f>"路杨茜"</f>
        <v>路杨茜</v>
      </c>
      <c r="D1065" t="str">
        <f>"女"</f>
        <v>女</v>
      </c>
    </row>
    <row r="1066" spans="1:4" ht="24" customHeight="1">
      <c r="A1066" t="str">
        <f>"10512020072720044729981"</f>
        <v>10512020072720044729981</v>
      </c>
      <c r="B1066" t="s">
        <v>13</v>
      </c>
      <c r="C1066" t="str">
        <f>"田盈化"</f>
        <v>田盈化</v>
      </c>
      <c r="D1066" t="str">
        <f>"女"</f>
        <v>女</v>
      </c>
    </row>
    <row r="1067" spans="1:4" ht="24" customHeight="1">
      <c r="A1067" t="str">
        <f>"10512020072720055529982"</f>
        <v>10512020072720055529982</v>
      </c>
      <c r="B1067" t="s">
        <v>4</v>
      </c>
      <c r="C1067" t="str">
        <f>"杨年恒"</f>
        <v>杨年恒</v>
      </c>
      <c r="D1067" t="str">
        <f>"男"</f>
        <v>男</v>
      </c>
    </row>
    <row r="1068" spans="1:4" ht="24" customHeight="1">
      <c r="A1068" t="str">
        <f>"10512020072720083729983"</f>
        <v>10512020072720083729983</v>
      </c>
      <c r="B1068" t="s">
        <v>13</v>
      </c>
      <c r="C1068" t="str">
        <f>"陈国敏"</f>
        <v>陈国敏</v>
      </c>
      <c r="D1068" t="str">
        <f>"女"</f>
        <v>女</v>
      </c>
    </row>
    <row r="1069" spans="1:4" ht="24" customHeight="1">
      <c r="A1069" t="str">
        <f>"10512020072720112829984"</f>
        <v>10512020072720112829984</v>
      </c>
      <c r="B1069" t="s">
        <v>28</v>
      </c>
      <c r="C1069" t="str">
        <f>"郭思琦"</f>
        <v>郭思琦</v>
      </c>
      <c r="D1069" t="str">
        <f>"女"</f>
        <v>女</v>
      </c>
    </row>
    <row r="1070" spans="1:4" ht="24" customHeight="1">
      <c r="A1070" t="str">
        <f>"10512020072720113229985"</f>
        <v>10512020072720113229985</v>
      </c>
      <c r="B1070" t="s">
        <v>14</v>
      </c>
      <c r="C1070" t="str">
        <f>"姜文臣"</f>
        <v>姜文臣</v>
      </c>
      <c r="D1070" t="str">
        <f>"女"</f>
        <v>女</v>
      </c>
    </row>
    <row r="1071" spans="1:4" ht="24" customHeight="1">
      <c r="A1071" t="str">
        <f>"10512020072720184429986"</f>
        <v>10512020072720184429986</v>
      </c>
      <c r="B1071" t="s">
        <v>30</v>
      </c>
      <c r="C1071" t="str">
        <f>"刘任"</f>
        <v>刘任</v>
      </c>
      <c r="D1071" t="str">
        <f>"男"</f>
        <v>男</v>
      </c>
    </row>
    <row r="1072" spans="1:4" ht="24" customHeight="1">
      <c r="A1072" t="str">
        <f>"10512020072720214729987"</f>
        <v>10512020072720214729987</v>
      </c>
      <c r="B1072" t="s">
        <v>23</v>
      </c>
      <c r="C1072" t="str">
        <f>"崔玉艳"</f>
        <v>崔玉艳</v>
      </c>
      <c r="D1072" t="str">
        <f t="shared" ref="D1072:D1077" si="23">"女"</f>
        <v>女</v>
      </c>
    </row>
    <row r="1073" spans="1:4" ht="24" customHeight="1">
      <c r="A1073" t="str">
        <f>"10512020072720220129988"</f>
        <v>10512020072720220129988</v>
      </c>
      <c r="B1073" t="s">
        <v>41</v>
      </c>
      <c r="C1073" t="str">
        <f>"黄思晴"</f>
        <v>黄思晴</v>
      </c>
      <c r="D1073" t="str">
        <f t="shared" si="23"/>
        <v>女</v>
      </c>
    </row>
    <row r="1074" spans="1:4" ht="24" customHeight="1">
      <c r="A1074" t="str">
        <f>"10512020072720273429989"</f>
        <v>10512020072720273429989</v>
      </c>
      <c r="B1074" t="s">
        <v>10</v>
      </c>
      <c r="C1074" t="str">
        <f>"贺银平"</f>
        <v>贺银平</v>
      </c>
      <c r="D1074" t="str">
        <f t="shared" si="23"/>
        <v>女</v>
      </c>
    </row>
    <row r="1075" spans="1:4" ht="24" customHeight="1">
      <c r="A1075" t="str">
        <f>"10512020072720310429990"</f>
        <v>10512020072720310429990</v>
      </c>
      <c r="B1075" t="s">
        <v>18</v>
      </c>
      <c r="C1075" t="str">
        <f>"施蕾"</f>
        <v>施蕾</v>
      </c>
      <c r="D1075" t="str">
        <f t="shared" si="23"/>
        <v>女</v>
      </c>
    </row>
    <row r="1076" spans="1:4" ht="24" customHeight="1">
      <c r="A1076" t="str">
        <f>"10512020072720343329991"</f>
        <v>10512020072720343329991</v>
      </c>
      <c r="B1076" t="s">
        <v>13</v>
      </c>
      <c r="C1076" t="str">
        <f>"彭小"</f>
        <v>彭小</v>
      </c>
      <c r="D1076" t="str">
        <f t="shared" si="23"/>
        <v>女</v>
      </c>
    </row>
    <row r="1077" spans="1:4" ht="24" customHeight="1">
      <c r="A1077" t="str">
        <f>"10512020072720375529992"</f>
        <v>10512020072720375529992</v>
      </c>
      <c r="B1077" t="s">
        <v>13</v>
      </c>
      <c r="C1077" t="str">
        <f>"刘瑞"</f>
        <v>刘瑞</v>
      </c>
      <c r="D1077" t="str">
        <f t="shared" si="23"/>
        <v>女</v>
      </c>
    </row>
    <row r="1078" spans="1:4" ht="24" customHeight="1">
      <c r="A1078" t="str">
        <f>"10512020072720384029993"</f>
        <v>10512020072720384029993</v>
      </c>
      <c r="B1078" t="s">
        <v>13</v>
      </c>
      <c r="C1078" t="str">
        <f>"田晋铭"</f>
        <v>田晋铭</v>
      </c>
      <c r="D1078" t="str">
        <f t="shared" ref="D1078:D1083" si="24">"男"</f>
        <v>男</v>
      </c>
    </row>
    <row r="1079" spans="1:4" ht="24" customHeight="1">
      <c r="A1079" t="str">
        <f>"10512020072720390929994"</f>
        <v>10512020072720390929994</v>
      </c>
      <c r="B1079" t="s">
        <v>13</v>
      </c>
      <c r="C1079" t="str">
        <f>"赵斌"</f>
        <v>赵斌</v>
      </c>
      <c r="D1079" t="str">
        <f t="shared" si="24"/>
        <v>男</v>
      </c>
    </row>
    <row r="1080" spans="1:4" ht="24" customHeight="1">
      <c r="A1080" t="str">
        <f>"10512020072720414929995"</f>
        <v>10512020072720414929995</v>
      </c>
      <c r="B1080" t="s">
        <v>48</v>
      </c>
      <c r="C1080" t="str">
        <f>"王亚辉"</f>
        <v>王亚辉</v>
      </c>
      <c r="D1080" t="str">
        <f t="shared" si="24"/>
        <v>男</v>
      </c>
    </row>
    <row r="1081" spans="1:4" ht="24" customHeight="1">
      <c r="A1081" t="str">
        <f>"10512020072720491229996"</f>
        <v>10512020072720491229996</v>
      </c>
      <c r="B1081" t="s">
        <v>27</v>
      </c>
      <c r="C1081" t="str">
        <f>"汪杰"</f>
        <v>汪杰</v>
      </c>
      <c r="D1081" t="str">
        <f t="shared" si="24"/>
        <v>男</v>
      </c>
    </row>
    <row r="1082" spans="1:4" ht="24" customHeight="1">
      <c r="A1082" t="str">
        <f>"10512020072720495229997"</f>
        <v>10512020072720495229997</v>
      </c>
      <c r="B1082" t="s">
        <v>6</v>
      </c>
      <c r="C1082" t="str">
        <f>"邢成钢"</f>
        <v>邢成钢</v>
      </c>
      <c r="D1082" t="str">
        <f t="shared" si="24"/>
        <v>男</v>
      </c>
    </row>
    <row r="1083" spans="1:4" ht="24" customHeight="1">
      <c r="A1083" t="str">
        <f>"10512020072720530829998"</f>
        <v>10512020072720530829998</v>
      </c>
      <c r="B1083" t="s">
        <v>19</v>
      </c>
      <c r="C1083" t="str">
        <f>"覃许桐"</f>
        <v>覃许桐</v>
      </c>
      <c r="D1083" t="str">
        <f t="shared" si="24"/>
        <v>男</v>
      </c>
    </row>
    <row r="1084" spans="1:4" ht="24" customHeight="1">
      <c r="A1084" t="str">
        <f>"10512020072720570830000"</f>
        <v>10512020072720570830000</v>
      </c>
      <c r="B1084" t="s">
        <v>28</v>
      </c>
      <c r="C1084" t="str">
        <f>"李伊"</f>
        <v>李伊</v>
      </c>
      <c r="D1084" t="str">
        <f>"女"</f>
        <v>女</v>
      </c>
    </row>
    <row r="1085" spans="1:4" ht="24" customHeight="1">
      <c r="A1085" t="str">
        <f>"10512020072720593630001"</f>
        <v>10512020072720593630001</v>
      </c>
      <c r="B1085" t="s">
        <v>19</v>
      </c>
      <c r="C1085" t="str">
        <f>"杨东红"</f>
        <v>杨东红</v>
      </c>
      <c r="D1085" t="str">
        <f>"男"</f>
        <v>男</v>
      </c>
    </row>
    <row r="1086" spans="1:4" ht="24" customHeight="1">
      <c r="A1086" t="str">
        <f>"10512020072721051930002"</f>
        <v>10512020072721051930002</v>
      </c>
      <c r="B1086" t="s">
        <v>13</v>
      </c>
      <c r="C1086" t="str">
        <f>"陈集烽"</f>
        <v>陈集烽</v>
      </c>
      <c r="D1086" t="str">
        <f>"男"</f>
        <v>男</v>
      </c>
    </row>
    <row r="1087" spans="1:4" ht="24" customHeight="1">
      <c r="A1087" t="str">
        <f>"10512020072721094430003"</f>
        <v>10512020072721094430003</v>
      </c>
      <c r="B1087" t="s">
        <v>30</v>
      </c>
      <c r="C1087" t="str">
        <f>"覃敏"</f>
        <v>覃敏</v>
      </c>
      <c r="D1087" t="str">
        <f>"男"</f>
        <v>男</v>
      </c>
    </row>
    <row r="1088" spans="1:4" ht="24" customHeight="1">
      <c r="A1088" t="str">
        <f>"10512020072721131230004"</f>
        <v>10512020072721131230004</v>
      </c>
      <c r="B1088" t="s">
        <v>9</v>
      </c>
      <c r="C1088" t="str">
        <f>"皮紫薇"</f>
        <v>皮紫薇</v>
      </c>
      <c r="D1088" t="str">
        <f>"女"</f>
        <v>女</v>
      </c>
    </row>
    <row r="1089" spans="1:4" ht="24" customHeight="1">
      <c r="A1089" t="str">
        <f>"10512020072721145030005"</f>
        <v>10512020072721145030005</v>
      </c>
      <c r="B1089" t="s">
        <v>20</v>
      </c>
      <c r="C1089" t="str">
        <f>"唐植平"</f>
        <v>唐植平</v>
      </c>
      <c r="D1089" t="str">
        <f>"男"</f>
        <v>男</v>
      </c>
    </row>
    <row r="1090" spans="1:4" ht="24" customHeight="1">
      <c r="A1090" t="str">
        <f>"10512020072721145230006"</f>
        <v>10512020072721145230006</v>
      </c>
      <c r="B1090" t="s">
        <v>54</v>
      </c>
      <c r="C1090" t="str">
        <f>"石林奇"</f>
        <v>石林奇</v>
      </c>
      <c r="D1090" t="str">
        <f>"女"</f>
        <v>女</v>
      </c>
    </row>
    <row r="1091" spans="1:4" ht="24" customHeight="1">
      <c r="A1091" t="str">
        <f>"10512020072721182330007"</f>
        <v>10512020072721182330007</v>
      </c>
      <c r="B1091" t="s">
        <v>11</v>
      </c>
      <c r="C1091" t="str">
        <f>"莫绘伊"</f>
        <v>莫绘伊</v>
      </c>
      <c r="D1091" t="str">
        <f>"女"</f>
        <v>女</v>
      </c>
    </row>
    <row r="1092" spans="1:4" ht="24" customHeight="1">
      <c r="A1092" t="str">
        <f>"10512020072721213730009"</f>
        <v>10512020072721213730009</v>
      </c>
      <c r="B1092" t="s">
        <v>15</v>
      </c>
      <c r="C1092" t="str">
        <f>"徐杨"</f>
        <v>徐杨</v>
      </c>
      <c r="D1092" t="str">
        <f>"男"</f>
        <v>男</v>
      </c>
    </row>
    <row r="1093" spans="1:4" ht="24" customHeight="1">
      <c r="A1093" t="str">
        <f>"10512020072721220630010"</f>
        <v>10512020072721220630010</v>
      </c>
      <c r="B1093" t="s">
        <v>20</v>
      </c>
      <c r="C1093" t="str">
        <f>"赵诗雅"</f>
        <v>赵诗雅</v>
      </c>
      <c r="D1093" t="str">
        <f>"女"</f>
        <v>女</v>
      </c>
    </row>
    <row r="1094" spans="1:4" ht="24" customHeight="1">
      <c r="A1094" t="str">
        <f>"10512020072721240830011"</f>
        <v>10512020072721240830011</v>
      </c>
      <c r="B1094" t="s">
        <v>16</v>
      </c>
      <c r="C1094" t="str">
        <f>"游志宏"</f>
        <v>游志宏</v>
      </c>
      <c r="D1094" t="str">
        <f>"男"</f>
        <v>男</v>
      </c>
    </row>
    <row r="1095" spans="1:4" ht="24" customHeight="1">
      <c r="A1095" t="str">
        <f>"10512020072721245530012"</f>
        <v>10512020072721245530012</v>
      </c>
      <c r="B1095" t="s">
        <v>9</v>
      </c>
      <c r="C1095" t="str">
        <f>"赵卓宁"</f>
        <v>赵卓宁</v>
      </c>
      <c r="D1095" t="str">
        <f>"女"</f>
        <v>女</v>
      </c>
    </row>
    <row r="1096" spans="1:4" ht="24" customHeight="1">
      <c r="A1096" t="str">
        <f>"10512020072721245630013"</f>
        <v>10512020072721245630013</v>
      </c>
      <c r="B1096" t="s">
        <v>20</v>
      </c>
      <c r="C1096" t="str">
        <f>"卢景洪"</f>
        <v>卢景洪</v>
      </c>
      <c r="D1096" t="str">
        <f>"男"</f>
        <v>男</v>
      </c>
    </row>
    <row r="1097" spans="1:4" ht="24" customHeight="1">
      <c r="A1097" t="str">
        <f>"10512020072721245930014"</f>
        <v>10512020072721245930014</v>
      </c>
      <c r="B1097" t="s">
        <v>19</v>
      </c>
      <c r="C1097" t="str">
        <f>"朱杰"</f>
        <v>朱杰</v>
      </c>
      <c r="D1097" t="str">
        <f>"男"</f>
        <v>男</v>
      </c>
    </row>
    <row r="1098" spans="1:4" ht="24" customHeight="1">
      <c r="A1098" t="str">
        <f>"10512020072721300730015"</f>
        <v>10512020072721300730015</v>
      </c>
      <c r="B1098" t="s">
        <v>38</v>
      </c>
      <c r="C1098" t="str">
        <f>"谢语璇"</f>
        <v>谢语璇</v>
      </c>
      <c r="D1098" t="str">
        <f>"女"</f>
        <v>女</v>
      </c>
    </row>
    <row r="1099" spans="1:4" ht="24" customHeight="1">
      <c r="A1099" t="str">
        <f>"10512020072721331330016"</f>
        <v>10512020072721331330016</v>
      </c>
      <c r="B1099" t="s">
        <v>19</v>
      </c>
      <c r="C1099" t="str">
        <f>"许强"</f>
        <v>许强</v>
      </c>
      <c r="D1099" t="str">
        <f>"男"</f>
        <v>男</v>
      </c>
    </row>
    <row r="1100" spans="1:4" ht="24" customHeight="1">
      <c r="A1100" t="str">
        <f>"10512020072721380930017"</f>
        <v>10512020072721380930017</v>
      </c>
      <c r="B1100" t="s">
        <v>23</v>
      </c>
      <c r="C1100" t="str">
        <f>"李榕榕"</f>
        <v>李榕榕</v>
      </c>
      <c r="D1100" t="str">
        <f>"女"</f>
        <v>女</v>
      </c>
    </row>
    <row r="1101" spans="1:4" ht="24" customHeight="1">
      <c r="A1101" t="str">
        <f>"10512020072721402030018"</f>
        <v>10512020072721402030018</v>
      </c>
      <c r="B1101" t="s">
        <v>16</v>
      </c>
      <c r="C1101" t="str">
        <f>"李巧荣"</f>
        <v>李巧荣</v>
      </c>
      <c r="D1101" t="str">
        <f>"女"</f>
        <v>女</v>
      </c>
    </row>
    <row r="1102" spans="1:4" ht="24" customHeight="1">
      <c r="A1102" t="str">
        <f>"10512020072721404530019"</f>
        <v>10512020072721404530019</v>
      </c>
      <c r="B1102" t="s">
        <v>40</v>
      </c>
      <c r="C1102" t="str">
        <f>"张平"</f>
        <v>张平</v>
      </c>
      <c r="D1102" t="str">
        <f>"女"</f>
        <v>女</v>
      </c>
    </row>
    <row r="1103" spans="1:4" ht="24" customHeight="1">
      <c r="A1103" t="str">
        <f>"10512020072721411430020"</f>
        <v>10512020072721411430020</v>
      </c>
      <c r="B1103" t="s">
        <v>7</v>
      </c>
      <c r="C1103" t="str">
        <f>"吴昊"</f>
        <v>吴昊</v>
      </c>
      <c r="D1103" t="str">
        <f>"女"</f>
        <v>女</v>
      </c>
    </row>
    <row r="1104" spans="1:4" ht="24" customHeight="1">
      <c r="A1104" t="str">
        <f>"10512020072721420930021"</f>
        <v>10512020072721420930021</v>
      </c>
      <c r="B1104" t="s">
        <v>45</v>
      </c>
      <c r="C1104" t="str">
        <f>"刘守杰"</f>
        <v>刘守杰</v>
      </c>
      <c r="D1104" t="str">
        <f>"男"</f>
        <v>男</v>
      </c>
    </row>
    <row r="1105" spans="1:4" ht="24" customHeight="1">
      <c r="A1105" t="str">
        <f>"10512020072721451230022"</f>
        <v>10512020072721451230022</v>
      </c>
      <c r="B1105" t="s">
        <v>45</v>
      </c>
      <c r="C1105" t="str">
        <f>"唐诚"</f>
        <v>唐诚</v>
      </c>
      <c r="D1105" t="str">
        <f>"男"</f>
        <v>男</v>
      </c>
    </row>
    <row r="1106" spans="1:4" ht="24" customHeight="1">
      <c r="A1106" t="str">
        <f>"10512020072721485130023"</f>
        <v>10512020072721485130023</v>
      </c>
      <c r="B1106" t="s">
        <v>30</v>
      </c>
      <c r="C1106" t="str">
        <f>"杨雅淇"</f>
        <v>杨雅淇</v>
      </c>
      <c r="D1106" t="str">
        <f>"女"</f>
        <v>女</v>
      </c>
    </row>
    <row r="1107" spans="1:4" ht="24" customHeight="1">
      <c r="A1107" t="str">
        <f>"10512020072721524530024"</f>
        <v>10512020072721524530024</v>
      </c>
      <c r="B1107" t="s">
        <v>39</v>
      </c>
      <c r="C1107" t="str">
        <f>"李瑶"</f>
        <v>李瑶</v>
      </c>
      <c r="D1107" t="str">
        <f>"女"</f>
        <v>女</v>
      </c>
    </row>
    <row r="1108" spans="1:4" ht="24" customHeight="1">
      <c r="A1108" t="str">
        <f>"10512020072721541630026"</f>
        <v>10512020072721541630026</v>
      </c>
      <c r="B1108" t="s">
        <v>29</v>
      </c>
      <c r="C1108" t="str">
        <f>"刘哲"</f>
        <v>刘哲</v>
      </c>
      <c r="D1108" t="str">
        <f>"男"</f>
        <v>男</v>
      </c>
    </row>
    <row r="1109" spans="1:4" ht="24" customHeight="1">
      <c r="A1109" t="str">
        <f>"10512020072721565430027"</f>
        <v>10512020072721565430027</v>
      </c>
      <c r="B1109" t="s">
        <v>17</v>
      </c>
      <c r="C1109" t="str">
        <f>"曾凡也"</f>
        <v>曾凡也</v>
      </c>
      <c r="D1109" t="str">
        <f>"女"</f>
        <v>女</v>
      </c>
    </row>
    <row r="1110" spans="1:4" ht="24" customHeight="1">
      <c r="A1110" t="str">
        <f>"10512020072721581530028"</f>
        <v>10512020072721581530028</v>
      </c>
      <c r="B1110" t="s">
        <v>27</v>
      </c>
      <c r="C1110" t="str">
        <f>"文峰"</f>
        <v>文峰</v>
      </c>
      <c r="D1110" t="str">
        <f>"男"</f>
        <v>男</v>
      </c>
    </row>
    <row r="1111" spans="1:4" ht="24" customHeight="1">
      <c r="A1111" t="str">
        <f>"10512020072721593630029"</f>
        <v>10512020072721593630029</v>
      </c>
      <c r="B1111" t="s">
        <v>19</v>
      </c>
      <c r="C1111" t="str">
        <f>"王舜"</f>
        <v>王舜</v>
      </c>
      <c r="D1111" t="str">
        <f>"女"</f>
        <v>女</v>
      </c>
    </row>
    <row r="1112" spans="1:4" ht="24" customHeight="1">
      <c r="A1112" t="str">
        <f>"10512020072722013730030"</f>
        <v>10512020072722013730030</v>
      </c>
      <c r="B1112" t="s">
        <v>6</v>
      </c>
      <c r="C1112" t="str">
        <f>"沙湘沅"</f>
        <v>沙湘沅</v>
      </c>
      <c r="D1112" t="str">
        <f>"男"</f>
        <v>男</v>
      </c>
    </row>
    <row r="1113" spans="1:4" ht="24" customHeight="1">
      <c r="A1113" t="str">
        <f>"10512020072722023130031"</f>
        <v>10512020072722023130031</v>
      </c>
      <c r="B1113" t="s">
        <v>20</v>
      </c>
      <c r="C1113" t="str">
        <f>"申鑫"</f>
        <v>申鑫</v>
      </c>
      <c r="D1113" t="str">
        <f>"男"</f>
        <v>男</v>
      </c>
    </row>
    <row r="1114" spans="1:4" ht="24" customHeight="1">
      <c r="A1114" t="str">
        <f>"10512020072722081030032"</f>
        <v>10512020072722081030032</v>
      </c>
      <c r="B1114" t="s">
        <v>20</v>
      </c>
      <c r="C1114" t="str">
        <f>"周田子"</f>
        <v>周田子</v>
      </c>
      <c r="D1114" t="str">
        <f>"女"</f>
        <v>女</v>
      </c>
    </row>
    <row r="1115" spans="1:4" ht="24" customHeight="1">
      <c r="A1115" t="str">
        <f>"10512020072722091230033"</f>
        <v>10512020072722091230033</v>
      </c>
      <c r="B1115" t="s">
        <v>20</v>
      </c>
      <c r="C1115" t="str">
        <f>"李亚波"</f>
        <v>李亚波</v>
      </c>
      <c r="D1115" t="str">
        <f>"男"</f>
        <v>男</v>
      </c>
    </row>
    <row r="1116" spans="1:4" ht="24" customHeight="1">
      <c r="A1116" t="str">
        <f>"10512020072722103630034"</f>
        <v>10512020072722103630034</v>
      </c>
      <c r="B1116" t="s">
        <v>9</v>
      </c>
      <c r="C1116" t="str">
        <f>"聂鹏翔"</f>
        <v>聂鹏翔</v>
      </c>
      <c r="D1116" t="str">
        <f>"男"</f>
        <v>男</v>
      </c>
    </row>
    <row r="1117" spans="1:4" ht="24" customHeight="1">
      <c r="A1117" t="str">
        <f>"10512020072722134730035"</f>
        <v>10512020072722134730035</v>
      </c>
      <c r="B1117" t="s">
        <v>16</v>
      </c>
      <c r="C1117" t="str">
        <f>"王紫红"</f>
        <v>王紫红</v>
      </c>
      <c r="D1117" t="str">
        <f>"女"</f>
        <v>女</v>
      </c>
    </row>
    <row r="1118" spans="1:4" ht="24" customHeight="1">
      <c r="A1118" t="str">
        <f>"10512020072722181530036"</f>
        <v>10512020072722181530036</v>
      </c>
      <c r="B1118" t="s">
        <v>16</v>
      </c>
      <c r="C1118" t="str">
        <f>"陈沅霖"</f>
        <v>陈沅霖</v>
      </c>
      <c r="D1118" t="str">
        <f>"男"</f>
        <v>男</v>
      </c>
    </row>
    <row r="1119" spans="1:4" ht="24" customHeight="1">
      <c r="A1119" t="str">
        <f>"10512020072722191930037"</f>
        <v>10512020072722191930037</v>
      </c>
      <c r="B1119" t="s">
        <v>21</v>
      </c>
      <c r="C1119" t="str">
        <f>"丁乙"</f>
        <v>丁乙</v>
      </c>
      <c r="D1119" t="str">
        <f>"男"</f>
        <v>男</v>
      </c>
    </row>
    <row r="1120" spans="1:4" ht="24" customHeight="1">
      <c r="A1120" t="str">
        <f>"10512020072722203630038"</f>
        <v>10512020072722203630038</v>
      </c>
      <c r="B1120" t="s">
        <v>7</v>
      </c>
      <c r="C1120" t="str">
        <f>"孙裔"</f>
        <v>孙裔</v>
      </c>
      <c r="D1120" t="str">
        <f>"女"</f>
        <v>女</v>
      </c>
    </row>
    <row r="1121" spans="1:4" ht="24" customHeight="1">
      <c r="A1121" t="str">
        <f>"10512020072722215730039"</f>
        <v>10512020072722215730039</v>
      </c>
      <c r="B1121" t="s">
        <v>21</v>
      </c>
      <c r="C1121" t="str">
        <f>"袁黎明"</f>
        <v>袁黎明</v>
      </c>
      <c r="D1121" t="str">
        <f>"男"</f>
        <v>男</v>
      </c>
    </row>
    <row r="1122" spans="1:4" ht="24" customHeight="1">
      <c r="A1122" t="str">
        <f>"10512020072722253630040"</f>
        <v>10512020072722253630040</v>
      </c>
      <c r="B1122" t="s">
        <v>4</v>
      </c>
      <c r="C1122" t="str">
        <f>"雷林"</f>
        <v>雷林</v>
      </c>
      <c r="D1122" t="str">
        <f>"男"</f>
        <v>男</v>
      </c>
    </row>
    <row r="1123" spans="1:4" ht="24" customHeight="1">
      <c r="A1123" t="str">
        <f>"10512020072722332830042"</f>
        <v>10512020072722332830042</v>
      </c>
      <c r="B1123" t="s">
        <v>16</v>
      </c>
      <c r="C1123" t="str">
        <f>"汤幸"</f>
        <v>汤幸</v>
      </c>
      <c r="D1123" t="str">
        <f>"女"</f>
        <v>女</v>
      </c>
    </row>
    <row r="1124" spans="1:4" ht="24" customHeight="1">
      <c r="A1124" t="str">
        <f>"10512020072722340130043"</f>
        <v>10512020072722340130043</v>
      </c>
      <c r="B1124" t="s">
        <v>53</v>
      </c>
      <c r="C1124" t="str">
        <f>"张语嫣"</f>
        <v>张语嫣</v>
      </c>
      <c r="D1124" t="str">
        <f>"女"</f>
        <v>女</v>
      </c>
    </row>
    <row r="1125" spans="1:4" ht="24" customHeight="1">
      <c r="A1125" t="str">
        <f>"10512020072722353930044"</f>
        <v>10512020072722353930044</v>
      </c>
      <c r="B1125" t="s">
        <v>10</v>
      </c>
      <c r="C1125" t="str">
        <f>"胡胜男"</f>
        <v>胡胜男</v>
      </c>
      <c r="D1125" t="str">
        <f>"女"</f>
        <v>女</v>
      </c>
    </row>
    <row r="1126" spans="1:4" ht="24" customHeight="1">
      <c r="A1126" t="str">
        <f>"10512020072722392030045"</f>
        <v>10512020072722392030045</v>
      </c>
      <c r="B1126" t="s">
        <v>21</v>
      </c>
      <c r="C1126" t="str">
        <f>"邹新"</f>
        <v>邹新</v>
      </c>
      <c r="D1126" t="str">
        <f>"女"</f>
        <v>女</v>
      </c>
    </row>
    <row r="1127" spans="1:4" ht="24" customHeight="1">
      <c r="A1127" t="str">
        <f>"10512020072722420730046"</f>
        <v>10512020072722420730046</v>
      </c>
      <c r="B1127" t="s">
        <v>49</v>
      </c>
      <c r="C1127" t="str">
        <f>"郑雅方"</f>
        <v>郑雅方</v>
      </c>
      <c r="D1127" t="str">
        <f>"女"</f>
        <v>女</v>
      </c>
    </row>
    <row r="1128" spans="1:4" ht="24" customHeight="1">
      <c r="A1128" t="str">
        <f>"10512020072722443730047"</f>
        <v>10512020072722443730047</v>
      </c>
      <c r="B1128" t="s">
        <v>34</v>
      </c>
      <c r="C1128" t="str">
        <f>"涂鑫宇"</f>
        <v>涂鑫宇</v>
      </c>
      <c r="D1128" t="str">
        <f>"男"</f>
        <v>男</v>
      </c>
    </row>
    <row r="1129" spans="1:4" ht="24" customHeight="1">
      <c r="A1129" t="str">
        <f>"10512020072722454030048"</f>
        <v>10512020072722454030048</v>
      </c>
      <c r="B1129" t="s">
        <v>13</v>
      </c>
      <c r="C1129" t="str">
        <f>"李曼菁"</f>
        <v>李曼菁</v>
      </c>
      <c r="D1129" t="str">
        <f>"女"</f>
        <v>女</v>
      </c>
    </row>
    <row r="1130" spans="1:4" ht="24" customHeight="1">
      <c r="A1130" t="str">
        <f>"10512020072722454430049"</f>
        <v>10512020072722454430049</v>
      </c>
      <c r="B1130" t="s">
        <v>28</v>
      </c>
      <c r="C1130" t="str">
        <f>"吴晓茵"</f>
        <v>吴晓茵</v>
      </c>
      <c r="D1130" t="str">
        <f>"女"</f>
        <v>女</v>
      </c>
    </row>
    <row r="1131" spans="1:4" ht="24" customHeight="1">
      <c r="A1131" t="str">
        <f>"10512020072722575730050"</f>
        <v>10512020072722575730050</v>
      </c>
      <c r="B1131" t="s">
        <v>48</v>
      </c>
      <c r="C1131" t="str">
        <f>"熊枫"</f>
        <v>熊枫</v>
      </c>
      <c r="D1131" t="str">
        <f>"男"</f>
        <v>男</v>
      </c>
    </row>
    <row r="1132" spans="1:4" ht="24" customHeight="1">
      <c r="A1132" t="str">
        <f>"10512020072722582830051"</f>
        <v>10512020072722582830051</v>
      </c>
      <c r="B1132" t="s">
        <v>21</v>
      </c>
      <c r="C1132" t="str">
        <f>"谢伟豪"</f>
        <v>谢伟豪</v>
      </c>
      <c r="D1132" t="str">
        <f>"男"</f>
        <v>男</v>
      </c>
    </row>
    <row r="1133" spans="1:4" ht="24" customHeight="1">
      <c r="A1133" t="str">
        <f>"10512020072723071330052"</f>
        <v>10512020072723071330052</v>
      </c>
      <c r="B1133" t="s">
        <v>18</v>
      </c>
      <c r="C1133" t="str">
        <f>"余希凯"</f>
        <v>余希凯</v>
      </c>
      <c r="D1133" t="str">
        <f>"男"</f>
        <v>男</v>
      </c>
    </row>
    <row r="1134" spans="1:4" ht="24" customHeight="1">
      <c r="A1134" t="str">
        <f>"10512020072723081330053"</f>
        <v>10512020072723081330053</v>
      </c>
      <c r="B1134" t="s">
        <v>13</v>
      </c>
      <c r="C1134" t="str">
        <f>"李栋"</f>
        <v>李栋</v>
      </c>
      <c r="D1134" t="str">
        <f>"男"</f>
        <v>男</v>
      </c>
    </row>
    <row r="1135" spans="1:4" ht="24" customHeight="1">
      <c r="A1135" t="str">
        <f>"10512020072723203130054"</f>
        <v>10512020072723203130054</v>
      </c>
      <c r="B1135" t="s">
        <v>20</v>
      </c>
      <c r="C1135" t="str">
        <f>"张雅琼"</f>
        <v>张雅琼</v>
      </c>
      <c r="D1135" t="str">
        <f>"女"</f>
        <v>女</v>
      </c>
    </row>
    <row r="1136" spans="1:4" ht="24" customHeight="1">
      <c r="A1136" t="str">
        <f>"10512020072723264030055"</f>
        <v>10512020072723264030055</v>
      </c>
      <c r="B1136" t="s">
        <v>13</v>
      </c>
      <c r="C1136" t="str">
        <f>"马雨曦"</f>
        <v>马雨曦</v>
      </c>
      <c r="D1136" t="str">
        <f>"女"</f>
        <v>女</v>
      </c>
    </row>
    <row r="1137" spans="1:4" ht="24" customHeight="1">
      <c r="A1137" t="str">
        <f>"10512020072723490230056"</f>
        <v>10512020072723490230056</v>
      </c>
      <c r="B1137" t="s">
        <v>20</v>
      </c>
      <c r="C1137" t="str">
        <f>"方园园"</f>
        <v>方园园</v>
      </c>
      <c r="D1137" t="str">
        <f>"女"</f>
        <v>女</v>
      </c>
    </row>
    <row r="1138" spans="1:4" ht="24" customHeight="1">
      <c r="A1138" t="str">
        <f>"10512020072723510030057"</f>
        <v>10512020072723510030057</v>
      </c>
      <c r="B1138" t="s">
        <v>27</v>
      </c>
      <c r="C1138" t="str">
        <f>"田传峰"</f>
        <v>田传峰</v>
      </c>
      <c r="D1138" t="str">
        <f>"男"</f>
        <v>男</v>
      </c>
    </row>
    <row r="1139" spans="1:4" ht="24" customHeight="1">
      <c r="A1139" t="str">
        <f>"10512020072800003530058"</f>
        <v>10512020072800003530058</v>
      </c>
      <c r="B1139" t="s">
        <v>8</v>
      </c>
      <c r="C1139" t="str">
        <f>"丁洁"</f>
        <v>丁洁</v>
      </c>
      <c r="D1139" t="str">
        <f>"女"</f>
        <v>女</v>
      </c>
    </row>
    <row r="1140" spans="1:4" ht="24" customHeight="1">
      <c r="A1140" t="str">
        <f>"10512020072800104130059"</f>
        <v>10512020072800104130059</v>
      </c>
      <c r="B1140" t="s">
        <v>5</v>
      </c>
      <c r="C1140" t="str">
        <f>"熊娇"</f>
        <v>熊娇</v>
      </c>
      <c r="D1140" t="str">
        <f>"女"</f>
        <v>女</v>
      </c>
    </row>
    <row r="1141" spans="1:4" ht="24" customHeight="1">
      <c r="A1141" t="str">
        <f>"10512020072800131130060"</f>
        <v>10512020072800131130060</v>
      </c>
      <c r="B1141" t="s">
        <v>33</v>
      </c>
      <c r="C1141" t="str">
        <f>"刘科汝"</f>
        <v>刘科汝</v>
      </c>
      <c r="D1141" t="str">
        <f>"男"</f>
        <v>男</v>
      </c>
    </row>
    <row r="1142" spans="1:4" ht="24" customHeight="1">
      <c r="A1142" t="str">
        <f>"10512020072800314730061"</f>
        <v>10512020072800314730061</v>
      </c>
      <c r="B1142" t="s">
        <v>20</v>
      </c>
      <c r="C1142" t="str">
        <f>"关美"</f>
        <v>关美</v>
      </c>
      <c r="D1142" t="str">
        <f>"女"</f>
        <v>女</v>
      </c>
    </row>
    <row r="1143" spans="1:4" ht="24" customHeight="1">
      <c r="A1143" t="str">
        <f>"10512020072800460530062"</f>
        <v>10512020072800460530062</v>
      </c>
      <c r="B1143" t="s">
        <v>36</v>
      </c>
      <c r="C1143" t="str">
        <f>"陈依然"</f>
        <v>陈依然</v>
      </c>
      <c r="D1143" t="str">
        <f>"女"</f>
        <v>女</v>
      </c>
    </row>
    <row r="1144" spans="1:4" ht="24" customHeight="1">
      <c r="A1144" t="str">
        <f>"10512020072801183230063"</f>
        <v>10512020072801183230063</v>
      </c>
      <c r="B1144" t="s">
        <v>21</v>
      </c>
      <c r="C1144" t="str">
        <f>"龙梦瀚"</f>
        <v>龙梦瀚</v>
      </c>
      <c r="D1144" t="str">
        <f>"男"</f>
        <v>男</v>
      </c>
    </row>
    <row r="1145" spans="1:4" ht="24" customHeight="1">
      <c r="A1145" t="str">
        <f>"10512020072802140530064"</f>
        <v>10512020072802140530064</v>
      </c>
      <c r="B1145" t="s">
        <v>16</v>
      </c>
      <c r="C1145" t="str">
        <f>"杨林学"</f>
        <v>杨林学</v>
      </c>
      <c r="D1145" t="str">
        <f>"男"</f>
        <v>男</v>
      </c>
    </row>
    <row r="1146" spans="1:4" ht="24" customHeight="1">
      <c r="A1146" t="str">
        <f>"10512020072803500930065"</f>
        <v>10512020072803500930065</v>
      </c>
      <c r="B1146" t="s">
        <v>5</v>
      </c>
      <c r="C1146" t="str">
        <f>"熊力"</f>
        <v>熊力</v>
      </c>
      <c r="D1146" t="str">
        <f>"男"</f>
        <v>男</v>
      </c>
    </row>
    <row r="1147" spans="1:4" ht="24" customHeight="1">
      <c r="A1147" t="str">
        <f>"10512020072806382330066"</f>
        <v>10512020072806382330066</v>
      </c>
      <c r="B1147" t="s">
        <v>11</v>
      </c>
      <c r="C1147" t="str">
        <f>"丁勇"</f>
        <v>丁勇</v>
      </c>
      <c r="D1147" t="str">
        <f>"男"</f>
        <v>男</v>
      </c>
    </row>
    <row r="1148" spans="1:4" ht="24" customHeight="1">
      <c r="A1148" t="str">
        <f>"10512020072807383130067"</f>
        <v>10512020072807383130067</v>
      </c>
      <c r="B1148" t="s">
        <v>30</v>
      </c>
      <c r="C1148" t="str">
        <f>"金敏"</f>
        <v>金敏</v>
      </c>
      <c r="D1148" t="str">
        <f>"女"</f>
        <v>女</v>
      </c>
    </row>
    <row r="1149" spans="1:4" ht="24" customHeight="1">
      <c r="A1149" t="str">
        <f>"10512020072808015330068"</f>
        <v>10512020072808015330068</v>
      </c>
      <c r="B1149" t="s">
        <v>24</v>
      </c>
      <c r="C1149" t="str">
        <f>"郭凯"</f>
        <v>郭凯</v>
      </c>
      <c r="D1149" t="str">
        <f>"男"</f>
        <v>男</v>
      </c>
    </row>
    <row r="1150" spans="1:4" ht="24" customHeight="1">
      <c r="A1150" t="str">
        <f>"10512020072808145330069"</f>
        <v>10512020072808145330069</v>
      </c>
      <c r="B1150" t="s">
        <v>12</v>
      </c>
      <c r="C1150" t="str">
        <f>"郑英杰"</f>
        <v>郑英杰</v>
      </c>
      <c r="D1150" t="str">
        <f>"女"</f>
        <v>女</v>
      </c>
    </row>
    <row r="1151" spans="1:4" ht="24" customHeight="1">
      <c r="A1151" t="str">
        <f>"10512020072808181530071"</f>
        <v>10512020072808181530071</v>
      </c>
      <c r="B1151" t="s">
        <v>6</v>
      </c>
      <c r="C1151" t="str">
        <f>"张云飞"</f>
        <v>张云飞</v>
      </c>
      <c r="D1151" t="str">
        <f>"男"</f>
        <v>男</v>
      </c>
    </row>
    <row r="1152" spans="1:4" ht="24" customHeight="1">
      <c r="A1152" t="str">
        <f>"10512020072808210230072"</f>
        <v>10512020072808210230072</v>
      </c>
      <c r="B1152" t="s">
        <v>30</v>
      </c>
      <c r="C1152" t="str">
        <f>"汪婷婷"</f>
        <v>汪婷婷</v>
      </c>
      <c r="D1152" t="str">
        <f>"女"</f>
        <v>女</v>
      </c>
    </row>
    <row r="1153" spans="1:4" ht="24" customHeight="1">
      <c r="A1153" t="str">
        <f>"10512020072808222630073"</f>
        <v>10512020072808222630073</v>
      </c>
      <c r="B1153" t="s">
        <v>24</v>
      </c>
      <c r="C1153" t="str">
        <f>"王炯"</f>
        <v>王炯</v>
      </c>
      <c r="D1153" t="str">
        <f>"男"</f>
        <v>男</v>
      </c>
    </row>
    <row r="1154" spans="1:4" ht="24" customHeight="1">
      <c r="A1154" t="str">
        <f>"10512020072808235030074"</f>
        <v>10512020072808235030074</v>
      </c>
      <c r="B1154" t="s">
        <v>12</v>
      </c>
      <c r="C1154" t="str">
        <f>"颜小钧"</f>
        <v>颜小钧</v>
      </c>
      <c r="D1154" t="str">
        <f>"男"</f>
        <v>男</v>
      </c>
    </row>
    <row r="1155" spans="1:4" ht="24" customHeight="1">
      <c r="A1155" t="str">
        <f>"10512020072808235230075"</f>
        <v>10512020072808235230075</v>
      </c>
      <c r="B1155" t="s">
        <v>29</v>
      </c>
      <c r="C1155" t="str">
        <f>"刘奕含"</f>
        <v>刘奕含</v>
      </c>
      <c r="D1155" t="str">
        <f>"女"</f>
        <v>女</v>
      </c>
    </row>
    <row r="1156" spans="1:4" ht="24" customHeight="1">
      <c r="A1156" t="str">
        <f>"10512020072808240330076"</f>
        <v>10512020072808240330076</v>
      </c>
      <c r="B1156" t="s">
        <v>13</v>
      </c>
      <c r="C1156" t="str">
        <f>"江纯子"</f>
        <v>江纯子</v>
      </c>
      <c r="D1156" t="str">
        <f>"女"</f>
        <v>女</v>
      </c>
    </row>
    <row r="1157" spans="1:4" ht="24" customHeight="1">
      <c r="A1157" t="str">
        <f>"10512020072808270730077"</f>
        <v>10512020072808270730077</v>
      </c>
      <c r="B1157" t="s">
        <v>12</v>
      </c>
      <c r="C1157" t="str">
        <f>"刘洋"</f>
        <v>刘洋</v>
      </c>
      <c r="D1157" t="str">
        <f>"女"</f>
        <v>女</v>
      </c>
    </row>
    <row r="1158" spans="1:4" ht="24" customHeight="1">
      <c r="A1158" t="str">
        <f>"10512020072808310530078"</f>
        <v>10512020072808310530078</v>
      </c>
      <c r="B1158" t="s">
        <v>53</v>
      </c>
      <c r="C1158" t="str">
        <f>"宋秋怡"</f>
        <v>宋秋怡</v>
      </c>
      <c r="D1158" t="str">
        <f>"女"</f>
        <v>女</v>
      </c>
    </row>
    <row r="1159" spans="1:4" ht="24" customHeight="1">
      <c r="A1159" t="str">
        <f>"10512020072808361330079"</f>
        <v>10512020072808361330079</v>
      </c>
      <c r="B1159" t="s">
        <v>6</v>
      </c>
      <c r="C1159" t="str">
        <f>"杨益权"</f>
        <v>杨益权</v>
      </c>
      <c r="D1159" t="str">
        <f>"男"</f>
        <v>男</v>
      </c>
    </row>
    <row r="1160" spans="1:4" ht="24" customHeight="1">
      <c r="A1160" t="str">
        <f>"10512020072808391930081"</f>
        <v>10512020072808391930081</v>
      </c>
      <c r="B1160" t="s">
        <v>50</v>
      </c>
      <c r="C1160" t="str">
        <f>"黄娩婷"</f>
        <v>黄娩婷</v>
      </c>
      <c r="D1160" t="str">
        <f>"女"</f>
        <v>女</v>
      </c>
    </row>
    <row r="1161" spans="1:4" ht="24" customHeight="1">
      <c r="A1161" t="str">
        <f>"10512020072808412430082"</f>
        <v>10512020072808412430082</v>
      </c>
      <c r="B1161" t="s">
        <v>10</v>
      </c>
      <c r="C1161" t="str">
        <f>"刘宴佳"</f>
        <v>刘宴佳</v>
      </c>
      <c r="D1161" t="str">
        <f>"男"</f>
        <v>男</v>
      </c>
    </row>
    <row r="1162" spans="1:4" ht="24" customHeight="1">
      <c r="A1162" t="str">
        <f>"10512020072808423930083"</f>
        <v>10512020072808423930083</v>
      </c>
      <c r="B1162" t="s">
        <v>27</v>
      </c>
      <c r="C1162" t="str">
        <f>"李宏楠"</f>
        <v>李宏楠</v>
      </c>
      <c r="D1162" t="str">
        <f t="shared" ref="D1162:D1168" si="25">"女"</f>
        <v>女</v>
      </c>
    </row>
    <row r="1163" spans="1:4" ht="24" customHeight="1">
      <c r="A1163" t="str">
        <f>"10512020072808430830084"</f>
        <v>10512020072808430830084</v>
      </c>
      <c r="B1163" t="s">
        <v>13</v>
      </c>
      <c r="C1163" t="str">
        <f>"彭静"</f>
        <v>彭静</v>
      </c>
      <c r="D1163" t="str">
        <f t="shared" si="25"/>
        <v>女</v>
      </c>
    </row>
    <row r="1164" spans="1:4" ht="24" customHeight="1">
      <c r="A1164" t="str">
        <f>"10512020072808443530085"</f>
        <v>10512020072808443530085</v>
      </c>
      <c r="B1164" t="s">
        <v>10</v>
      </c>
      <c r="C1164" t="str">
        <f>"杨红"</f>
        <v>杨红</v>
      </c>
      <c r="D1164" t="str">
        <f t="shared" si="25"/>
        <v>女</v>
      </c>
    </row>
    <row r="1165" spans="1:4" ht="24" customHeight="1">
      <c r="A1165" t="str">
        <f>"10512020072808462530086"</f>
        <v>10512020072808462530086</v>
      </c>
      <c r="B1165" t="s">
        <v>5</v>
      </c>
      <c r="C1165" t="str">
        <f>"胡牡丹"</f>
        <v>胡牡丹</v>
      </c>
      <c r="D1165" t="str">
        <f t="shared" si="25"/>
        <v>女</v>
      </c>
    </row>
    <row r="1166" spans="1:4" ht="24" customHeight="1">
      <c r="A1166" t="str">
        <f>"10512020072808473130087"</f>
        <v>10512020072808473130087</v>
      </c>
      <c r="B1166" t="s">
        <v>40</v>
      </c>
      <c r="C1166" t="str">
        <f>"冯钰"</f>
        <v>冯钰</v>
      </c>
      <c r="D1166" t="str">
        <f t="shared" si="25"/>
        <v>女</v>
      </c>
    </row>
    <row r="1167" spans="1:4" ht="24" customHeight="1">
      <c r="A1167" t="str">
        <f>"10512020072808473330088"</f>
        <v>10512020072808473330088</v>
      </c>
      <c r="B1167" t="s">
        <v>14</v>
      </c>
      <c r="C1167" t="str">
        <f>"朱红业"</f>
        <v>朱红业</v>
      </c>
      <c r="D1167" t="str">
        <f t="shared" si="25"/>
        <v>女</v>
      </c>
    </row>
    <row r="1168" spans="1:4" ht="24" customHeight="1">
      <c r="A1168" t="str">
        <f>"10512020072808485230089"</f>
        <v>10512020072808485230089</v>
      </c>
      <c r="B1168" t="s">
        <v>15</v>
      </c>
      <c r="C1168" t="str">
        <f>"吴玉姣"</f>
        <v>吴玉姣</v>
      </c>
      <c r="D1168" t="str">
        <f t="shared" si="25"/>
        <v>女</v>
      </c>
    </row>
    <row r="1169" spans="1:4" ht="24" customHeight="1">
      <c r="A1169" t="str">
        <f>"10512020072808493630091"</f>
        <v>10512020072808493630091</v>
      </c>
      <c r="B1169" t="s">
        <v>6</v>
      </c>
      <c r="C1169" t="str">
        <f>"任强"</f>
        <v>任强</v>
      </c>
      <c r="D1169" t="str">
        <f>"男"</f>
        <v>男</v>
      </c>
    </row>
    <row r="1170" spans="1:4" ht="24" customHeight="1">
      <c r="A1170" t="str">
        <f>"10512020072808520430092"</f>
        <v>10512020072808520430092</v>
      </c>
      <c r="B1170" t="s">
        <v>11</v>
      </c>
      <c r="C1170" t="str">
        <f>"苏立曼"</f>
        <v>苏立曼</v>
      </c>
      <c r="D1170" t="str">
        <f>"女"</f>
        <v>女</v>
      </c>
    </row>
    <row r="1171" spans="1:4" ht="24" customHeight="1">
      <c r="A1171" t="str">
        <f>"10512020072808524730093"</f>
        <v>10512020072808524730093</v>
      </c>
      <c r="B1171" t="s">
        <v>10</v>
      </c>
      <c r="C1171" t="str">
        <f>"王乐"</f>
        <v>王乐</v>
      </c>
      <c r="D1171" t="str">
        <f>"女"</f>
        <v>女</v>
      </c>
    </row>
    <row r="1172" spans="1:4" ht="24" customHeight="1">
      <c r="A1172" t="str">
        <f>"10512020072808563330094"</f>
        <v>10512020072808563330094</v>
      </c>
      <c r="B1172" t="s">
        <v>4</v>
      </c>
      <c r="C1172" t="str">
        <f>"覃申"</f>
        <v>覃申</v>
      </c>
      <c r="D1172" t="str">
        <f>"男"</f>
        <v>男</v>
      </c>
    </row>
    <row r="1173" spans="1:4" ht="24" customHeight="1">
      <c r="A1173" t="str">
        <f>"10512020072808570730095"</f>
        <v>10512020072808570730095</v>
      </c>
      <c r="B1173" t="s">
        <v>5</v>
      </c>
      <c r="C1173" t="str">
        <f>"杨山"</f>
        <v>杨山</v>
      </c>
      <c r="D1173" t="str">
        <f>"男"</f>
        <v>男</v>
      </c>
    </row>
    <row r="1174" spans="1:4" ht="24" customHeight="1">
      <c r="A1174" t="str">
        <f>"10512020072809001630096"</f>
        <v>10512020072809001630096</v>
      </c>
      <c r="B1174" t="s">
        <v>21</v>
      </c>
      <c r="C1174" t="str">
        <f>"吴琼"</f>
        <v>吴琼</v>
      </c>
      <c r="D1174" t="str">
        <f>"女"</f>
        <v>女</v>
      </c>
    </row>
    <row r="1175" spans="1:4" ht="24" customHeight="1">
      <c r="A1175" t="str">
        <f>"10512020072809002430097"</f>
        <v>10512020072809002430097</v>
      </c>
      <c r="B1175" t="s">
        <v>10</v>
      </c>
      <c r="C1175" t="str">
        <f>"丁子豪"</f>
        <v>丁子豪</v>
      </c>
      <c r="D1175" t="str">
        <f>"男"</f>
        <v>男</v>
      </c>
    </row>
    <row r="1176" spans="1:4" ht="24" customHeight="1">
      <c r="A1176" t="str">
        <f>"10512020072809004430098"</f>
        <v>10512020072809004430098</v>
      </c>
      <c r="B1176" t="s">
        <v>28</v>
      </c>
      <c r="C1176" t="str">
        <f>"龚胜兰"</f>
        <v>龚胜兰</v>
      </c>
      <c r="D1176" t="str">
        <f>"女"</f>
        <v>女</v>
      </c>
    </row>
    <row r="1177" spans="1:4" ht="24" customHeight="1">
      <c r="A1177" t="str">
        <f>"10512020072809034130099"</f>
        <v>10512020072809034130099</v>
      </c>
      <c r="B1177" t="s">
        <v>48</v>
      </c>
      <c r="C1177" t="str">
        <f>"黄志刚"</f>
        <v>黄志刚</v>
      </c>
      <c r="D1177" t="str">
        <f>"男"</f>
        <v>男</v>
      </c>
    </row>
    <row r="1178" spans="1:4" ht="24" customHeight="1">
      <c r="A1178" t="str">
        <f>"10512020072809050030100"</f>
        <v>10512020072809050030100</v>
      </c>
      <c r="B1178" t="s">
        <v>10</v>
      </c>
      <c r="C1178" t="str">
        <f>"李威"</f>
        <v>李威</v>
      </c>
      <c r="D1178" t="str">
        <f>"男"</f>
        <v>男</v>
      </c>
    </row>
    <row r="1179" spans="1:4" ht="24" customHeight="1">
      <c r="A1179" t="str">
        <f>"10512020072809050530101"</f>
        <v>10512020072809050530101</v>
      </c>
      <c r="B1179" t="s">
        <v>24</v>
      </c>
      <c r="C1179" t="str">
        <f>"胡密"</f>
        <v>胡密</v>
      </c>
      <c r="D1179" t="str">
        <f>"女"</f>
        <v>女</v>
      </c>
    </row>
    <row r="1180" spans="1:4" ht="24" customHeight="1">
      <c r="A1180" t="str">
        <f>"10512020072809060930102"</f>
        <v>10512020072809060930102</v>
      </c>
      <c r="B1180" t="s">
        <v>34</v>
      </c>
      <c r="C1180" t="str">
        <f>"方妮"</f>
        <v>方妮</v>
      </c>
      <c r="D1180" t="str">
        <f>"女"</f>
        <v>女</v>
      </c>
    </row>
    <row r="1181" spans="1:4" ht="24" customHeight="1">
      <c r="A1181" t="str">
        <f>"10512020072809081230103"</f>
        <v>10512020072809081230103</v>
      </c>
      <c r="B1181" t="s">
        <v>9</v>
      </c>
      <c r="C1181" t="str">
        <f>"刘沛东"</f>
        <v>刘沛东</v>
      </c>
      <c r="D1181" t="str">
        <f>"男"</f>
        <v>男</v>
      </c>
    </row>
    <row r="1182" spans="1:4" ht="24" customHeight="1">
      <c r="A1182" t="str">
        <f>"10512020072809084530104"</f>
        <v>10512020072809084530104</v>
      </c>
      <c r="B1182" t="s">
        <v>16</v>
      </c>
      <c r="C1182" t="str">
        <f>"黄超"</f>
        <v>黄超</v>
      </c>
      <c r="D1182" t="str">
        <f>"男"</f>
        <v>男</v>
      </c>
    </row>
    <row r="1183" spans="1:4" ht="24" customHeight="1">
      <c r="A1183" t="str">
        <f>"10512020072809105730105"</f>
        <v>10512020072809105730105</v>
      </c>
      <c r="B1183" t="s">
        <v>41</v>
      </c>
      <c r="C1183" t="str">
        <f>"江鸿"</f>
        <v>江鸿</v>
      </c>
      <c r="D1183" t="str">
        <f>"男"</f>
        <v>男</v>
      </c>
    </row>
    <row r="1184" spans="1:4" ht="24" customHeight="1">
      <c r="A1184" t="str">
        <f>"10512020072809113130106"</f>
        <v>10512020072809113130106</v>
      </c>
      <c r="B1184" t="s">
        <v>12</v>
      </c>
      <c r="C1184" t="str">
        <f>"钟磬"</f>
        <v>钟磬</v>
      </c>
      <c r="D1184" t="str">
        <f>"女"</f>
        <v>女</v>
      </c>
    </row>
    <row r="1185" spans="1:4" ht="24" customHeight="1">
      <c r="A1185" t="str">
        <f>"10512020072809131030107"</f>
        <v>10512020072809131030107</v>
      </c>
      <c r="B1185" t="s">
        <v>21</v>
      </c>
      <c r="C1185" t="str">
        <f>"肖佳妤"</f>
        <v>肖佳妤</v>
      </c>
      <c r="D1185" t="str">
        <f>"女"</f>
        <v>女</v>
      </c>
    </row>
    <row r="1186" spans="1:4" ht="24" customHeight="1">
      <c r="A1186" t="str">
        <f>"10512020072809134530108"</f>
        <v>10512020072809134530108</v>
      </c>
      <c r="B1186" t="s">
        <v>27</v>
      </c>
      <c r="C1186" t="str">
        <f>"罗剑"</f>
        <v>罗剑</v>
      </c>
      <c r="D1186" t="str">
        <f>"男"</f>
        <v>男</v>
      </c>
    </row>
    <row r="1187" spans="1:4" ht="24" customHeight="1">
      <c r="A1187" t="str">
        <f>"10512020072809135630109"</f>
        <v>10512020072809135630109</v>
      </c>
      <c r="B1187" t="s">
        <v>7</v>
      </c>
      <c r="C1187" t="str">
        <f>"刘湘君"</f>
        <v>刘湘君</v>
      </c>
      <c r="D1187" t="str">
        <f>"女"</f>
        <v>女</v>
      </c>
    </row>
    <row r="1188" spans="1:4" ht="24" customHeight="1">
      <c r="A1188" t="str">
        <f>"10512020072809160830110"</f>
        <v>10512020072809160830110</v>
      </c>
      <c r="B1188" t="s">
        <v>7</v>
      </c>
      <c r="C1188" t="str">
        <f>"王子祎"</f>
        <v>王子祎</v>
      </c>
      <c r="D1188" t="str">
        <f>"男"</f>
        <v>男</v>
      </c>
    </row>
    <row r="1189" spans="1:4" ht="24" customHeight="1">
      <c r="A1189" t="str">
        <f>"10512020072809183930111"</f>
        <v>10512020072809183930111</v>
      </c>
      <c r="B1189" t="s">
        <v>28</v>
      </c>
      <c r="C1189" t="str">
        <f>"孙梦媛"</f>
        <v>孙梦媛</v>
      </c>
      <c r="D1189" t="str">
        <f>"女"</f>
        <v>女</v>
      </c>
    </row>
    <row r="1190" spans="1:4" ht="24" customHeight="1">
      <c r="A1190" t="str">
        <f>"10512020072809192630112"</f>
        <v>10512020072809192630112</v>
      </c>
      <c r="B1190" t="s">
        <v>43</v>
      </c>
      <c r="C1190" t="str">
        <f>"胡婷"</f>
        <v>胡婷</v>
      </c>
      <c r="D1190" t="str">
        <f>"女"</f>
        <v>女</v>
      </c>
    </row>
    <row r="1191" spans="1:4" ht="24" customHeight="1">
      <c r="A1191" t="str">
        <f>"10512020072809192930113"</f>
        <v>10512020072809192930113</v>
      </c>
      <c r="B1191" t="s">
        <v>21</v>
      </c>
      <c r="C1191" t="str">
        <f>"柳亚"</f>
        <v>柳亚</v>
      </c>
      <c r="D1191" t="str">
        <f>"女"</f>
        <v>女</v>
      </c>
    </row>
    <row r="1192" spans="1:4" ht="24" customHeight="1">
      <c r="A1192" t="str">
        <f>"10512020072809213030114"</f>
        <v>10512020072809213030114</v>
      </c>
      <c r="B1192" t="s">
        <v>5</v>
      </c>
      <c r="C1192" t="str">
        <f>"涂振湘"</f>
        <v>涂振湘</v>
      </c>
      <c r="D1192" t="str">
        <f>"男"</f>
        <v>男</v>
      </c>
    </row>
    <row r="1193" spans="1:4" ht="24" customHeight="1">
      <c r="A1193" t="str">
        <f>"10512020072809231330115"</f>
        <v>10512020072809231330115</v>
      </c>
      <c r="B1193" t="s">
        <v>6</v>
      </c>
      <c r="C1193" t="str">
        <f>"杨芯茹"</f>
        <v>杨芯茹</v>
      </c>
      <c r="D1193" t="str">
        <f>"女"</f>
        <v>女</v>
      </c>
    </row>
    <row r="1194" spans="1:4" ht="24" customHeight="1">
      <c r="A1194" t="str">
        <f>"10512020072809235830117"</f>
        <v>10512020072809235830117</v>
      </c>
      <c r="B1194" t="s">
        <v>54</v>
      </c>
      <c r="C1194" t="str">
        <f>"禹小萍"</f>
        <v>禹小萍</v>
      </c>
      <c r="D1194" t="str">
        <f>"女"</f>
        <v>女</v>
      </c>
    </row>
    <row r="1195" spans="1:4" ht="24" customHeight="1">
      <c r="A1195" t="str">
        <f>"10512020072809252130118"</f>
        <v>10512020072809252130118</v>
      </c>
      <c r="B1195" t="s">
        <v>27</v>
      </c>
      <c r="C1195" t="str">
        <f>"孟姣"</f>
        <v>孟姣</v>
      </c>
      <c r="D1195" t="str">
        <f>"女"</f>
        <v>女</v>
      </c>
    </row>
    <row r="1196" spans="1:4" ht="24" customHeight="1">
      <c r="A1196" t="str">
        <f>"10512020072809305630120"</f>
        <v>10512020072809305630120</v>
      </c>
      <c r="B1196" t="s">
        <v>6</v>
      </c>
      <c r="C1196" t="str">
        <f>"龚成明"</f>
        <v>龚成明</v>
      </c>
      <c r="D1196" t="str">
        <f>"男"</f>
        <v>男</v>
      </c>
    </row>
    <row r="1197" spans="1:4" ht="24" customHeight="1">
      <c r="A1197" t="str">
        <f>"10512020072809332530121"</f>
        <v>10512020072809332530121</v>
      </c>
      <c r="B1197" t="s">
        <v>27</v>
      </c>
      <c r="C1197" t="str">
        <f>"杨威"</f>
        <v>杨威</v>
      </c>
      <c r="D1197" t="str">
        <f>"男"</f>
        <v>男</v>
      </c>
    </row>
    <row r="1198" spans="1:4" ht="24" customHeight="1">
      <c r="A1198" t="str">
        <f>"10512020072809350330122"</f>
        <v>10512020072809350330122</v>
      </c>
      <c r="B1198" t="s">
        <v>14</v>
      </c>
      <c r="C1198" t="str">
        <f>"余静文"</f>
        <v>余静文</v>
      </c>
      <c r="D1198" t="str">
        <f>"女"</f>
        <v>女</v>
      </c>
    </row>
    <row r="1199" spans="1:4" ht="24" customHeight="1">
      <c r="A1199" t="str">
        <f>"10512020072809360430123"</f>
        <v>10512020072809360430123</v>
      </c>
      <c r="B1199" t="s">
        <v>4</v>
      </c>
      <c r="C1199" t="str">
        <f>"黄立华"</f>
        <v>黄立华</v>
      </c>
      <c r="D1199" t="str">
        <f>"男"</f>
        <v>男</v>
      </c>
    </row>
    <row r="1200" spans="1:4" ht="24" customHeight="1">
      <c r="A1200" t="str">
        <f>"10512020072809374030124"</f>
        <v>10512020072809374030124</v>
      </c>
      <c r="B1200" t="s">
        <v>36</v>
      </c>
      <c r="C1200" t="str">
        <f>"程思"</f>
        <v>程思</v>
      </c>
      <c r="D1200" t="str">
        <f t="shared" ref="D1200:D1207" si="26">"女"</f>
        <v>女</v>
      </c>
    </row>
    <row r="1201" spans="1:4" ht="24" customHeight="1">
      <c r="A1201" t="str">
        <f>"10512020072809380930125"</f>
        <v>10512020072809380930125</v>
      </c>
      <c r="B1201" t="s">
        <v>6</v>
      </c>
      <c r="C1201" t="str">
        <f>"任雨"</f>
        <v>任雨</v>
      </c>
      <c r="D1201" t="str">
        <f t="shared" si="26"/>
        <v>女</v>
      </c>
    </row>
    <row r="1202" spans="1:4" ht="24" customHeight="1">
      <c r="A1202" t="str">
        <f>"10512020072809384130126"</f>
        <v>10512020072809384130126</v>
      </c>
      <c r="B1202" t="s">
        <v>6</v>
      </c>
      <c r="C1202" t="str">
        <f>"罗依依"</f>
        <v>罗依依</v>
      </c>
      <c r="D1202" t="str">
        <f t="shared" si="26"/>
        <v>女</v>
      </c>
    </row>
    <row r="1203" spans="1:4" ht="24" customHeight="1">
      <c r="A1203" t="str">
        <f>"10512020072809405530127"</f>
        <v>10512020072809405530127</v>
      </c>
      <c r="B1203" t="s">
        <v>7</v>
      </c>
      <c r="C1203" t="str">
        <f>"黄胜兰"</f>
        <v>黄胜兰</v>
      </c>
      <c r="D1203" t="str">
        <f t="shared" si="26"/>
        <v>女</v>
      </c>
    </row>
    <row r="1204" spans="1:4" ht="24" customHeight="1">
      <c r="A1204" t="str">
        <f>"10512020072809434630129"</f>
        <v>10512020072809434630129</v>
      </c>
      <c r="B1204" t="s">
        <v>13</v>
      </c>
      <c r="C1204" t="str">
        <f>"宾欣"</f>
        <v>宾欣</v>
      </c>
      <c r="D1204" t="str">
        <f t="shared" si="26"/>
        <v>女</v>
      </c>
    </row>
    <row r="1205" spans="1:4" ht="24" customHeight="1">
      <c r="A1205" t="str">
        <f>"10512020072809443930131"</f>
        <v>10512020072809443930131</v>
      </c>
      <c r="B1205" t="s">
        <v>16</v>
      </c>
      <c r="C1205" t="str">
        <f>"周静"</f>
        <v>周静</v>
      </c>
      <c r="D1205" t="str">
        <f t="shared" si="26"/>
        <v>女</v>
      </c>
    </row>
    <row r="1206" spans="1:4" ht="24" customHeight="1">
      <c r="A1206" t="str">
        <f>"10512020072809490930132"</f>
        <v>10512020072809490930132</v>
      </c>
      <c r="B1206" t="s">
        <v>33</v>
      </c>
      <c r="C1206" t="str">
        <f>"张小霞"</f>
        <v>张小霞</v>
      </c>
      <c r="D1206" t="str">
        <f t="shared" si="26"/>
        <v>女</v>
      </c>
    </row>
    <row r="1207" spans="1:4" ht="24" customHeight="1">
      <c r="A1207" t="str">
        <f>"10512020072809492630133"</f>
        <v>10512020072809492630133</v>
      </c>
      <c r="B1207" t="s">
        <v>28</v>
      </c>
      <c r="C1207" t="str">
        <f>"彭惟楚"</f>
        <v>彭惟楚</v>
      </c>
      <c r="D1207" t="str">
        <f t="shared" si="26"/>
        <v>女</v>
      </c>
    </row>
    <row r="1208" spans="1:4" ht="24" customHeight="1">
      <c r="A1208" t="str">
        <f>"10512020072809514430134"</f>
        <v>10512020072809514430134</v>
      </c>
      <c r="B1208" t="s">
        <v>21</v>
      </c>
      <c r="C1208" t="str">
        <f>"田中祎"</f>
        <v>田中祎</v>
      </c>
      <c r="D1208" t="str">
        <f>"男"</f>
        <v>男</v>
      </c>
    </row>
    <row r="1209" spans="1:4" ht="24" customHeight="1">
      <c r="A1209" t="str">
        <f>"10512020072809514930135"</f>
        <v>10512020072809514930135</v>
      </c>
      <c r="B1209" t="s">
        <v>16</v>
      </c>
      <c r="C1209" t="str">
        <f>"胡敏"</f>
        <v>胡敏</v>
      </c>
      <c r="D1209" t="str">
        <f>"女"</f>
        <v>女</v>
      </c>
    </row>
    <row r="1210" spans="1:4" ht="24" customHeight="1">
      <c r="A1210" t="str">
        <f>"10512020072809533130136"</f>
        <v>10512020072809533130136</v>
      </c>
      <c r="B1210" t="s">
        <v>12</v>
      </c>
      <c r="C1210" t="str">
        <f>"郭萍"</f>
        <v>郭萍</v>
      </c>
      <c r="D1210" t="str">
        <f>"女"</f>
        <v>女</v>
      </c>
    </row>
    <row r="1211" spans="1:4" ht="24" customHeight="1">
      <c r="A1211" t="str">
        <f>"10512020072809542630137"</f>
        <v>10512020072809542630137</v>
      </c>
      <c r="B1211" t="s">
        <v>18</v>
      </c>
      <c r="C1211" t="str">
        <f>"张林"</f>
        <v>张林</v>
      </c>
      <c r="D1211" t="str">
        <f>"男"</f>
        <v>男</v>
      </c>
    </row>
    <row r="1212" spans="1:4" ht="24" customHeight="1">
      <c r="A1212" t="str">
        <f>"10512020072809565230138"</f>
        <v>10512020072809565230138</v>
      </c>
      <c r="B1212" t="s">
        <v>50</v>
      </c>
      <c r="C1212" t="str">
        <f>"李卓"</f>
        <v>李卓</v>
      </c>
      <c r="D1212" t="str">
        <f>"男"</f>
        <v>男</v>
      </c>
    </row>
    <row r="1213" spans="1:4" ht="24" customHeight="1">
      <c r="A1213" t="str">
        <f>"10512020072809571530139"</f>
        <v>10512020072809571530139</v>
      </c>
      <c r="B1213" t="s">
        <v>22</v>
      </c>
      <c r="C1213" t="str">
        <f>"徐卓"</f>
        <v>徐卓</v>
      </c>
      <c r="D1213" t="str">
        <f>"男"</f>
        <v>男</v>
      </c>
    </row>
    <row r="1214" spans="1:4" ht="24" customHeight="1">
      <c r="A1214" t="str">
        <f>"10512020072809573930140"</f>
        <v>10512020072809573930140</v>
      </c>
      <c r="B1214" t="s">
        <v>41</v>
      </c>
      <c r="C1214" t="str">
        <f>"李阳"</f>
        <v>李阳</v>
      </c>
      <c r="D1214" t="str">
        <f>"女"</f>
        <v>女</v>
      </c>
    </row>
    <row r="1215" spans="1:4" ht="24" customHeight="1">
      <c r="A1215" t="str">
        <f>"10512020072809592730141"</f>
        <v>10512020072809592730141</v>
      </c>
      <c r="B1215" t="s">
        <v>10</v>
      </c>
      <c r="C1215" t="str">
        <f>"黄涛"</f>
        <v>黄涛</v>
      </c>
      <c r="D1215" t="str">
        <f>"男"</f>
        <v>男</v>
      </c>
    </row>
    <row r="1216" spans="1:4" ht="24" customHeight="1">
      <c r="A1216" t="str">
        <f>"10512020072810012630142"</f>
        <v>10512020072810012630142</v>
      </c>
      <c r="B1216" t="s">
        <v>21</v>
      </c>
      <c r="C1216" t="str">
        <f>"胡杨"</f>
        <v>胡杨</v>
      </c>
      <c r="D1216" t="str">
        <f>"男"</f>
        <v>男</v>
      </c>
    </row>
    <row r="1217" spans="1:4" ht="24" customHeight="1">
      <c r="A1217" t="str">
        <f>"10512020072810021830143"</f>
        <v>10512020072810021830143</v>
      </c>
      <c r="B1217" t="s">
        <v>11</v>
      </c>
      <c r="C1217" t="str">
        <f>"何若兰"</f>
        <v>何若兰</v>
      </c>
      <c r="D1217" t="str">
        <f>"女"</f>
        <v>女</v>
      </c>
    </row>
    <row r="1218" spans="1:4" ht="24" customHeight="1">
      <c r="A1218" t="str">
        <f>"10512020072810050930144"</f>
        <v>10512020072810050930144</v>
      </c>
      <c r="B1218" t="s">
        <v>49</v>
      </c>
      <c r="C1218" t="str">
        <f>"谭莉"</f>
        <v>谭莉</v>
      </c>
      <c r="D1218" t="str">
        <f>"女"</f>
        <v>女</v>
      </c>
    </row>
    <row r="1219" spans="1:4" ht="24" customHeight="1">
      <c r="A1219" t="str">
        <f>"10512020072810065730145"</f>
        <v>10512020072810065730145</v>
      </c>
      <c r="B1219" t="s">
        <v>26</v>
      </c>
      <c r="C1219" t="str">
        <f>"孙迪"</f>
        <v>孙迪</v>
      </c>
      <c r="D1219" t="str">
        <f>"男"</f>
        <v>男</v>
      </c>
    </row>
    <row r="1220" spans="1:4" ht="24" customHeight="1">
      <c r="A1220" t="str">
        <f>"10512020072810074330146"</f>
        <v>10512020072810074330146</v>
      </c>
      <c r="B1220" t="s">
        <v>21</v>
      </c>
      <c r="C1220" t="str">
        <f>"杨龙"</f>
        <v>杨龙</v>
      </c>
      <c r="D1220" t="str">
        <f>"女"</f>
        <v>女</v>
      </c>
    </row>
    <row r="1221" spans="1:4" ht="24" customHeight="1">
      <c r="A1221" t="str">
        <f>"10512020072810093930147"</f>
        <v>10512020072810093930147</v>
      </c>
      <c r="B1221" t="s">
        <v>34</v>
      </c>
      <c r="C1221" t="str">
        <f>"王伟"</f>
        <v>王伟</v>
      </c>
      <c r="D1221" t="str">
        <f>"男"</f>
        <v>男</v>
      </c>
    </row>
    <row r="1222" spans="1:4" ht="24" customHeight="1">
      <c r="A1222" t="str">
        <f>"10512020072810095030148"</f>
        <v>10512020072810095030148</v>
      </c>
      <c r="B1222" t="s">
        <v>8</v>
      </c>
      <c r="C1222" t="str">
        <f>"焦伟"</f>
        <v>焦伟</v>
      </c>
      <c r="D1222" t="str">
        <f>"男"</f>
        <v>男</v>
      </c>
    </row>
    <row r="1223" spans="1:4" ht="24" customHeight="1">
      <c r="A1223" t="str">
        <f>"10512020072810105630149"</f>
        <v>10512020072810105630149</v>
      </c>
      <c r="B1223" t="s">
        <v>13</v>
      </c>
      <c r="C1223" t="str">
        <f>"罗焱"</f>
        <v>罗焱</v>
      </c>
      <c r="D1223" t="str">
        <f>"女"</f>
        <v>女</v>
      </c>
    </row>
    <row r="1224" spans="1:4" ht="24" customHeight="1">
      <c r="A1224" t="str">
        <f>"10512020072810111930151"</f>
        <v>10512020072810111930151</v>
      </c>
      <c r="B1224" t="s">
        <v>41</v>
      </c>
      <c r="C1224" t="str">
        <f>"姚静雯"</f>
        <v>姚静雯</v>
      </c>
      <c r="D1224" t="str">
        <f>"女"</f>
        <v>女</v>
      </c>
    </row>
    <row r="1225" spans="1:4" ht="24" customHeight="1">
      <c r="A1225" t="str">
        <f>"10512020072810125430152"</f>
        <v>10512020072810125430152</v>
      </c>
      <c r="B1225" t="s">
        <v>10</v>
      </c>
      <c r="C1225" t="str">
        <f>"黄为"</f>
        <v>黄为</v>
      </c>
      <c r="D1225" t="str">
        <f>"女"</f>
        <v>女</v>
      </c>
    </row>
    <row r="1226" spans="1:4" ht="24" customHeight="1">
      <c r="A1226" t="str">
        <f>"10512020072810125730153"</f>
        <v>10512020072810125730153</v>
      </c>
      <c r="B1226" t="s">
        <v>7</v>
      </c>
      <c r="C1226" t="str">
        <f>"邹颖"</f>
        <v>邹颖</v>
      </c>
      <c r="D1226" t="str">
        <f>"女"</f>
        <v>女</v>
      </c>
    </row>
    <row r="1227" spans="1:4" ht="24" customHeight="1">
      <c r="A1227" t="str">
        <f>"10512020072810135130154"</f>
        <v>10512020072810135130154</v>
      </c>
      <c r="B1227" t="s">
        <v>12</v>
      </c>
      <c r="C1227" t="str">
        <f>"李嘉莉"</f>
        <v>李嘉莉</v>
      </c>
      <c r="D1227" t="str">
        <f>"女"</f>
        <v>女</v>
      </c>
    </row>
    <row r="1228" spans="1:4" ht="24" customHeight="1">
      <c r="A1228" t="str">
        <f>"10512020072810141030155"</f>
        <v>10512020072810141030155</v>
      </c>
      <c r="B1228" t="s">
        <v>18</v>
      </c>
      <c r="C1228" t="str">
        <f>"彭博"</f>
        <v>彭博</v>
      </c>
      <c r="D1228" t="str">
        <f>"男"</f>
        <v>男</v>
      </c>
    </row>
    <row r="1229" spans="1:4" ht="24" customHeight="1">
      <c r="A1229" t="str">
        <f>"10512020072810160330156"</f>
        <v>10512020072810160330156</v>
      </c>
      <c r="B1229" t="s">
        <v>9</v>
      </c>
      <c r="C1229" t="str">
        <f>"陈新智"</f>
        <v>陈新智</v>
      </c>
      <c r="D1229" t="str">
        <f>"女"</f>
        <v>女</v>
      </c>
    </row>
    <row r="1230" spans="1:4" ht="24" customHeight="1">
      <c r="A1230" t="str">
        <f>"10512020072810183130157"</f>
        <v>10512020072810183130157</v>
      </c>
      <c r="B1230" t="s">
        <v>30</v>
      </c>
      <c r="C1230" t="str">
        <f>"施俊"</f>
        <v>施俊</v>
      </c>
      <c r="D1230" t="str">
        <f>"男"</f>
        <v>男</v>
      </c>
    </row>
    <row r="1231" spans="1:4" ht="24" customHeight="1">
      <c r="A1231" t="str">
        <f>"10512020072810203530158"</f>
        <v>10512020072810203530158</v>
      </c>
      <c r="B1231" t="s">
        <v>26</v>
      </c>
      <c r="C1231" t="str">
        <f>"刘玉雄"</f>
        <v>刘玉雄</v>
      </c>
      <c r="D1231" t="str">
        <f>"男"</f>
        <v>男</v>
      </c>
    </row>
    <row r="1232" spans="1:4" ht="24" customHeight="1">
      <c r="A1232" t="str">
        <f>"10512020072810211630159"</f>
        <v>10512020072810211630159</v>
      </c>
      <c r="B1232" t="s">
        <v>56</v>
      </c>
      <c r="C1232" t="str">
        <f>"杨倩"</f>
        <v>杨倩</v>
      </c>
      <c r="D1232" t="str">
        <f>"女"</f>
        <v>女</v>
      </c>
    </row>
    <row r="1233" spans="1:4" ht="24" customHeight="1">
      <c r="A1233" t="str">
        <f>"10512020072810222330160"</f>
        <v>10512020072810222330160</v>
      </c>
      <c r="B1233" t="s">
        <v>13</v>
      </c>
      <c r="C1233" t="str">
        <f>"邓仕奇"</f>
        <v>邓仕奇</v>
      </c>
      <c r="D1233" t="str">
        <f>"男"</f>
        <v>男</v>
      </c>
    </row>
    <row r="1234" spans="1:4" ht="24" customHeight="1">
      <c r="A1234" t="str">
        <f>"10512020072810224730161"</f>
        <v>10512020072810224730161</v>
      </c>
      <c r="B1234" t="s">
        <v>28</v>
      </c>
      <c r="C1234" t="str">
        <f>"李季霞"</f>
        <v>李季霞</v>
      </c>
      <c r="D1234" t="str">
        <f>"女"</f>
        <v>女</v>
      </c>
    </row>
    <row r="1235" spans="1:4" ht="24" customHeight="1">
      <c r="A1235" t="str">
        <f>"10512020072810234830162"</f>
        <v>10512020072810234830162</v>
      </c>
      <c r="B1235" t="s">
        <v>6</v>
      </c>
      <c r="C1235" t="str">
        <f>"李杰"</f>
        <v>李杰</v>
      </c>
      <c r="D1235" t="str">
        <f>"男"</f>
        <v>男</v>
      </c>
    </row>
    <row r="1236" spans="1:4" ht="24" customHeight="1">
      <c r="A1236" t="str">
        <f>"10512020072810265530164"</f>
        <v>10512020072810265530164</v>
      </c>
      <c r="B1236" t="s">
        <v>46</v>
      </c>
      <c r="C1236" t="str">
        <f>"文慧玲"</f>
        <v>文慧玲</v>
      </c>
      <c r="D1236" t="str">
        <f>"女"</f>
        <v>女</v>
      </c>
    </row>
    <row r="1237" spans="1:4" ht="24" customHeight="1">
      <c r="A1237" t="str">
        <f>"10512020072810271830165"</f>
        <v>10512020072810271830165</v>
      </c>
      <c r="B1237" t="s">
        <v>21</v>
      </c>
      <c r="C1237" t="str">
        <f>"周茜子"</f>
        <v>周茜子</v>
      </c>
      <c r="D1237" t="str">
        <f>"女"</f>
        <v>女</v>
      </c>
    </row>
    <row r="1238" spans="1:4" ht="24" customHeight="1">
      <c r="A1238" t="str">
        <f>"10512020072810305830168"</f>
        <v>10512020072810305830168</v>
      </c>
      <c r="B1238" t="s">
        <v>38</v>
      </c>
      <c r="C1238" t="str">
        <f>"罗静"</f>
        <v>罗静</v>
      </c>
      <c r="D1238" t="str">
        <f>"女"</f>
        <v>女</v>
      </c>
    </row>
    <row r="1239" spans="1:4" ht="24" customHeight="1">
      <c r="A1239" t="str">
        <f>"10512020072810321930169"</f>
        <v>10512020072810321930169</v>
      </c>
      <c r="B1239" t="s">
        <v>16</v>
      </c>
      <c r="C1239" t="str">
        <f>"傅杨梅"</f>
        <v>傅杨梅</v>
      </c>
      <c r="D1239" t="str">
        <f>"女"</f>
        <v>女</v>
      </c>
    </row>
    <row r="1240" spans="1:4" ht="24" customHeight="1">
      <c r="A1240" t="str">
        <f>"10512020072810341430171"</f>
        <v>10512020072810341430171</v>
      </c>
      <c r="B1240" t="s">
        <v>32</v>
      </c>
      <c r="C1240" t="str">
        <f>"叶梓豪"</f>
        <v>叶梓豪</v>
      </c>
      <c r="D1240" t="str">
        <f>"男"</f>
        <v>男</v>
      </c>
    </row>
    <row r="1241" spans="1:4" ht="24" customHeight="1">
      <c r="A1241" t="str">
        <f>"10512020072810374930173"</f>
        <v>10512020072810374930173</v>
      </c>
      <c r="B1241" t="s">
        <v>26</v>
      </c>
      <c r="C1241" t="str">
        <f>"胡元元"</f>
        <v>胡元元</v>
      </c>
      <c r="D1241" t="str">
        <f>"女"</f>
        <v>女</v>
      </c>
    </row>
    <row r="1242" spans="1:4" ht="24" customHeight="1">
      <c r="A1242" t="str">
        <f>"10512020072810383330175"</f>
        <v>10512020072810383330175</v>
      </c>
      <c r="B1242" t="s">
        <v>27</v>
      </c>
      <c r="C1242" t="str">
        <f>"温佩"</f>
        <v>温佩</v>
      </c>
      <c r="D1242" t="str">
        <f>"男"</f>
        <v>男</v>
      </c>
    </row>
    <row r="1243" spans="1:4" ht="24" customHeight="1">
      <c r="A1243" t="str">
        <f>"10512020072810384630176"</f>
        <v>10512020072810384630176</v>
      </c>
      <c r="B1243" t="s">
        <v>21</v>
      </c>
      <c r="C1243" t="str">
        <f>"刘颖"</f>
        <v>刘颖</v>
      </c>
      <c r="D1243" t="str">
        <f>"女"</f>
        <v>女</v>
      </c>
    </row>
    <row r="1244" spans="1:4" ht="24" customHeight="1">
      <c r="A1244" t="str">
        <f>"10512020072810393730177"</f>
        <v>10512020072810393730177</v>
      </c>
      <c r="B1244" t="s">
        <v>12</v>
      </c>
      <c r="C1244" t="str">
        <f>"周伟萍"</f>
        <v>周伟萍</v>
      </c>
      <c r="D1244" t="str">
        <f>"女"</f>
        <v>女</v>
      </c>
    </row>
    <row r="1245" spans="1:4" ht="24" customHeight="1">
      <c r="A1245" t="str">
        <f>"10512020072810395030178"</f>
        <v>10512020072810395030178</v>
      </c>
      <c r="B1245" t="s">
        <v>41</v>
      </c>
      <c r="C1245" t="str">
        <f>"周琦"</f>
        <v>周琦</v>
      </c>
      <c r="D1245" t="str">
        <f>"女"</f>
        <v>女</v>
      </c>
    </row>
    <row r="1246" spans="1:4" ht="24" customHeight="1">
      <c r="A1246" t="str">
        <f>"10512020072810400730179"</f>
        <v>10512020072810400730179</v>
      </c>
      <c r="B1246" t="s">
        <v>7</v>
      </c>
      <c r="C1246" t="str">
        <f>"刘宇林"</f>
        <v>刘宇林</v>
      </c>
      <c r="D1246" t="str">
        <f>"男"</f>
        <v>男</v>
      </c>
    </row>
    <row r="1247" spans="1:4" ht="24" customHeight="1">
      <c r="A1247" t="str">
        <f>"10512020072810412630180"</f>
        <v>10512020072810412630180</v>
      </c>
      <c r="B1247" t="s">
        <v>29</v>
      </c>
      <c r="C1247" t="str">
        <f>"邱亚奇"</f>
        <v>邱亚奇</v>
      </c>
      <c r="D1247" t="str">
        <f>"女"</f>
        <v>女</v>
      </c>
    </row>
    <row r="1248" spans="1:4" ht="24" customHeight="1">
      <c r="A1248" t="str">
        <f>"10512020072810414030181"</f>
        <v>10512020072810414030181</v>
      </c>
      <c r="B1248" t="s">
        <v>19</v>
      </c>
      <c r="C1248" t="str">
        <f>"徐姣"</f>
        <v>徐姣</v>
      </c>
      <c r="D1248" t="str">
        <f>"女"</f>
        <v>女</v>
      </c>
    </row>
    <row r="1249" spans="1:4" ht="24" customHeight="1">
      <c r="A1249" t="str">
        <f>"10512020072810441730182"</f>
        <v>10512020072810441730182</v>
      </c>
      <c r="B1249" t="s">
        <v>27</v>
      </c>
      <c r="C1249" t="str">
        <f>"宋娇"</f>
        <v>宋娇</v>
      </c>
      <c r="D1249" t="str">
        <f>"女"</f>
        <v>女</v>
      </c>
    </row>
    <row r="1250" spans="1:4" ht="24" customHeight="1">
      <c r="A1250" t="str">
        <f>"10512020072810451030183"</f>
        <v>10512020072810451030183</v>
      </c>
      <c r="B1250" t="s">
        <v>21</v>
      </c>
      <c r="C1250" t="str">
        <f>"任搏涛"</f>
        <v>任搏涛</v>
      </c>
      <c r="D1250" t="str">
        <f>"男"</f>
        <v>男</v>
      </c>
    </row>
    <row r="1251" spans="1:4" ht="24" customHeight="1">
      <c r="A1251" t="str">
        <f>"10512020072810461630184"</f>
        <v>10512020072810461630184</v>
      </c>
      <c r="B1251" t="s">
        <v>11</v>
      </c>
      <c r="C1251" t="str">
        <f>"余佳彬"</f>
        <v>余佳彬</v>
      </c>
      <c r="D1251" t="str">
        <f>"男"</f>
        <v>男</v>
      </c>
    </row>
    <row r="1252" spans="1:4" ht="24" customHeight="1">
      <c r="A1252" t="str">
        <f>"10512020072810475330185"</f>
        <v>10512020072810475330185</v>
      </c>
      <c r="B1252" t="s">
        <v>8</v>
      </c>
      <c r="C1252" t="str">
        <f>"李安东"</f>
        <v>李安东</v>
      </c>
      <c r="D1252" t="str">
        <f>"男"</f>
        <v>男</v>
      </c>
    </row>
    <row r="1253" spans="1:4" ht="24" customHeight="1">
      <c r="A1253" t="str">
        <f>"10512020072810475830186"</f>
        <v>10512020072810475830186</v>
      </c>
      <c r="B1253" t="s">
        <v>29</v>
      </c>
      <c r="C1253" t="str">
        <f>"张献仁"</f>
        <v>张献仁</v>
      </c>
      <c r="D1253" t="str">
        <f>"女"</f>
        <v>女</v>
      </c>
    </row>
    <row r="1254" spans="1:4" ht="24" customHeight="1">
      <c r="A1254" t="str">
        <f>"10512020072810481730187"</f>
        <v>10512020072810481730187</v>
      </c>
      <c r="B1254" t="s">
        <v>20</v>
      </c>
      <c r="C1254" t="str">
        <f>"王文博"</f>
        <v>王文博</v>
      </c>
      <c r="D1254" t="str">
        <f>"男"</f>
        <v>男</v>
      </c>
    </row>
    <row r="1255" spans="1:4" ht="24" customHeight="1">
      <c r="A1255" t="str">
        <f>"10512020072810490330188"</f>
        <v>10512020072810490330188</v>
      </c>
      <c r="B1255" t="s">
        <v>11</v>
      </c>
      <c r="C1255" t="str">
        <f>"吴楚龙"</f>
        <v>吴楚龙</v>
      </c>
      <c r="D1255" t="str">
        <f>"男"</f>
        <v>男</v>
      </c>
    </row>
    <row r="1256" spans="1:4" ht="24" customHeight="1">
      <c r="A1256" t="str">
        <f>"10512020072810493630189"</f>
        <v>10512020072810493630189</v>
      </c>
      <c r="B1256" t="s">
        <v>18</v>
      </c>
      <c r="C1256" t="str">
        <f>"梁子薇"</f>
        <v>梁子薇</v>
      </c>
      <c r="D1256" t="str">
        <f>"女"</f>
        <v>女</v>
      </c>
    </row>
    <row r="1257" spans="1:4" ht="24" customHeight="1">
      <c r="A1257" t="str">
        <f>"10512020072810510330190"</f>
        <v>10512020072810510330190</v>
      </c>
      <c r="B1257" t="s">
        <v>26</v>
      </c>
      <c r="C1257" t="str">
        <f>"刘馨方"</f>
        <v>刘馨方</v>
      </c>
      <c r="D1257" t="str">
        <f>"女"</f>
        <v>女</v>
      </c>
    </row>
    <row r="1258" spans="1:4" ht="24" customHeight="1">
      <c r="A1258" t="str">
        <f>"10512020072810521630192"</f>
        <v>10512020072810521630192</v>
      </c>
      <c r="B1258" t="s">
        <v>17</v>
      </c>
      <c r="C1258" t="str">
        <f>"刘颖"</f>
        <v>刘颖</v>
      </c>
      <c r="D1258" t="str">
        <f>"女"</f>
        <v>女</v>
      </c>
    </row>
    <row r="1259" spans="1:4" ht="24" customHeight="1">
      <c r="A1259" t="str">
        <f>"10512020072810561030193"</f>
        <v>10512020072810561030193</v>
      </c>
      <c r="B1259" t="s">
        <v>27</v>
      </c>
      <c r="C1259" t="str">
        <f>"王强"</f>
        <v>王强</v>
      </c>
      <c r="D1259" t="str">
        <f>"男"</f>
        <v>男</v>
      </c>
    </row>
    <row r="1260" spans="1:4" ht="24" customHeight="1">
      <c r="A1260" t="str">
        <f>"10512020072810584930194"</f>
        <v>10512020072810584930194</v>
      </c>
      <c r="B1260" t="s">
        <v>16</v>
      </c>
      <c r="C1260" t="str">
        <f>"李博"</f>
        <v>李博</v>
      </c>
      <c r="D1260" t="str">
        <f>"男"</f>
        <v>男</v>
      </c>
    </row>
    <row r="1261" spans="1:4" ht="24" customHeight="1">
      <c r="A1261" t="str">
        <f>"10512020072811002530195"</f>
        <v>10512020072811002530195</v>
      </c>
      <c r="B1261" t="s">
        <v>39</v>
      </c>
      <c r="C1261" t="str">
        <f>"唐玮"</f>
        <v>唐玮</v>
      </c>
      <c r="D1261" t="str">
        <f>"男"</f>
        <v>男</v>
      </c>
    </row>
    <row r="1262" spans="1:4" ht="24" customHeight="1">
      <c r="A1262" t="str">
        <f>"10512020072811010230196"</f>
        <v>10512020072811010230196</v>
      </c>
      <c r="B1262" t="s">
        <v>19</v>
      </c>
      <c r="C1262" t="str">
        <f>"李洲"</f>
        <v>李洲</v>
      </c>
      <c r="D1262" t="str">
        <f>"男"</f>
        <v>男</v>
      </c>
    </row>
    <row r="1263" spans="1:4" ht="24" customHeight="1">
      <c r="A1263" t="str">
        <f>"10512020072811011730197"</f>
        <v>10512020072811011730197</v>
      </c>
      <c r="B1263" t="s">
        <v>38</v>
      </c>
      <c r="C1263" t="str">
        <f>"唐晶晶"</f>
        <v>唐晶晶</v>
      </c>
      <c r="D1263" t="str">
        <f>"女"</f>
        <v>女</v>
      </c>
    </row>
    <row r="1264" spans="1:4" ht="24" customHeight="1">
      <c r="A1264" t="str">
        <f>"10512020072811033830199"</f>
        <v>10512020072811033830199</v>
      </c>
      <c r="B1264" t="s">
        <v>16</v>
      </c>
      <c r="C1264" t="str">
        <f>"杨程"</f>
        <v>杨程</v>
      </c>
      <c r="D1264" t="str">
        <f>"男"</f>
        <v>男</v>
      </c>
    </row>
    <row r="1265" spans="1:4" ht="24" customHeight="1">
      <c r="A1265" t="str">
        <f>"10512020072811040030200"</f>
        <v>10512020072811040030200</v>
      </c>
      <c r="B1265" t="s">
        <v>20</v>
      </c>
      <c r="C1265" t="str">
        <f>"付祥"</f>
        <v>付祥</v>
      </c>
      <c r="D1265" t="str">
        <f>"男"</f>
        <v>男</v>
      </c>
    </row>
    <row r="1266" spans="1:4" ht="24" customHeight="1">
      <c r="A1266" t="str">
        <f>"10512020072811041530201"</f>
        <v>10512020072811041530201</v>
      </c>
      <c r="B1266" t="s">
        <v>48</v>
      </c>
      <c r="C1266" t="str">
        <f>"杨娟"</f>
        <v>杨娟</v>
      </c>
      <c r="D1266" t="str">
        <f>"女"</f>
        <v>女</v>
      </c>
    </row>
    <row r="1267" spans="1:4" ht="24" customHeight="1">
      <c r="A1267" t="str">
        <f>"10512020072811045930202"</f>
        <v>10512020072811045930202</v>
      </c>
      <c r="B1267" t="s">
        <v>30</v>
      </c>
      <c r="C1267" t="str">
        <f>"熊泽伟"</f>
        <v>熊泽伟</v>
      </c>
      <c r="D1267" t="str">
        <f>"男"</f>
        <v>男</v>
      </c>
    </row>
    <row r="1268" spans="1:4" ht="24" customHeight="1">
      <c r="A1268" t="str">
        <f>"10512020072811083030203"</f>
        <v>10512020072811083030203</v>
      </c>
      <c r="B1268" t="s">
        <v>21</v>
      </c>
      <c r="C1268" t="str">
        <f>"王子莹"</f>
        <v>王子莹</v>
      </c>
      <c r="D1268" t="str">
        <f>"女"</f>
        <v>女</v>
      </c>
    </row>
    <row r="1269" spans="1:4" ht="24" customHeight="1">
      <c r="A1269" t="str">
        <f>"10512020072811121530204"</f>
        <v>10512020072811121530204</v>
      </c>
      <c r="B1269" t="s">
        <v>7</v>
      </c>
      <c r="C1269" t="str">
        <f>"郭彬莹"</f>
        <v>郭彬莹</v>
      </c>
      <c r="D1269" t="str">
        <f>"女"</f>
        <v>女</v>
      </c>
    </row>
    <row r="1270" spans="1:4" ht="24" customHeight="1">
      <c r="A1270" t="str">
        <f>"10512020072811145830205"</f>
        <v>10512020072811145830205</v>
      </c>
      <c r="B1270" t="s">
        <v>21</v>
      </c>
      <c r="C1270" t="str">
        <f>"饶理"</f>
        <v>饶理</v>
      </c>
      <c r="D1270" t="str">
        <f>"男"</f>
        <v>男</v>
      </c>
    </row>
    <row r="1271" spans="1:4" ht="24" customHeight="1">
      <c r="A1271" t="str">
        <f>"10512020072811162330206"</f>
        <v>10512020072811162330206</v>
      </c>
      <c r="B1271" t="s">
        <v>13</v>
      </c>
      <c r="C1271" t="str">
        <f>"肖星"</f>
        <v>肖星</v>
      </c>
      <c r="D1271" t="str">
        <f t="shared" ref="D1271:D1277" si="27">"女"</f>
        <v>女</v>
      </c>
    </row>
    <row r="1272" spans="1:4" ht="24" customHeight="1">
      <c r="A1272" t="str">
        <f>"10512020072811170530207"</f>
        <v>10512020072811170530207</v>
      </c>
      <c r="B1272" t="s">
        <v>28</v>
      </c>
      <c r="C1272" t="str">
        <f>"刘宇婕"</f>
        <v>刘宇婕</v>
      </c>
      <c r="D1272" t="str">
        <f t="shared" si="27"/>
        <v>女</v>
      </c>
    </row>
    <row r="1273" spans="1:4" ht="24" customHeight="1">
      <c r="A1273" t="str">
        <f>"10512020072811203430208"</f>
        <v>10512020072811203430208</v>
      </c>
      <c r="B1273" t="s">
        <v>11</v>
      </c>
      <c r="C1273" t="str">
        <f>"雷雨晴"</f>
        <v>雷雨晴</v>
      </c>
      <c r="D1273" t="str">
        <f t="shared" si="27"/>
        <v>女</v>
      </c>
    </row>
    <row r="1274" spans="1:4" ht="24" customHeight="1">
      <c r="A1274" t="str">
        <f>"10512020072811212630209"</f>
        <v>10512020072811212630209</v>
      </c>
      <c r="B1274" t="s">
        <v>10</v>
      </c>
      <c r="C1274" t="str">
        <f>"樊靖英"</f>
        <v>樊靖英</v>
      </c>
      <c r="D1274" t="str">
        <f t="shared" si="27"/>
        <v>女</v>
      </c>
    </row>
    <row r="1275" spans="1:4" ht="24" customHeight="1">
      <c r="A1275" t="str">
        <f>"10512020072811222130210"</f>
        <v>10512020072811222130210</v>
      </c>
      <c r="B1275" t="s">
        <v>32</v>
      </c>
      <c r="C1275" t="str">
        <f>"赵婷"</f>
        <v>赵婷</v>
      </c>
      <c r="D1275" t="str">
        <f t="shared" si="27"/>
        <v>女</v>
      </c>
    </row>
    <row r="1276" spans="1:4" ht="24" customHeight="1">
      <c r="A1276" t="str">
        <f>"10512020072811232730211"</f>
        <v>10512020072811232730211</v>
      </c>
      <c r="B1276" t="s">
        <v>13</v>
      </c>
      <c r="C1276" t="str">
        <f>"吴思思"</f>
        <v>吴思思</v>
      </c>
      <c r="D1276" t="str">
        <f t="shared" si="27"/>
        <v>女</v>
      </c>
    </row>
    <row r="1277" spans="1:4" ht="24" customHeight="1">
      <c r="A1277" t="str">
        <f>"10512020072811234730212"</f>
        <v>10512020072811234730212</v>
      </c>
      <c r="B1277" t="s">
        <v>21</v>
      </c>
      <c r="C1277" t="str">
        <f>"双琼"</f>
        <v>双琼</v>
      </c>
      <c r="D1277" t="str">
        <f t="shared" si="27"/>
        <v>女</v>
      </c>
    </row>
    <row r="1278" spans="1:4" ht="24" customHeight="1">
      <c r="A1278" t="str">
        <f>"10512020072811290730213"</f>
        <v>10512020072811290730213</v>
      </c>
      <c r="B1278" t="s">
        <v>32</v>
      </c>
      <c r="C1278" t="str">
        <f>"刘琮轩"</f>
        <v>刘琮轩</v>
      </c>
      <c r="D1278" t="str">
        <f>"男"</f>
        <v>男</v>
      </c>
    </row>
    <row r="1279" spans="1:4" ht="24" customHeight="1">
      <c r="A1279" t="str">
        <f>"10512020072811302230214"</f>
        <v>10512020072811302230214</v>
      </c>
      <c r="B1279" t="s">
        <v>55</v>
      </c>
      <c r="C1279" t="str">
        <f>"陈俊杰"</f>
        <v>陈俊杰</v>
      </c>
      <c r="D1279" t="str">
        <f>"男"</f>
        <v>男</v>
      </c>
    </row>
    <row r="1280" spans="1:4" ht="24" customHeight="1">
      <c r="A1280" t="str">
        <f>"10512020072811313830215"</f>
        <v>10512020072811313830215</v>
      </c>
      <c r="B1280" t="s">
        <v>23</v>
      </c>
      <c r="C1280" t="str">
        <f>"丁维"</f>
        <v>丁维</v>
      </c>
      <c r="D1280" t="str">
        <f>"男"</f>
        <v>男</v>
      </c>
    </row>
    <row r="1281" spans="1:4" ht="24" customHeight="1">
      <c r="A1281" t="str">
        <f>"10512020072811320130216"</f>
        <v>10512020072811320130216</v>
      </c>
      <c r="B1281" t="s">
        <v>18</v>
      </c>
      <c r="C1281" t="str">
        <f>"鲁佩蓉"</f>
        <v>鲁佩蓉</v>
      </c>
      <c r="D1281" t="str">
        <f>"女"</f>
        <v>女</v>
      </c>
    </row>
    <row r="1282" spans="1:4" ht="24" customHeight="1">
      <c r="A1282" t="str">
        <f>"10512020072811340530217"</f>
        <v>10512020072811340530217</v>
      </c>
      <c r="B1282" t="s">
        <v>32</v>
      </c>
      <c r="C1282" t="str">
        <f>"雷梦芷"</f>
        <v>雷梦芷</v>
      </c>
      <c r="D1282" t="str">
        <f>"女"</f>
        <v>女</v>
      </c>
    </row>
    <row r="1283" spans="1:4" ht="24" customHeight="1">
      <c r="A1283" t="str">
        <f>"10512020072811341030218"</f>
        <v>10512020072811341030218</v>
      </c>
      <c r="B1283" t="s">
        <v>20</v>
      </c>
      <c r="C1283" t="str">
        <f>"黄民佳"</f>
        <v>黄民佳</v>
      </c>
      <c r="D1283" t="str">
        <f>"女"</f>
        <v>女</v>
      </c>
    </row>
    <row r="1284" spans="1:4" ht="24" customHeight="1">
      <c r="A1284" t="str">
        <f>"10512020072811342830219"</f>
        <v>10512020072811342830219</v>
      </c>
      <c r="B1284" t="s">
        <v>11</v>
      </c>
      <c r="C1284" t="str">
        <f>"周章来"</f>
        <v>周章来</v>
      </c>
      <c r="D1284" t="str">
        <f>"男"</f>
        <v>男</v>
      </c>
    </row>
    <row r="1285" spans="1:4" ht="24" customHeight="1">
      <c r="A1285" t="str">
        <f>"10512020072811342830220"</f>
        <v>10512020072811342830220</v>
      </c>
      <c r="B1285" t="s">
        <v>13</v>
      </c>
      <c r="C1285" t="str">
        <f>"沈海燕"</f>
        <v>沈海燕</v>
      </c>
      <c r="D1285" t="str">
        <f>"女"</f>
        <v>女</v>
      </c>
    </row>
    <row r="1286" spans="1:4" ht="24" customHeight="1">
      <c r="A1286" t="str">
        <f>"10512020072811364430221"</f>
        <v>10512020072811364430221</v>
      </c>
      <c r="B1286" t="s">
        <v>22</v>
      </c>
      <c r="C1286" t="str">
        <f>"邱文权"</f>
        <v>邱文权</v>
      </c>
      <c r="D1286" t="str">
        <f>"男"</f>
        <v>男</v>
      </c>
    </row>
    <row r="1287" spans="1:4" ht="24" customHeight="1">
      <c r="A1287" t="str">
        <f>"10512020072811413030222"</f>
        <v>10512020072811413030222</v>
      </c>
      <c r="B1287" t="s">
        <v>41</v>
      </c>
      <c r="C1287" t="str">
        <f>"丁珊珊"</f>
        <v>丁珊珊</v>
      </c>
      <c r="D1287" t="str">
        <f>"女"</f>
        <v>女</v>
      </c>
    </row>
    <row r="1288" spans="1:4" ht="24" customHeight="1">
      <c r="A1288" t="str">
        <f>"10512020072811423130223"</f>
        <v>10512020072811423130223</v>
      </c>
      <c r="B1288" t="s">
        <v>13</v>
      </c>
      <c r="C1288" t="str">
        <f>"张玲"</f>
        <v>张玲</v>
      </c>
      <c r="D1288" t="str">
        <f>"女"</f>
        <v>女</v>
      </c>
    </row>
    <row r="1289" spans="1:4" ht="24" customHeight="1">
      <c r="A1289" t="str">
        <f>"10512020072811423130224"</f>
        <v>10512020072811423130224</v>
      </c>
      <c r="B1289" t="s">
        <v>7</v>
      </c>
      <c r="C1289" t="str">
        <f>"施蔺"</f>
        <v>施蔺</v>
      </c>
      <c r="D1289" t="str">
        <f>"女"</f>
        <v>女</v>
      </c>
    </row>
    <row r="1290" spans="1:4" ht="24" customHeight="1">
      <c r="A1290" t="str">
        <f>"10512020072811424730225"</f>
        <v>10512020072811424730225</v>
      </c>
      <c r="B1290" t="s">
        <v>10</v>
      </c>
      <c r="C1290" t="str">
        <f>"覃雅琴"</f>
        <v>覃雅琴</v>
      </c>
      <c r="D1290" t="str">
        <f>"女"</f>
        <v>女</v>
      </c>
    </row>
    <row r="1291" spans="1:4" ht="24" customHeight="1">
      <c r="A1291" t="str">
        <f>"10512020072811430930226"</f>
        <v>10512020072811430930226</v>
      </c>
      <c r="B1291" t="s">
        <v>58</v>
      </c>
      <c r="C1291" t="str">
        <f>"曹威"</f>
        <v>曹威</v>
      </c>
      <c r="D1291" t="str">
        <f>"男"</f>
        <v>男</v>
      </c>
    </row>
    <row r="1292" spans="1:4" ht="24" customHeight="1">
      <c r="A1292" t="str">
        <f>"10512020072811494530227"</f>
        <v>10512020072811494530227</v>
      </c>
      <c r="B1292" t="s">
        <v>32</v>
      </c>
      <c r="C1292" t="str">
        <f>"刘敬"</f>
        <v>刘敬</v>
      </c>
      <c r="D1292" t="str">
        <f>"女"</f>
        <v>女</v>
      </c>
    </row>
    <row r="1293" spans="1:4" ht="24" customHeight="1">
      <c r="A1293" t="str">
        <f>"10512020072811514830228"</f>
        <v>10512020072811514830228</v>
      </c>
      <c r="B1293" t="s">
        <v>12</v>
      </c>
      <c r="C1293" t="str">
        <f>"梁慧"</f>
        <v>梁慧</v>
      </c>
      <c r="D1293" t="str">
        <f>"女"</f>
        <v>女</v>
      </c>
    </row>
    <row r="1294" spans="1:4" ht="24" customHeight="1">
      <c r="A1294" t="str">
        <f>"10512020072811561730229"</f>
        <v>10512020072811561730229</v>
      </c>
      <c r="B1294" t="s">
        <v>7</v>
      </c>
      <c r="C1294" t="str">
        <f>"唐佳"</f>
        <v>唐佳</v>
      </c>
      <c r="D1294" t="str">
        <f>"女"</f>
        <v>女</v>
      </c>
    </row>
    <row r="1295" spans="1:4" ht="24" customHeight="1">
      <c r="A1295" t="str">
        <f>"10512020072812024130230"</f>
        <v>10512020072812024130230</v>
      </c>
      <c r="B1295" t="s">
        <v>22</v>
      </c>
      <c r="C1295" t="str">
        <f>"杜代捷"</f>
        <v>杜代捷</v>
      </c>
      <c r="D1295" t="str">
        <f>"男"</f>
        <v>男</v>
      </c>
    </row>
    <row r="1296" spans="1:4" ht="24" customHeight="1">
      <c r="A1296" t="str">
        <f>"10512020072812065130231"</f>
        <v>10512020072812065130231</v>
      </c>
      <c r="B1296" t="s">
        <v>38</v>
      </c>
      <c r="C1296" t="str">
        <f>"叶玉玲"</f>
        <v>叶玉玲</v>
      </c>
      <c r="D1296" t="str">
        <f>"女"</f>
        <v>女</v>
      </c>
    </row>
    <row r="1297" spans="1:4" ht="24" customHeight="1">
      <c r="A1297" t="str">
        <f>"10512020072812070230232"</f>
        <v>10512020072812070230232</v>
      </c>
      <c r="B1297" t="s">
        <v>12</v>
      </c>
      <c r="C1297" t="str">
        <f>"帅昌熠"</f>
        <v>帅昌熠</v>
      </c>
      <c r="D1297" t="str">
        <f>"男"</f>
        <v>男</v>
      </c>
    </row>
    <row r="1298" spans="1:4" ht="24" customHeight="1">
      <c r="A1298" t="str">
        <f>"10512020072812075730234"</f>
        <v>10512020072812075730234</v>
      </c>
      <c r="B1298" t="s">
        <v>6</v>
      </c>
      <c r="C1298" t="str">
        <f>"孙燕"</f>
        <v>孙燕</v>
      </c>
      <c r="D1298" t="str">
        <f>"女"</f>
        <v>女</v>
      </c>
    </row>
    <row r="1299" spans="1:4" ht="24" customHeight="1">
      <c r="A1299" t="str">
        <f>"10512020072812114530235"</f>
        <v>10512020072812114530235</v>
      </c>
      <c r="B1299" t="s">
        <v>15</v>
      </c>
      <c r="C1299" t="str">
        <f>"鲁伟文"</f>
        <v>鲁伟文</v>
      </c>
      <c r="D1299" t="str">
        <f>"男"</f>
        <v>男</v>
      </c>
    </row>
    <row r="1300" spans="1:4" ht="24" customHeight="1">
      <c r="A1300" t="str">
        <f>"10512020072812213930236"</f>
        <v>10512020072812213930236</v>
      </c>
      <c r="B1300" t="s">
        <v>18</v>
      </c>
      <c r="C1300" t="str">
        <f>"郑惠宁"</f>
        <v>郑惠宁</v>
      </c>
      <c r="D1300" t="str">
        <f>"女"</f>
        <v>女</v>
      </c>
    </row>
    <row r="1301" spans="1:4" ht="24" customHeight="1">
      <c r="A1301" t="str">
        <f>"10512020072812214330237"</f>
        <v>10512020072812214330237</v>
      </c>
      <c r="B1301" t="s">
        <v>13</v>
      </c>
      <c r="C1301" t="str">
        <f>"黄云姣"</f>
        <v>黄云姣</v>
      </c>
      <c r="D1301" t="str">
        <f>"女"</f>
        <v>女</v>
      </c>
    </row>
    <row r="1302" spans="1:4" ht="24" customHeight="1">
      <c r="A1302" t="str">
        <f>"10512020072812215030238"</f>
        <v>10512020072812215030238</v>
      </c>
      <c r="B1302" t="s">
        <v>33</v>
      </c>
      <c r="C1302" t="str">
        <f>"谢钟书"</f>
        <v>谢钟书</v>
      </c>
      <c r="D1302" t="str">
        <f>"女"</f>
        <v>女</v>
      </c>
    </row>
    <row r="1303" spans="1:4" ht="24" customHeight="1">
      <c r="A1303" t="str">
        <f>"10512020072812222430239"</f>
        <v>10512020072812222430239</v>
      </c>
      <c r="B1303" t="s">
        <v>6</v>
      </c>
      <c r="C1303" t="str">
        <f>"胡娟"</f>
        <v>胡娟</v>
      </c>
      <c r="D1303" t="str">
        <f>"女"</f>
        <v>女</v>
      </c>
    </row>
    <row r="1304" spans="1:4" ht="24" customHeight="1">
      <c r="A1304" t="str">
        <f>"10512020072812291030240"</f>
        <v>10512020072812291030240</v>
      </c>
      <c r="B1304" t="s">
        <v>46</v>
      </c>
      <c r="C1304" t="str">
        <f>"姚吉"</f>
        <v>姚吉</v>
      </c>
      <c r="D1304" t="str">
        <f>"女"</f>
        <v>女</v>
      </c>
    </row>
    <row r="1305" spans="1:4" ht="24" customHeight="1">
      <c r="A1305" t="str">
        <f>"10512020072812300030241"</f>
        <v>10512020072812300030241</v>
      </c>
      <c r="B1305" t="s">
        <v>7</v>
      </c>
      <c r="C1305" t="str">
        <f>"陈涛"</f>
        <v>陈涛</v>
      </c>
      <c r="D1305" t="str">
        <f>"男"</f>
        <v>男</v>
      </c>
    </row>
    <row r="1306" spans="1:4" ht="24" customHeight="1">
      <c r="A1306" t="str">
        <f>"10512020072812323730242"</f>
        <v>10512020072812323730242</v>
      </c>
      <c r="B1306" t="s">
        <v>11</v>
      </c>
      <c r="C1306" t="str">
        <f>"付碧雪"</f>
        <v>付碧雪</v>
      </c>
      <c r="D1306" t="str">
        <f>"女"</f>
        <v>女</v>
      </c>
    </row>
    <row r="1307" spans="1:4" ht="24" customHeight="1">
      <c r="A1307" t="str">
        <f>"10512020072812365830243"</f>
        <v>10512020072812365830243</v>
      </c>
      <c r="B1307" t="s">
        <v>41</v>
      </c>
      <c r="C1307" t="str">
        <f>"杨溢"</f>
        <v>杨溢</v>
      </c>
      <c r="D1307" t="str">
        <f>"女"</f>
        <v>女</v>
      </c>
    </row>
    <row r="1308" spans="1:4" ht="24" customHeight="1">
      <c r="A1308" t="str">
        <f>"10512020072812394630244"</f>
        <v>10512020072812394630244</v>
      </c>
      <c r="B1308" t="s">
        <v>40</v>
      </c>
      <c r="C1308" t="str">
        <f>"孙晨"</f>
        <v>孙晨</v>
      </c>
      <c r="D1308" t="str">
        <f>"女"</f>
        <v>女</v>
      </c>
    </row>
    <row r="1309" spans="1:4" ht="24" customHeight="1">
      <c r="A1309" t="str">
        <f>"10512020072812414330245"</f>
        <v>10512020072812414330245</v>
      </c>
      <c r="B1309" t="s">
        <v>21</v>
      </c>
      <c r="C1309" t="str">
        <f>"熊波"</f>
        <v>熊波</v>
      </c>
      <c r="D1309" t="str">
        <f>"男"</f>
        <v>男</v>
      </c>
    </row>
    <row r="1310" spans="1:4" ht="24" customHeight="1">
      <c r="A1310" t="str">
        <f>"10512020072812424230246"</f>
        <v>10512020072812424230246</v>
      </c>
      <c r="B1310" t="s">
        <v>16</v>
      </c>
      <c r="C1310" t="str">
        <f>"胡颖"</f>
        <v>胡颖</v>
      </c>
      <c r="D1310" t="str">
        <f>"男"</f>
        <v>男</v>
      </c>
    </row>
    <row r="1311" spans="1:4" ht="24" customHeight="1">
      <c r="A1311" t="str">
        <f>"10512020072812440530247"</f>
        <v>10512020072812440530247</v>
      </c>
      <c r="B1311" t="s">
        <v>11</v>
      </c>
      <c r="C1311" t="str">
        <f>"周雨欣"</f>
        <v>周雨欣</v>
      </c>
      <c r="D1311" t="str">
        <f>"男"</f>
        <v>男</v>
      </c>
    </row>
    <row r="1312" spans="1:4" ht="24" customHeight="1">
      <c r="A1312" t="str">
        <f>"10512020072812460630248"</f>
        <v>10512020072812460630248</v>
      </c>
      <c r="B1312" t="s">
        <v>7</v>
      </c>
      <c r="C1312" t="str">
        <f>"冉兰廷"</f>
        <v>冉兰廷</v>
      </c>
      <c r="D1312" t="str">
        <f t="shared" ref="D1312:D1317" si="28">"女"</f>
        <v>女</v>
      </c>
    </row>
    <row r="1313" spans="1:4" ht="24" customHeight="1">
      <c r="A1313" t="str">
        <f>"10512020072812463230249"</f>
        <v>10512020072812463230249</v>
      </c>
      <c r="B1313" t="s">
        <v>6</v>
      </c>
      <c r="C1313" t="str">
        <f>"滕健"</f>
        <v>滕健</v>
      </c>
      <c r="D1313" t="str">
        <f t="shared" si="28"/>
        <v>女</v>
      </c>
    </row>
    <row r="1314" spans="1:4" ht="24" customHeight="1">
      <c r="A1314" t="str">
        <f>"10512020072812510830250"</f>
        <v>10512020072812510830250</v>
      </c>
      <c r="B1314" t="s">
        <v>28</v>
      </c>
      <c r="C1314" t="str">
        <f>"郑超"</f>
        <v>郑超</v>
      </c>
      <c r="D1314" t="str">
        <f t="shared" si="28"/>
        <v>女</v>
      </c>
    </row>
    <row r="1315" spans="1:4" ht="24" customHeight="1">
      <c r="A1315" t="str">
        <f>"10512020072812521730251"</f>
        <v>10512020072812521730251</v>
      </c>
      <c r="B1315" t="s">
        <v>13</v>
      </c>
      <c r="C1315" t="str">
        <f>"刘汶鑫"</f>
        <v>刘汶鑫</v>
      </c>
      <c r="D1315" t="str">
        <f t="shared" si="28"/>
        <v>女</v>
      </c>
    </row>
    <row r="1316" spans="1:4" ht="24" customHeight="1">
      <c r="A1316" t="str">
        <f>"10512020072812554630252"</f>
        <v>10512020072812554630252</v>
      </c>
      <c r="B1316" t="s">
        <v>29</v>
      </c>
      <c r="C1316" t="str">
        <f>"唐珍珍"</f>
        <v>唐珍珍</v>
      </c>
      <c r="D1316" t="str">
        <f t="shared" si="28"/>
        <v>女</v>
      </c>
    </row>
    <row r="1317" spans="1:4" ht="24" customHeight="1">
      <c r="A1317" t="str">
        <f>"10512020072813023230253"</f>
        <v>10512020072813023230253</v>
      </c>
      <c r="B1317" t="s">
        <v>13</v>
      </c>
      <c r="C1317" t="str">
        <f>"余锐"</f>
        <v>余锐</v>
      </c>
      <c r="D1317" t="str">
        <f t="shared" si="28"/>
        <v>女</v>
      </c>
    </row>
    <row r="1318" spans="1:4" ht="24" customHeight="1">
      <c r="A1318" t="str">
        <f>"10512020072813023530254"</f>
        <v>10512020072813023530254</v>
      </c>
      <c r="B1318" t="s">
        <v>19</v>
      </c>
      <c r="C1318" t="str">
        <f>"周策源"</f>
        <v>周策源</v>
      </c>
      <c r="D1318" t="str">
        <f>"男"</f>
        <v>男</v>
      </c>
    </row>
    <row r="1319" spans="1:4" ht="24" customHeight="1">
      <c r="A1319" t="str">
        <f>"10512020072813034230255"</f>
        <v>10512020072813034230255</v>
      </c>
      <c r="B1319" t="s">
        <v>29</v>
      </c>
      <c r="C1319" t="str">
        <f>"张凯"</f>
        <v>张凯</v>
      </c>
      <c r="D1319" t="str">
        <f>"男"</f>
        <v>男</v>
      </c>
    </row>
    <row r="1320" spans="1:4" ht="24" customHeight="1">
      <c r="A1320" t="str">
        <f>"10512020072813064230256"</f>
        <v>10512020072813064230256</v>
      </c>
      <c r="B1320" t="s">
        <v>20</v>
      </c>
      <c r="C1320" t="str">
        <f>"郭夏君"</f>
        <v>郭夏君</v>
      </c>
      <c r="D1320" t="str">
        <f>"男"</f>
        <v>男</v>
      </c>
    </row>
    <row r="1321" spans="1:4" ht="24" customHeight="1">
      <c r="A1321" t="str">
        <f>"10512020072813111030257"</f>
        <v>10512020072813111030257</v>
      </c>
      <c r="B1321" t="s">
        <v>17</v>
      </c>
      <c r="C1321" t="str">
        <f>"张昕"</f>
        <v>张昕</v>
      </c>
      <c r="D1321" t="str">
        <f>"女"</f>
        <v>女</v>
      </c>
    </row>
    <row r="1322" spans="1:4" ht="24" customHeight="1">
      <c r="A1322" t="str">
        <f>"10512020072813150230258"</f>
        <v>10512020072813150230258</v>
      </c>
      <c r="B1322" t="s">
        <v>37</v>
      </c>
      <c r="C1322" t="str">
        <f>"周浩"</f>
        <v>周浩</v>
      </c>
      <c r="D1322" t="str">
        <f>"男"</f>
        <v>男</v>
      </c>
    </row>
    <row r="1323" spans="1:4" ht="24" customHeight="1">
      <c r="A1323" t="str">
        <f>"10512020072813173330259"</f>
        <v>10512020072813173330259</v>
      </c>
      <c r="B1323" t="s">
        <v>34</v>
      </c>
      <c r="C1323" t="str">
        <f>"张焦"</f>
        <v>张焦</v>
      </c>
      <c r="D1323" t="str">
        <f>"女"</f>
        <v>女</v>
      </c>
    </row>
    <row r="1324" spans="1:4" ht="24" customHeight="1">
      <c r="A1324" t="str">
        <f>"10512020072813284830261"</f>
        <v>10512020072813284830261</v>
      </c>
      <c r="B1324" t="s">
        <v>21</v>
      </c>
      <c r="C1324" t="str">
        <f>"王誉睿"</f>
        <v>王誉睿</v>
      </c>
      <c r="D1324" t="str">
        <f>"男"</f>
        <v>男</v>
      </c>
    </row>
    <row r="1325" spans="1:4" ht="24" customHeight="1">
      <c r="A1325" t="str">
        <f>"10512020072813335030263"</f>
        <v>10512020072813335030263</v>
      </c>
      <c r="B1325" t="s">
        <v>18</v>
      </c>
      <c r="C1325" t="str">
        <f>"龙文慧"</f>
        <v>龙文慧</v>
      </c>
      <c r="D1325" t="str">
        <f>"女"</f>
        <v>女</v>
      </c>
    </row>
    <row r="1326" spans="1:4" ht="24" customHeight="1">
      <c r="A1326" t="str">
        <f>"10512020072813374330264"</f>
        <v>10512020072813374330264</v>
      </c>
      <c r="B1326" t="s">
        <v>5</v>
      </c>
      <c r="C1326" t="str">
        <f>"陈慧"</f>
        <v>陈慧</v>
      </c>
      <c r="D1326" t="str">
        <f>"女"</f>
        <v>女</v>
      </c>
    </row>
    <row r="1327" spans="1:4" ht="24" customHeight="1">
      <c r="A1327" t="str">
        <f>"10512020072813433330265"</f>
        <v>10512020072813433330265</v>
      </c>
      <c r="B1327" t="s">
        <v>21</v>
      </c>
      <c r="C1327" t="str">
        <f>"姚建波"</f>
        <v>姚建波</v>
      </c>
      <c r="D1327" t="str">
        <f>"男"</f>
        <v>男</v>
      </c>
    </row>
    <row r="1328" spans="1:4" ht="24" customHeight="1">
      <c r="A1328" t="str">
        <f>"10512020072813464330266"</f>
        <v>10512020072813464330266</v>
      </c>
      <c r="B1328" t="s">
        <v>20</v>
      </c>
      <c r="C1328" t="str">
        <f>"赵李丽"</f>
        <v>赵李丽</v>
      </c>
      <c r="D1328" t="str">
        <f>"女"</f>
        <v>女</v>
      </c>
    </row>
    <row r="1329" spans="1:4" ht="24" customHeight="1">
      <c r="A1329" t="str">
        <f>"10512020072813575830267"</f>
        <v>10512020072813575830267</v>
      </c>
      <c r="B1329" t="s">
        <v>16</v>
      </c>
      <c r="C1329" t="str">
        <f>"刘晨"</f>
        <v>刘晨</v>
      </c>
      <c r="D1329" t="str">
        <f>"女"</f>
        <v>女</v>
      </c>
    </row>
    <row r="1330" spans="1:4" ht="24" customHeight="1">
      <c r="A1330" t="str">
        <f>"10512020072813590830268"</f>
        <v>10512020072813590830268</v>
      </c>
      <c r="B1330" t="s">
        <v>13</v>
      </c>
      <c r="C1330" t="str">
        <f>"赵虹磊"</f>
        <v>赵虹磊</v>
      </c>
      <c r="D1330" t="str">
        <f>"男"</f>
        <v>男</v>
      </c>
    </row>
    <row r="1331" spans="1:4" ht="24" customHeight="1">
      <c r="A1331" t="str">
        <f>"10512020072813594530269"</f>
        <v>10512020072813594530269</v>
      </c>
      <c r="B1331" t="s">
        <v>6</v>
      </c>
      <c r="C1331" t="str">
        <f>"何婕"</f>
        <v>何婕</v>
      </c>
      <c r="D1331" t="str">
        <f>"女"</f>
        <v>女</v>
      </c>
    </row>
    <row r="1332" spans="1:4" ht="24" customHeight="1">
      <c r="A1332" t="str">
        <f>"10512020072814000230270"</f>
        <v>10512020072814000230270</v>
      </c>
      <c r="B1332" t="s">
        <v>7</v>
      </c>
      <c r="C1332" t="str">
        <f>"尹超业"</f>
        <v>尹超业</v>
      </c>
      <c r="D1332" t="str">
        <f>"女"</f>
        <v>女</v>
      </c>
    </row>
    <row r="1333" spans="1:4" ht="24" customHeight="1">
      <c r="A1333" t="str">
        <f>"10512020072814005030271"</f>
        <v>10512020072814005030271</v>
      </c>
      <c r="B1333" t="s">
        <v>10</v>
      </c>
      <c r="C1333" t="str">
        <f>"蹇强"</f>
        <v>蹇强</v>
      </c>
      <c r="D1333" t="str">
        <f>"男"</f>
        <v>男</v>
      </c>
    </row>
    <row r="1334" spans="1:4" ht="24" customHeight="1">
      <c r="A1334" t="str">
        <f>"10512020072814040230272"</f>
        <v>10512020072814040230272</v>
      </c>
      <c r="B1334" t="s">
        <v>6</v>
      </c>
      <c r="C1334" t="str">
        <f>"喻军"</f>
        <v>喻军</v>
      </c>
      <c r="D1334" t="str">
        <f>"男"</f>
        <v>男</v>
      </c>
    </row>
    <row r="1335" spans="1:4" ht="24" customHeight="1">
      <c r="A1335" t="str">
        <f>"10512020072814053230273"</f>
        <v>10512020072814053230273</v>
      </c>
      <c r="B1335" t="s">
        <v>28</v>
      </c>
      <c r="C1335" t="str">
        <f>"唐梦婷"</f>
        <v>唐梦婷</v>
      </c>
      <c r="D1335" t="str">
        <f>"女"</f>
        <v>女</v>
      </c>
    </row>
    <row r="1336" spans="1:4" ht="24" customHeight="1">
      <c r="A1336" t="str">
        <f>"10512020072814054130274"</f>
        <v>10512020072814054130274</v>
      </c>
      <c r="B1336" t="s">
        <v>10</v>
      </c>
      <c r="C1336" t="str">
        <f>"姜翊"</f>
        <v>姜翊</v>
      </c>
      <c r="D1336" t="str">
        <f>"女"</f>
        <v>女</v>
      </c>
    </row>
    <row r="1337" spans="1:4" ht="24" customHeight="1">
      <c r="A1337" t="str">
        <f>"10512020072814071630275"</f>
        <v>10512020072814071630275</v>
      </c>
      <c r="B1337" t="s">
        <v>55</v>
      </c>
      <c r="C1337" t="str">
        <f>"唐诗蓉"</f>
        <v>唐诗蓉</v>
      </c>
      <c r="D1337" t="str">
        <f>"女"</f>
        <v>女</v>
      </c>
    </row>
    <row r="1338" spans="1:4" ht="24" customHeight="1">
      <c r="A1338" t="str">
        <f>"10512020072814123230277"</f>
        <v>10512020072814123230277</v>
      </c>
      <c r="B1338" t="s">
        <v>13</v>
      </c>
      <c r="C1338" t="str">
        <f>"王艺思敏"</f>
        <v>王艺思敏</v>
      </c>
      <c r="D1338" t="str">
        <f>"男"</f>
        <v>男</v>
      </c>
    </row>
    <row r="1339" spans="1:4" ht="24" customHeight="1">
      <c r="A1339" t="str">
        <f>"10512020072814142230278"</f>
        <v>10512020072814142230278</v>
      </c>
      <c r="B1339" t="s">
        <v>11</v>
      </c>
      <c r="C1339" t="str">
        <f>"夏非雪"</f>
        <v>夏非雪</v>
      </c>
      <c r="D1339" t="str">
        <f>"女"</f>
        <v>女</v>
      </c>
    </row>
    <row r="1340" spans="1:4" ht="24" customHeight="1">
      <c r="A1340" t="str">
        <f>"10512020072814155030279"</f>
        <v>10512020072814155030279</v>
      </c>
      <c r="B1340" t="s">
        <v>5</v>
      </c>
      <c r="C1340" t="str">
        <f>"胡笛"</f>
        <v>胡笛</v>
      </c>
      <c r="D1340" t="str">
        <f>"女"</f>
        <v>女</v>
      </c>
    </row>
    <row r="1341" spans="1:4" ht="24" customHeight="1">
      <c r="A1341" t="str">
        <f>"10512020072814181430280"</f>
        <v>10512020072814181430280</v>
      </c>
      <c r="B1341" t="s">
        <v>13</v>
      </c>
      <c r="C1341" t="str">
        <f>"张湘明"</f>
        <v>张湘明</v>
      </c>
      <c r="D1341" t="str">
        <f>"男"</f>
        <v>男</v>
      </c>
    </row>
    <row r="1342" spans="1:4" ht="24" customHeight="1">
      <c r="A1342" t="str">
        <f>"10512020072814192230281"</f>
        <v>10512020072814192230281</v>
      </c>
      <c r="B1342" t="s">
        <v>28</v>
      </c>
      <c r="C1342" t="str">
        <f>"邹汶纹"</f>
        <v>邹汶纹</v>
      </c>
      <c r="D1342" t="str">
        <f>"女"</f>
        <v>女</v>
      </c>
    </row>
    <row r="1343" spans="1:4" ht="24" customHeight="1">
      <c r="A1343" t="str">
        <f>"10512020072814200430282"</f>
        <v>10512020072814200430282</v>
      </c>
      <c r="B1343" t="s">
        <v>20</v>
      </c>
      <c r="C1343" t="str">
        <f>"李悦"</f>
        <v>李悦</v>
      </c>
      <c r="D1343" t="str">
        <f>"男"</f>
        <v>男</v>
      </c>
    </row>
    <row r="1344" spans="1:4" ht="24" customHeight="1">
      <c r="A1344" t="str">
        <f>"10512020072814203430283"</f>
        <v>10512020072814203430283</v>
      </c>
      <c r="B1344" t="s">
        <v>9</v>
      </c>
      <c r="C1344" t="str">
        <f>"张猛"</f>
        <v>张猛</v>
      </c>
      <c r="D1344" t="str">
        <f>"男"</f>
        <v>男</v>
      </c>
    </row>
    <row r="1345" spans="1:4" ht="24" customHeight="1">
      <c r="A1345" t="str">
        <f>"10512020072814240030284"</f>
        <v>10512020072814240030284</v>
      </c>
      <c r="B1345" t="s">
        <v>6</v>
      </c>
      <c r="C1345" t="str">
        <f>"焦映珍"</f>
        <v>焦映珍</v>
      </c>
      <c r="D1345" t="str">
        <f>"女"</f>
        <v>女</v>
      </c>
    </row>
    <row r="1346" spans="1:4" ht="24" customHeight="1">
      <c r="A1346" t="str">
        <f>"10512020072814342330286"</f>
        <v>10512020072814342330286</v>
      </c>
      <c r="B1346" t="s">
        <v>5</v>
      </c>
      <c r="C1346" t="str">
        <f>"刘大绪"</f>
        <v>刘大绪</v>
      </c>
      <c r="D1346" t="str">
        <f>"男"</f>
        <v>男</v>
      </c>
    </row>
    <row r="1347" spans="1:4" ht="24" customHeight="1">
      <c r="A1347" t="str">
        <f>"10512020072814403130287"</f>
        <v>10512020072814403130287</v>
      </c>
      <c r="B1347" t="s">
        <v>28</v>
      </c>
      <c r="C1347" t="str">
        <f>"卢婷"</f>
        <v>卢婷</v>
      </c>
      <c r="D1347" t="str">
        <f>"女"</f>
        <v>女</v>
      </c>
    </row>
    <row r="1348" spans="1:4" ht="24" customHeight="1">
      <c r="A1348" t="str">
        <f>"10512020072814583530288"</f>
        <v>10512020072814583530288</v>
      </c>
      <c r="B1348" t="s">
        <v>30</v>
      </c>
      <c r="C1348" t="str">
        <f>"王霖"</f>
        <v>王霖</v>
      </c>
      <c r="D1348" t="str">
        <f>"男"</f>
        <v>男</v>
      </c>
    </row>
    <row r="1349" spans="1:4" ht="24" customHeight="1">
      <c r="A1349" t="str">
        <f>"10512020072814594030289"</f>
        <v>10512020072814594030289</v>
      </c>
      <c r="B1349" t="s">
        <v>38</v>
      </c>
      <c r="C1349" t="str">
        <f>"唐萌翎"</f>
        <v>唐萌翎</v>
      </c>
      <c r="D1349" t="str">
        <f>"女"</f>
        <v>女</v>
      </c>
    </row>
    <row r="1350" spans="1:4" ht="24" customHeight="1">
      <c r="A1350" t="str">
        <f>"10512020072815013530290"</f>
        <v>10512020072815013530290</v>
      </c>
      <c r="B1350" t="s">
        <v>45</v>
      </c>
      <c r="C1350" t="str">
        <f>"刘建军"</f>
        <v>刘建军</v>
      </c>
      <c r="D1350" t="str">
        <f>"男"</f>
        <v>男</v>
      </c>
    </row>
    <row r="1351" spans="1:4" ht="24" customHeight="1">
      <c r="A1351" t="str">
        <f>"10512020072815050530291"</f>
        <v>10512020072815050530291</v>
      </c>
      <c r="B1351" t="s">
        <v>27</v>
      </c>
      <c r="C1351" t="str">
        <f>"龙名杨"</f>
        <v>龙名杨</v>
      </c>
      <c r="D1351" t="str">
        <f>"男"</f>
        <v>男</v>
      </c>
    </row>
    <row r="1352" spans="1:4" ht="24" customHeight="1">
      <c r="A1352" t="str">
        <f>"10512020072815104130292"</f>
        <v>10512020072815104130292</v>
      </c>
      <c r="B1352" t="s">
        <v>23</v>
      </c>
      <c r="C1352" t="str">
        <f>"苏晓林"</f>
        <v>苏晓林</v>
      </c>
      <c r="D1352" t="str">
        <f>"女"</f>
        <v>女</v>
      </c>
    </row>
    <row r="1353" spans="1:4" ht="24" customHeight="1">
      <c r="A1353" t="str">
        <f>"10512020072815111330293"</f>
        <v>10512020072815111330293</v>
      </c>
      <c r="B1353" t="s">
        <v>33</v>
      </c>
      <c r="C1353" t="str">
        <f>"施雅蓉"</f>
        <v>施雅蓉</v>
      </c>
      <c r="D1353" t="str">
        <f>"女"</f>
        <v>女</v>
      </c>
    </row>
    <row r="1354" spans="1:4" ht="24" customHeight="1">
      <c r="A1354" t="str">
        <f>"10512020072815130930294"</f>
        <v>10512020072815130930294</v>
      </c>
      <c r="B1354" t="s">
        <v>21</v>
      </c>
      <c r="C1354" t="str">
        <f>"向瑾瑶"</f>
        <v>向瑾瑶</v>
      </c>
      <c r="D1354" t="str">
        <f>"女"</f>
        <v>女</v>
      </c>
    </row>
    <row r="1355" spans="1:4" ht="24" customHeight="1">
      <c r="A1355" t="str">
        <f>"10512020072815160230295"</f>
        <v>10512020072815160230295</v>
      </c>
      <c r="B1355" t="s">
        <v>13</v>
      </c>
      <c r="C1355" t="str">
        <f>"刘亚雄"</f>
        <v>刘亚雄</v>
      </c>
      <c r="D1355" t="str">
        <f>"男"</f>
        <v>男</v>
      </c>
    </row>
    <row r="1356" spans="1:4" ht="24" customHeight="1">
      <c r="A1356" t="str">
        <f>"10512020072815162030296"</f>
        <v>10512020072815162030296</v>
      </c>
      <c r="B1356" t="s">
        <v>11</v>
      </c>
      <c r="C1356" t="str">
        <f>"邹嘉文"</f>
        <v>邹嘉文</v>
      </c>
      <c r="D1356" t="str">
        <f>"男"</f>
        <v>男</v>
      </c>
    </row>
    <row r="1357" spans="1:4" ht="24" customHeight="1">
      <c r="A1357" t="str">
        <f>"10512020072815211830298"</f>
        <v>10512020072815211830298</v>
      </c>
      <c r="B1357" t="s">
        <v>46</v>
      </c>
      <c r="C1357" t="str">
        <f>"向洋"</f>
        <v>向洋</v>
      </c>
      <c r="D1357" t="str">
        <f>"男"</f>
        <v>男</v>
      </c>
    </row>
    <row r="1358" spans="1:4" ht="24" customHeight="1">
      <c r="A1358" t="str">
        <f>"10512020072815245730299"</f>
        <v>10512020072815245730299</v>
      </c>
      <c r="B1358" t="s">
        <v>6</v>
      </c>
      <c r="C1358" t="str">
        <f>"庄敏"</f>
        <v>庄敏</v>
      </c>
      <c r="D1358" t="str">
        <f>"男"</f>
        <v>男</v>
      </c>
    </row>
    <row r="1359" spans="1:4" ht="24" customHeight="1">
      <c r="A1359" t="str">
        <f>"10512020072815264630301"</f>
        <v>10512020072815264630301</v>
      </c>
      <c r="B1359" t="s">
        <v>27</v>
      </c>
      <c r="C1359" t="str">
        <f>"李菲"</f>
        <v>李菲</v>
      </c>
      <c r="D1359" t="str">
        <f>"女"</f>
        <v>女</v>
      </c>
    </row>
    <row r="1360" spans="1:4" ht="24" customHeight="1">
      <c r="A1360" t="str">
        <f>"10512020072815281930302"</f>
        <v>10512020072815281930302</v>
      </c>
      <c r="B1360" t="s">
        <v>11</v>
      </c>
      <c r="C1360" t="str">
        <f>"黄琳"</f>
        <v>黄琳</v>
      </c>
      <c r="D1360" t="str">
        <f>"女"</f>
        <v>女</v>
      </c>
    </row>
    <row r="1361" spans="1:4" ht="24" customHeight="1">
      <c r="A1361" t="str">
        <f>"10512020072815330230303"</f>
        <v>10512020072815330230303</v>
      </c>
      <c r="B1361" t="s">
        <v>32</v>
      </c>
      <c r="C1361" t="str">
        <f>"彭娜"</f>
        <v>彭娜</v>
      </c>
      <c r="D1361" t="str">
        <f>"女"</f>
        <v>女</v>
      </c>
    </row>
    <row r="1362" spans="1:4" ht="24" customHeight="1">
      <c r="A1362" t="str">
        <f>"10512020072815330230304"</f>
        <v>10512020072815330230304</v>
      </c>
      <c r="B1362" t="s">
        <v>14</v>
      </c>
      <c r="C1362" t="str">
        <f>"何璞煜"</f>
        <v>何璞煜</v>
      </c>
      <c r="D1362" t="str">
        <f>"男"</f>
        <v>男</v>
      </c>
    </row>
    <row r="1363" spans="1:4" ht="24" customHeight="1">
      <c r="A1363" t="str">
        <f>"10512020072815340930305"</f>
        <v>10512020072815340930305</v>
      </c>
      <c r="B1363" t="s">
        <v>9</v>
      </c>
      <c r="C1363" t="str">
        <f>"王日娟"</f>
        <v>王日娟</v>
      </c>
      <c r="D1363" t="str">
        <f>"女"</f>
        <v>女</v>
      </c>
    </row>
    <row r="1364" spans="1:4" ht="24" customHeight="1">
      <c r="A1364" t="str">
        <f>"10512020072815342930306"</f>
        <v>10512020072815342930306</v>
      </c>
      <c r="B1364" t="s">
        <v>6</v>
      </c>
      <c r="C1364" t="str">
        <f>"陈思"</f>
        <v>陈思</v>
      </c>
      <c r="D1364" t="str">
        <f>"女"</f>
        <v>女</v>
      </c>
    </row>
    <row r="1365" spans="1:4" ht="24" customHeight="1">
      <c r="A1365" t="str">
        <f>"10512020072815351230307"</f>
        <v>10512020072815351230307</v>
      </c>
      <c r="B1365" t="s">
        <v>24</v>
      </c>
      <c r="C1365" t="str">
        <f>"郑昭"</f>
        <v>郑昭</v>
      </c>
      <c r="D1365" t="str">
        <f>"男"</f>
        <v>男</v>
      </c>
    </row>
    <row r="1366" spans="1:4" ht="24" customHeight="1">
      <c r="A1366" t="str">
        <f>"10512020072815384430308"</f>
        <v>10512020072815384430308</v>
      </c>
      <c r="B1366" t="s">
        <v>13</v>
      </c>
      <c r="C1366" t="str">
        <f>"滕双"</f>
        <v>滕双</v>
      </c>
      <c r="D1366" t="str">
        <f>"女"</f>
        <v>女</v>
      </c>
    </row>
    <row r="1367" spans="1:4" ht="24" customHeight="1">
      <c r="A1367" t="str">
        <f>"10512020072815401330309"</f>
        <v>10512020072815401330309</v>
      </c>
      <c r="B1367" t="s">
        <v>6</v>
      </c>
      <c r="C1367" t="str">
        <f>"魏先柯"</f>
        <v>魏先柯</v>
      </c>
      <c r="D1367" t="str">
        <f>"男"</f>
        <v>男</v>
      </c>
    </row>
    <row r="1368" spans="1:4" ht="24" customHeight="1">
      <c r="A1368" t="str">
        <f>"10512020072815404630310"</f>
        <v>10512020072815404630310</v>
      </c>
      <c r="B1368" t="s">
        <v>28</v>
      </c>
      <c r="C1368" t="str">
        <f>"叶晓君"</f>
        <v>叶晓君</v>
      </c>
      <c r="D1368" t="str">
        <f>"女"</f>
        <v>女</v>
      </c>
    </row>
    <row r="1369" spans="1:4" ht="24" customHeight="1">
      <c r="A1369" t="str">
        <f>"10512020072815420630311"</f>
        <v>10512020072815420630311</v>
      </c>
      <c r="B1369" t="s">
        <v>12</v>
      </c>
      <c r="C1369" t="str">
        <f>"赵娇"</f>
        <v>赵娇</v>
      </c>
      <c r="D1369" t="str">
        <f>"女"</f>
        <v>女</v>
      </c>
    </row>
    <row r="1370" spans="1:4" ht="24" customHeight="1">
      <c r="A1370" t="str">
        <f>"10512020072815431830312"</f>
        <v>10512020072815431830312</v>
      </c>
      <c r="B1370" t="s">
        <v>16</v>
      </c>
      <c r="C1370" t="str">
        <f>"陈晨"</f>
        <v>陈晨</v>
      </c>
      <c r="D1370" t="str">
        <f>"女"</f>
        <v>女</v>
      </c>
    </row>
    <row r="1371" spans="1:4" ht="24" customHeight="1">
      <c r="A1371" t="str">
        <f>"10512020072815441030313"</f>
        <v>10512020072815441030313</v>
      </c>
      <c r="B1371" t="s">
        <v>24</v>
      </c>
      <c r="C1371" t="str">
        <f>"杨华"</f>
        <v>杨华</v>
      </c>
      <c r="D1371" t="str">
        <f>"女"</f>
        <v>女</v>
      </c>
    </row>
    <row r="1372" spans="1:4" ht="24" customHeight="1">
      <c r="A1372" t="str">
        <f>"10512020072815502730314"</f>
        <v>10512020072815502730314</v>
      </c>
      <c r="B1372" t="s">
        <v>11</v>
      </c>
      <c r="C1372" t="str">
        <f>"唐超"</f>
        <v>唐超</v>
      </c>
      <c r="D1372" t="str">
        <f>"男"</f>
        <v>男</v>
      </c>
    </row>
    <row r="1373" spans="1:4" ht="24" customHeight="1">
      <c r="A1373" t="str">
        <f>"10512020072815504930315"</f>
        <v>10512020072815504930315</v>
      </c>
      <c r="B1373" t="s">
        <v>48</v>
      </c>
      <c r="C1373" t="str">
        <f>"陈泓玮"</f>
        <v>陈泓玮</v>
      </c>
      <c r="D1373" t="str">
        <f>"男"</f>
        <v>男</v>
      </c>
    </row>
    <row r="1374" spans="1:4" ht="24" customHeight="1">
      <c r="A1374" t="str">
        <f>"10512020072815531430316"</f>
        <v>10512020072815531430316</v>
      </c>
      <c r="B1374" t="s">
        <v>9</v>
      </c>
      <c r="C1374" t="str">
        <f>"万娇"</f>
        <v>万娇</v>
      </c>
      <c r="D1374" t="str">
        <f>"女"</f>
        <v>女</v>
      </c>
    </row>
    <row r="1375" spans="1:4" ht="24" customHeight="1">
      <c r="A1375" t="str">
        <f>"10512020072815583430319"</f>
        <v>10512020072815583430319</v>
      </c>
      <c r="B1375" t="s">
        <v>14</v>
      </c>
      <c r="C1375" t="str">
        <f>"甘元方"</f>
        <v>甘元方</v>
      </c>
      <c r="D1375" t="str">
        <f>"女"</f>
        <v>女</v>
      </c>
    </row>
    <row r="1376" spans="1:4" ht="24" customHeight="1">
      <c r="A1376" t="str">
        <f>"10512020072815591330320"</f>
        <v>10512020072815591330320</v>
      </c>
      <c r="B1376" t="s">
        <v>27</v>
      </c>
      <c r="C1376" t="str">
        <f>"杨凡"</f>
        <v>杨凡</v>
      </c>
      <c r="D1376" t="str">
        <f>"男"</f>
        <v>男</v>
      </c>
    </row>
    <row r="1377" spans="1:4" ht="24" customHeight="1">
      <c r="A1377" t="str">
        <f>"10512020072815593530321"</f>
        <v>10512020072815593530321</v>
      </c>
      <c r="B1377" t="s">
        <v>6</v>
      </c>
      <c r="C1377" t="str">
        <f>"彭鹏"</f>
        <v>彭鹏</v>
      </c>
      <c r="D1377" t="str">
        <f>"男"</f>
        <v>男</v>
      </c>
    </row>
    <row r="1378" spans="1:4" ht="24" customHeight="1">
      <c r="A1378" t="str">
        <f>"10512020072816000830322"</f>
        <v>10512020072816000830322</v>
      </c>
      <c r="B1378" t="s">
        <v>9</v>
      </c>
      <c r="C1378" t="str">
        <f>"胡志伟"</f>
        <v>胡志伟</v>
      </c>
      <c r="D1378" t="str">
        <f>"男"</f>
        <v>男</v>
      </c>
    </row>
    <row r="1379" spans="1:4" ht="24" customHeight="1">
      <c r="A1379" t="str">
        <f>"10512020072816013930323"</f>
        <v>10512020072816013930323</v>
      </c>
      <c r="B1379" t="s">
        <v>48</v>
      </c>
      <c r="C1379" t="str">
        <f>"黄梦莹"</f>
        <v>黄梦莹</v>
      </c>
      <c r="D1379" t="str">
        <f>"女"</f>
        <v>女</v>
      </c>
    </row>
    <row r="1380" spans="1:4" ht="24" customHeight="1">
      <c r="A1380" t="str">
        <f>"10512020072816032230324"</f>
        <v>10512020072816032230324</v>
      </c>
      <c r="B1380" t="s">
        <v>19</v>
      </c>
      <c r="C1380" t="str">
        <f>"苏尧"</f>
        <v>苏尧</v>
      </c>
      <c r="D1380" t="str">
        <f>"男"</f>
        <v>男</v>
      </c>
    </row>
    <row r="1381" spans="1:4" ht="24" customHeight="1">
      <c r="A1381" t="str">
        <f>"10512020072816051030325"</f>
        <v>10512020072816051030325</v>
      </c>
      <c r="B1381" t="s">
        <v>31</v>
      </c>
      <c r="C1381" t="str">
        <f>"张子豪"</f>
        <v>张子豪</v>
      </c>
      <c r="D1381" t="str">
        <f>"男"</f>
        <v>男</v>
      </c>
    </row>
    <row r="1382" spans="1:4" ht="24" customHeight="1">
      <c r="A1382" t="str">
        <f>"10512020072816074630327"</f>
        <v>10512020072816074630327</v>
      </c>
      <c r="B1382" t="s">
        <v>5</v>
      </c>
      <c r="C1382" t="str">
        <f>"陈立"</f>
        <v>陈立</v>
      </c>
      <c r="D1382" t="str">
        <f>"男"</f>
        <v>男</v>
      </c>
    </row>
    <row r="1383" spans="1:4" ht="24" customHeight="1">
      <c r="A1383" t="str">
        <f>"10512020072816082330328"</f>
        <v>10512020072816082330328</v>
      </c>
      <c r="B1383" t="s">
        <v>26</v>
      </c>
      <c r="C1383" t="str">
        <f>"余章敏"</f>
        <v>余章敏</v>
      </c>
      <c r="D1383" t="str">
        <f>"男"</f>
        <v>男</v>
      </c>
    </row>
    <row r="1384" spans="1:4" ht="24" customHeight="1">
      <c r="A1384" t="str">
        <f>"10512020072816102430329"</f>
        <v>10512020072816102430329</v>
      </c>
      <c r="B1384" t="s">
        <v>54</v>
      </c>
      <c r="C1384" t="str">
        <f>"郭艺"</f>
        <v>郭艺</v>
      </c>
      <c r="D1384" t="str">
        <f>"女"</f>
        <v>女</v>
      </c>
    </row>
    <row r="1385" spans="1:4" ht="24" customHeight="1">
      <c r="A1385" t="str">
        <f>"10512020072816105030330"</f>
        <v>10512020072816105030330</v>
      </c>
      <c r="B1385" t="s">
        <v>20</v>
      </c>
      <c r="C1385" t="str">
        <f>"蔡涓"</f>
        <v>蔡涓</v>
      </c>
      <c r="D1385" t="str">
        <f>"女"</f>
        <v>女</v>
      </c>
    </row>
    <row r="1386" spans="1:4" ht="24" customHeight="1">
      <c r="A1386" t="str">
        <f>"10512020072816110530331"</f>
        <v>10512020072816110530331</v>
      </c>
      <c r="B1386" t="s">
        <v>13</v>
      </c>
      <c r="C1386" t="str">
        <f>"杨晚成"</f>
        <v>杨晚成</v>
      </c>
      <c r="D1386" t="str">
        <f>"男"</f>
        <v>男</v>
      </c>
    </row>
    <row r="1387" spans="1:4" ht="24" customHeight="1">
      <c r="A1387" t="str">
        <f>"10512020072816114530333"</f>
        <v>10512020072816114530333</v>
      </c>
      <c r="B1387" t="s">
        <v>13</v>
      </c>
      <c r="C1387" t="str">
        <f>"胡力午"</f>
        <v>胡力午</v>
      </c>
      <c r="D1387" t="str">
        <f>"男"</f>
        <v>男</v>
      </c>
    </row>
    <row r="1388" spans="1:4" ht="24" customHeight="1">
      <c r="A1388" t="str">
        <f>"10512020072816130530334"</f>
        <v>10512020072816130530334</v>
      </c>
      <c r="B1388" t="s">
        <v>7</v>
      </c>
      <c r="C1388" t="str">
        <f>"邓徐宇"</f>
        <v>邓徐宇</v>
      </c>
      <c r="D1388" t="str">
        <f>"女"</f>
        <v>女</v>
      </c>
    </row>
    <row r="1389" spans="1:4" ht="24" customHeight="1">
      <c r="A1389" t="str">
        <f>"10512020072816152230335"</f>
        <v>10512020072816152230335</v>
      </c>
      <c r="B1389" t="s">
        <v>12</v>
      </c>
      <c r="C1389" t="str">
        <f>"陈文"</f>
        <v>陈文</v>
      </c>
      <c r="D1389" t="str">
        <f>"女"</f>
        <v>女</v>
      </c>
    </row>
    <row r="1390" spans="1:4" ht="24" customHeight="1">
      <c r="A1390" t="str">
        <f>"10512020072816175830336"</f>
        <v>10512020072816175830336</v>
      </c>
      <c r="B1390" t="s">
        <v>10</v>
      </c>
      <c r="C1390" t="str">
        <f>"蒋佳圣"</f>
        <v>蒋佳圣</v>
      </c>
      <c r="D1390" t="str">
        <f>"男"</f>
        <v>男</v>
      </c>
    </row>
    <row r="1391" spans="1:4" ht="24" customHeight="1">
      <c r="A1391" t="str">
        <f>"10512020072816225330337"</f>
        <v>10512020072816225330337</v>
      </c>
      <c r="B1391" t="s">
        <v>38</v>
      </c>
      <c r="C1391" t="str">
        <f>"喻文足"</f>
        <v>喻文足</v>
      </c>
      <c r="D1391" t="str">
        <f>"女"</f>
        <v>女</v>
      </c>
    </row>
    <row r="1392" spans="1:4" ht="24" customHeight="1">
      <c r="A1392" t="str">
        <f>"10512020072816252830338"</f>
        <v>10512020072816252830338</v>
      </c>
      <c r="B1392" t="s">
        <v>27</v>
      </c>
      <c r="C1392" t="str">
        <f>"罗妹"</f>
        <v>罗妹</v>
      </c>
      <c r="D1392" t="str">
        <f>"女"</f>
        <v>女</v>
      </c>
    </row>
    <row r="1393" spans="1:4" ht="24" customHeight="1">
      <c r="A1393" t="str">
        <f>"10512020072816264830339"</f>
        <v>10512020072816264830339</v>
      </c>
      <c r="B1393" t="s">
        <v>26</v>
      </c>
      <c r="C1393" t="str">
        <f>"辛丹"</f>
        <v>辛丹</v>
      </c>
      <c r="D1393" t="str">
        <f>"女"</f>
        <v>女</v>
      </c>
    </row>
    <row r="1394" spans="1:4" ht="24" customHeight="1">
      <c r="A1394" t="str">
        <f>"10512020072816274430340"</f>
        <v>10512020072816274430340</v>
      </c>
      <c r="B1394" t="s">
        <v>11</v>
      </c>
      <c r="C1394" t="str">
        <f>"戴祎"</f>
        <v>戴祎</v>
      </c>
      <c r="D1394" t="str">
        <f>"女"</f>
        <v>女</v>
      </c>
    </row>
    <row r="1395" spans="1:4" ht="24" customHeight="1">
      <c r="A1395" t="str">
        <f>"10512020072816300230341"</f>
        <v>10512020072816300230341</v>
      </c>
      <c r="B1395" t="s">
        <v>25</v>
      </c>
      <c r="C1395" t="str">
        <f>"杨清"</f>
        <v>杨清</v>
      </c>
      <c r="D1395" t="str">
        <f>"女"</f>
        <v>女</v>
      </c>
    </row>
    <row r="1396" spans="1:4" ht="24" customHeight="1">
      <c r="A1396" t="str">
        <f>"10512020072816321730342"</f>
        <v>10512020072816321730342</v>
      </c>
      <c r="B1396" t="s">
        <v>20</v>
      </c>
      <c r="C1396" t="str">
        <f>"谭子轩"</f>
        <v>谭子轩</v>
      </c>
      <c r="D1396" t="str">
        <f>"男"</f>
        <v>男</v>
      </c>
    </row>
    <row r="1397" spans="1:4" ht="24" customHeight="1">
      <c r="A1397" t="str">
        <f>"10512020072816342930343"</f>
        <v>10512020072816342930343</v>
      </c>
      <c r="B1397" t="s">
        <v>10</v>
      </c>
      <c r="C1397" t="str">
        <f>"唐子钥"</f>
        <v>唐子钥</v>
      </c>
      <c r="D1397" t="str">
        <f>"女"</f>
        <v>女</v>
      </c>
    </row>
    <row r="1398" spans="1:4" ht="24" customHeight="1">
      <c r="A1398" t="str">
        <f>"10512020072816360530345"</f>
        <v>10512020072816360530345</v>
      </c>
      <c r="B1398" t="s">
        <v>11</v>
      </c>
      <c r="C1398" t="str">
        <f>"于娟婷"</f>
        <v>于娟婷</v>
      </c>
      <c r="D1398" t="str">
        <f>"女"</f>
        <v>女</v>
      </c>
    </row>
    <row r="1399" spans="1:4" ht="24" customHeight="1">
      <c r="A1399" t="str">
        <f>"10512020072816410030346"</f>
        <v>10512020072816410030346</v>
      </c>
      <c r="B1399" t="s">
        <v>31</v>
      </c>
      <c r="C1399" t="str">
        <f>"柏宇田"</f>
        <v>柏宇田</v>
      </c>
      <c r="D1399" t="str">
        <f>"女"</f>
        <v>女</v>
      </c>
    </row>
    <row r="1400" spans="1:4" ht="24" customHeight="1">
      <c r="A1400" t="str">
        <f>"10512020072816463130347"</f>
        <v>10512020072816463130347</v>
      </c>
      <c r="B1400" t="s">
        <v>11</v>
      </c>
      <c r="C1400" t="str">
        <f>"伍文杰"</f>
        <v>伍文杰</v>
      </c>
      <c r="D1400" t="str">
        <f>"男"</f>
        <v>男</v>
      </c>
    </row>
    <row r="1401" spans="1:4" ht="24" customHeight="1">
      <c r="A1401" t="str">
        <f>"10512020072816464130348"</f>
        <v>10512020072816464130348</v>
      </c>
      <c r="B1401" t="s">
        <v>6</v>
      </c>
      <c r="C1401" t="str">
        <f>"向倩雲"</f>
        <v>向倩雲</v>
      </c>
      <c r="D1401" t="str">
        <f>"女"</f>
        <v>女</v>
      </c>
    </row>
    <row r="1402" spans="1:4" ht="24" customHeight="1">
      <c r="A1402" t="str">
        <f>"10512020072816481430349"</f>
        <v>10512020072816481430349</v>
      </c>
      <c r="B1402" t="s">
        <v>13</v>
      </c>
      <c r="C1402" t="str">
        <f>"杨敏"</f>
        <v>杨敏</v>
      </c>
      <c r="D1402" t="str">
        <f>"女"</f>
        <v>女</v>
      </c>
    </row>
    <row r="1403" spans="1:4" ht="24" customHeight="1">
      <c r="A1403" t="str">
        <f>"10512020072816522030350"</f>
        <v>10512020072816522030350</v>
      </c>
      <c r="B1403" t="s">
        <v>13</v>
      </c>
      <c r="C1403" t="str">
        <f>"陈志敏"</f>
        <v>陈志敏</v>
      </c>
      <c r="D1403" t="str">
        <f>"女"</f>
        <v>女</v>
      </c>
    </row>
    <row r="1404" spans="1:4" ht="24" customHeight="1">
      <c r="A1404" t="str">
        <f>"10512020072816523630351"</f>
        <v>10512020072816523630351</v>
      </c>
      <c r="B1404" t="s">
        <v>48</v>
      </c>
      <c r="C1404" t="str">
        <f>"郑重"</f>
        <v>郑重</v>
      </c>
      <c r="D1404" t="str">
        <f>"男"</f>
        <v>男</v>
      </c>
    </row>
    <row r="1405" spans="1:4" ht="24" customHeight="1">
      <c r="A1405" t="str">
        <f>"10512020072816533330352"</f>
        <v>10512020072816533330352</v>
      </c>
      <c r="B1405" t="s">
        <v>6</v>
      </c>
      <c r="C1405" t="str">
        <f>"黄慈文"</f>
        <v>黄慈文</v>
      </c>
      <c r="D1405" t="str">
        <f>"男"</f>
        <v>男</v>
      </c>
    </row>
    <row r="1406" spans="1:4" ht="24" customHeight="1">
      <c r="A1406" t="str">
        <f>"10512020072816555330353"</f>
        <v>10512020072816555330353</v>
      </c>
      <c r="B1406" t="s">
        <v>7</v>
      </c>
      <c r="C1406" t="str">
        <f>"赵垚垚"</f>
        <v>赵垚垚</v>
      </c>
      <c r="D1406" t="str">
        <f>"男"</f>
        <v>男</v>
      </c>
    </row>
    <row r="1407" spans="1:4" ht="24" customHeight="1">
      <c r="A1407" t="str">
        <f>"10512020072816592230354"</f>
        <v>10512020072816592230354</v>
      </c>
      <c r="B1407" t="s">
        <v>14</v>
      </c>
      <c r="C1407" t="str">
        <f>"周秋池"</f>
        <v>周秋池</v>
      </c>
      <c r="D1407" t="str">
        <f t="shared" ref="D1407:D1412" si="29">"女"</f>
        <v>女</v>
      </c>
    </row>
    <row r="1408" spans="1:4" ht="24" customHeight="1">
      <c r="A1408" t="str">
        <f>"10512020072817001930355"</f>
        <v>10512020072817001930355</v>
      </c>
      <c r="B1408" t="s">
        <v>6</v>
      </c>
      <c r="C1408" t="str">
        <f>"贾晓莉"</f>
        <v>贾晓莉</v>
      </c>
      <c r="D1408" t="str">
        <f t="shared" si="29"/>
        <v>女</v>
      </c>
    </row>
    <row r="1409" spans="1:4" ht="24" customHeight="1">
      <c r="A1409" t="str">
        <f>"10512020072817062830356"</f>
        <v>10512020072817062830356</v>
      </c>
      <c r="B1409" t="s">
        <v>33</v>
      </c>
      <c r="C1409" t="str">
        <f>"张烨"</f>
        <v>张烨</v>
      </c>
      <c r="D1409" t="str">
        <f t="shared" si="29"/>
        <v>女</v>
      </c>
    </row>
    <row r="1410" spans="1:4" ht="24" customHeight="1">
      <c r="A1410" t="str">
        <f>"10512020072817093630357"</f>
        <v>10512020072817093630357</v>
      </c>
      <c r="B1410" t="s">
        <v>41</v>
      </c>
      <c r="C1410" t="str">
        <f>"邓雅倩"</f>
        <v>邓雅倩</v>
      </c>
      <c r="D1410" t="str">
        <f t="shared" si="29"/>
        <v>女</v>
      </c>
    </row>
    <row r="1411" spans="1:4" ht="24" customHeight="1">
      <c r="A1411" t="str">
        <f>"10512020072817124330358"</f>
        <v>10512020072817124330358</v>
      </c>
      <c r="B1411" t="s">
        <v>12</v>
      </c>
      <c r="C1411" t="str">
        <f>"李锋"</f>
        <v>李锋</v>
      </c>
      <c r="D1411" t="str">
        <f t="shared" si="29"/>
        <v>女</v>
      </c>
    </row>
    <row r="1412" spans="1:4" ht="24" customHeight="1">
      <c r="A1412" t="str">
        <f>"10512020072817132430359"</f>
        <v>10512020072817132430359</v>
      </c>
      <c r="B1412" t="s">
        <v>20</v>
      </c>
      <c r="C1412" t="str">
        <f>"朱金萍"</f>
        <v>朱金萍</v>
      </c>
      <c r="D1412" t="str">
        <f t="shared" si="29"/>
        <v>女</v>
      </c>
    </row>
    <row r="1413" spans="1:4" ht="24" customHeight="1">
      <c r="A1413" t="str">
        <f>"10512020072817140930360"</f>
        <v>10512020072817140930360</v>
      </c>
      <c r="B1413" t="s">
        <v>20</v>
      </c>
      <c r="C1413" t="str">
        <f>"黄翊武"</f>
        <v>黄翊武</v>
      </c>
      <c r="D1413" t="str">
        <f>"男"</f>
        <v>男</v>
      </c>
    </row>
    <row r="1414" spans="1:4" ht="24" customHeight="1">
      <c r="A1414" t="str">
        <f>"10512020072817152430361"</f>
        <v>10512020072817152430361</v>
      </c>
      <c r="B1414" t="s">
        <v>30</v>
      </c>
      <c r="C1414" t="str">
        <f>"郭奕嵘"</f>
        <v>郭奕嵘</v>
      </c>
      <c r="D1414" t="str">
        <f>"女"</f>
        <v>女</v>
      </c>
    </row>
    <row r="1415" spans="1:4" ht="24" customHeight="1">
      <c r="A1415" t="str">
        <f>"10512020072817190230362"</f>
        <v>10512020072817190230362</v>
      </c>
      <c r="B1415" t="s">
        <v>26</v>
      </c>
      <c r="C1415" t="str">
        <f>"易敏"</f>
        <v>易敏</v>
      </c>
      <c r="D1415" t="str">
        <f>"女"</f>
        <v>女</v>
      </c>
    </row>
    <row r="1416" spans="1:4" ht="24" customHeight="1">
      <c r="A1416" t="str">
        <f>"10512020072817194430363"</f>
        <v>10512020072817194430363</v>
      </c>
      <c r="B1416" t="s">
        <v>48</v>
      </c>
      <c r="C1416" t="str">
        <f>"刘鑫"</f>
        <v>刘鑫</v>
      </c>
      <c r="D1416" t="str">
        <f>"男"</f>
        <v>男</v>
      </c>
    </row>
    <row r="1417" spans="1:4" ht="24" customHeight="1">
      <c r="A1417" t="str">
        <f>"10512020072817225830364"</f>
        <v>10512020072817225830364</v>
      </c>
      <c r="B1417" t="s">
        <v>11</v>
      </c>
      <c r="C1417" t="str">
        <f>"雷无语"</f>
        <v>雷无语</v>
      </c>
      <c r="D1417" t="str">
        <f>"女"</f>
        <v>女</v>
      </c>
    </row>
    <row r="1418" spans="1:4" ht="24" customHeight="1">
      <c r="A1418" t="str">
        <f>"10512020072817301430365"</f>
        <v>10512020072817301430365</v>
      </c>
      <c r="B1418" t="s">
        <v>9</v>
      </c>
      <c r="C1418" t="str">
        <f>"张萍"</f>
        <v>张萍</v>
      </c>
      <c r="D1418" t="str">
        <f>"女"</f>
        <v>女</v>
      </c>
    </row>
    <row r="1419" spans="1:4" ht="24" customHeight="1">
      <c r="A1419" t="str">
        <f>"10512020072817305130366"</f>
        <v>10512020072817305130366</v>
      </c>
      <c r="B1419" t="s">
        <v>45</v>
      </c>
      <c r="C1419" t="str">
        <f>"甘武君"</f>
        <v>甘武君</v>
      </c>
      <c r="D1419" t="str">
        <f>"男"</f>
        <v>男</v>
      </c>
    </row>
    <row r="1420" spans="1:4" ht="24" customHeight="1">
      <c r="A1420" t="str">
        <f>"10512020072817313630367"</f>
        <v>10512020072817313630367</v>
      </c>
      <c r="B1420" t="s">
        <v>28</v>
      </c>
      <c r="C1420" t="str">
        <f>"江宛婕"</f>
        <v>江宛婕</v>
      </c>
      <c r="D1420" t="str">
        <f>"女"</f>
        <v>女</v>
      </c>
    </row>
    <row r="1421" spans="1:4" ht="24" customHeight="1">
      <c r="A1421" t="str">
        <f>"10512020072817333230368"</f>
        <v>10512020072817333230368</v>
      </c>
      <c r="B1421" t="s">
        <v>18</v>
      </c>
      <c r="C1421" t="str">
        <f>"秦伟琪"</f>
        <v>秦伟琪</v>
      </c>
      <c r="D1421" t="str">
        <f>"女"</f>
        <v>女</v>
      </c>
    </row>
    <row r="1422" spans="1:4" ht="24" customHeight="1">
      <c r="A1422" t="str">
        <f>"10512020072817350130369"</f>
        <v>10512020072817350130369</v>
      </c>
      <c r="B1422" t="s">
        <v>5</v>
      </c>
      <c r="C1422" t="str">
        <f>"吴欢"</f>
        <v>吴欢</v>
      </c>
      <c r="D1422" t="str">
        <f>"女"</f>
        <v>女</v>
      </c>
    </row>
    <row r="1423" spans="1:4" ht="24" customHeight="1">
      <c r="A1423" t="str">
        <f>"10512020072817351830370"</f>
        <v>10512020072817351830370</v>
      </c>
      <c r="B1423" t="s">
        <v>13</v>
      </c>
      <c r="C1423" t="str">
        <f>"黄源"</f>
        <v>黄源</v>
      </c>
      <c r="D1423" t="str">
        <f>"女"</f>
        <v>女</v>
      </c>
    </row>
    <row r="1424" spans="1:4" ht="24" customHeight="1">
      <c r="A1424" t="str">
        <f>"10512020072817372230371"</f>
        <v>10512020072817372230371</v>
      </c>
      <c r="B1424" t="s">
        <v>23</v>
      </c>
      <c r="C1424" t="str">
        <f>"刘平"</f>
        <v>刘平</v>
      </c>
      <c r="D1424" t="str">
        <f>"男"</f>
        <v>男</v>
      </c>
    </row>
    <row r="1425" spans="1:4" ht="24" customHeight="1">
      <c r="A1425" t="str">
        <f>"10512020072817374730372"</f>
        <v>10512020072817374730372</v>
      </c>
      <c r="B1425" t="s">
        <v>13</v>
      </c>
      <c r="C1425" t="str">
        <f>"高欣"</f>
        <v>高欣</v>
      </c>
      <c r="D1425" t="str">
        <f>"女"</f>
        <v>女</v>
      </c>
    </row>
    <row r="1426" spans="1:4" ht="24" customHeight="1">
      <c r="A1426" t="str">
        <f>"10512020072817454430373"</f>
        <v>10512020072817454430373</v>
      </c>
      <c r="B1426" t="s">
        <v>21</v>
      </c>
      <c r="C1426" t="str">
        <f>"杨妮娟"</f>
        <v>杨妮娟</v>
      </c>
      <c r="D1426" t="str">
        <f>"女"</f>
        <v>女</v>
      </c>
    </row>
    <row r="1427" spans="1:4" ht="24" customHeight="1">
      <c r="A1427" t="str">
        <f>"10512020072817482030374"</f>
        <v>10512020072817482030374</v>
      </c>
      <c r="B1427" t="s">
        <v>16</v>
      </c>
      <c r="C1427" t="str">
        <f>"樊鹏程"</f>
        <v>樊鹏程</v>
      </c>
      <c r="D1427" t="str">
        <f>"男"</f>
        <v>男</v>
      </c>
    </row>
    <row r="1428" spans="1:4" ht="24" customHeight="1">
      <c r="A1428" t="str">
        <f>"10512020072817494630375"</f>
        <v>10512020072817494630375</v>
      </c>
      <c r="B1428" t="s">
        <v>11</v>
      </c>
      <c r="C1428" t="str">
        <f>"曾令那"</f>
        <v>曾令那</v>
      </c>
      <c r="D1428" t="str">
        <f>"女"</f>
        <v>女</v>
      </c>
    </row>
    <row r="1429" spans="1:4" ht="24" customHeight="1">
      <c r="A1429" t="str">
        <f>"10512020072817510630376"</f>
        <v>10512020072817510630376</v>
      </c>
      <c r="B1429" t="s">
        <v>9</v>
      </c>
      <c r="C1429" t="str">
        <f>"彭子芮"</f>
        <v>彭子芮</v>
      </c>
      <c r="D1429" t="str">
        <f>"女"</f>
        <v>女</v>
      </c>
    </row>
    <row r="1430" spans="1:4" ht="24" customHeight="1">
      <c r="A1430" t="str">
        <f>"10512020072817564930377"</f>
        <v>10512020072817564930377</v>
      </c>
      <c r="B1430" t="s">
        <v>16</v>
      </c>
      <c r="C1430" t="str">
        <f>"邱霞"</f>
        <v>邱霞</v>
      </c>
      <c r="D1430" t="str">
        <f>"女"</f>
        <v>女</v>
      </c>
    </row>
    <row r="1431" spans="1:4" ht="24" customHeight="1">
      <c r="A1431" t="str">
        <f>"10512020072817592530378"</f>
        <v>10512020072817592530378</v>
      </c>
      <c r="B1431" t="s">
        <v>13</v>
      </c>
      <c r="C1431" t="str">
        <f>"刘汪达"</f>
        <v>刘汪达</v>
      </c>
      <c r="D1431" t="str">
        <f>"男"</f>
        <v>男</v>
      </c>
    </row>
    <row r="1432" spans="1:4" ht="24" customHeight="1">
      <c r="A1432" t="str">
        <f>"10512020072818034530379"</f>
        <v>10512020072818034530379</v>
      </c>
      <c r="B1432" t="s">
        <v>11</v>
      </c>
      <c r="C1432" t="str">
        <f>"胡文杰"</f>
        <v>胡文杰</v>
      </c>
      <c r="D1432" t="str">
        <f>"男"</f>
        <v>男</v>
      </c>
    </row>
    <row r="1433" spans="1:4" ht="24" customHeight="1">
      <c r="A1433" t="str">
        <f>"10512020072818080230381"</f>
        <v>10512020072818080230381</v>
      </c>
      <c r="B1433" t="s">
        <v>47</v>
      </c>
      <c r="C1433" t="str">
        <f>"吴芝踊"</f>
        <v>吴芝踊</v>
      </c>
      <c r="D1433" t="str">
        <f>"男"</f>
        <v>男</v>
      </c>
    </row>
    <row r="1434" spans="1:4" ht="24" customHeight="1">
      <c r="A1434" t="str">
        <f>"10512020072818111830382"</f>
        <v>10512020072818111830382</v>
      </c>
      <c r="B1434" t="s">
        <v>48</v>
      </c>
      <c r="C1434" t="str">
        <f>"汪平"</f>
        <v>汪平</v>
      </c>
      <c r="D1434" t="str">
        <f>"男"</f>
        <v>男</v>
      </c>
    </row>
    <row r="1435" spans="1:4" ht="24" customHeight="1">
      <c r="A1435" t="str">
        <f>"10512020072818224830384"</f>
        <v>10512020072818224830384</v>
      </c>
      <c r="B1435" t="s">
        <v>27</v>
      </c>
      <c r="C1435" t="str">
        <f>"梅婷婷"</f>
        <v>梅婷婷</v>
      </c>
      <c r="D1435" t="str">
        <f>"女"</f>
        <v>女</v>
      </c>
    </row>
    <row r="1436" spans="1:4" ht="24" customHeight="1">
      <c r="A1436" t="str">
        <f>"10512020072818264730385"</f>
        <v>10512020072818264730385</v>
      </c>
      <c r="B1436" t="s">
        <v>20</v>
      </c>
      <c r="C1436" t="str">
        <f>"鲁臣"</f>
        <v>鲁臣</v>
      </c>
      <c r="D1436" t="str">
        <f>"男"</f>
        <v>男</v>
      </c>
    </row>
    <row r="1437" spans="1:4" ht="24" customHeight="1">
      <c r="A1437" t="str">
        <f>"10512020072818282330386"</f>
        <v>10512020072818282330386</v>
      </c>
      <c r="B1437" t="s">
        <v>27</v>
      </c>
      <c r="C1437" t="str">
        <f>"易琳"</f>
        <v>易琳</v>
      </c>
      <c r="D1437" t="str">
        <f>"女"</f>
        <v>女</v>
      </c>
    </row>
    <row r="1438" spans="1:4" ht="24" customHeight="1">
      <c r="A1438" t="str">
        <f>"10512020072818302330387"</f>
        <v>10512020072818302330387</v>
      </c>
      <c r="B1438" t="s">
        <v>13</v>
      </c>
      <c r="C1438" t="str">
        <f>"唐晴"</f>
        <v>唐晴</v>
      </c>
      <c r="D1438" t="str">
        <f>"女"</f>
        <v>女</v>
      </c>
    </row>
    <row r="1439" spans="1:4" ht="24" customHeight="1">
      <c r="A1439" t="str">
        <f>"10512020072818340730388"</f>
        <v>10512020072818340730388</v>
      </c>
      <c r="B1439" t="s">
        <v>46</v>
      </c>
      <c r="C1439" t="str">
        <f>"黄敏"</f>
        <v>黄敏</v>
      </c>
      <c r="D1439" t="str">
        <f>"男"</f>
        <v>男</v>
      </c>
    </row>
    <row r="1440" spans="1:4" ht="24" customHeight="1">
      <c r="A1440" t="str">
        <f>"10512020072818352530389"</f>
        <v>10512020072818352530389</v>
      </c>
      <c r="B1440" t="s">
        <v>30</v>
      </c>
      <c r="C1440" t="str">
        <f>"潘新"</f>
        <v>潘新</v>
      </c>
      <c r="D1440" t="str">
        <f>"男"</f>
        <v>男</v>
      </c>
    </row>
    <row r="1441" spans="1:4" ht="24" customHeight="1">
      <c r="A1441" t="str">
        <f>"10512020072818524030390"</f>
        <v>10512020072818524030390</v>
      </c>
      <c r="B1441" t="s">
        <v>12</v>
      </c>
      <c r="C1441" t="str">
        <f>"廖珂"</f>
        <v>廖珂</v>
      </c>
      <c r="D1441" t="str">
        <f>"女"</f>
        <v>女</v>
      </c>
    </row>
    <row r="1442" spans="1:4" ht="24" customHeight="1">
      <c r="A1442" t="str">
        <f>"10512020072818532530391"</f>
        <v>10512020072818532530391</v>
      </c>
      <c r="B1442" t="s">
        <v>5</v>
      </c>
      <c r="C1442" t="str">
        <f>"张可成"</f>
        <v>张可成</v>
      </c>
      <c r="D1442" t="str">
        <f>"男"</f>
        <v>男</v>
      </c>
    </row>
    <row r="1443" spans="1:4" ht="24" customHeight="1">
      <c r="A1443" t="str">
        <f>"10512020072818563930392"</f>
        <v>10512020072818563930392</v>
      </c>
      <c r="B1443" t="s">
        <v>15</v>
      </c>
      <c r="C1443" t="str">
        <f>"凌欢"</f>
        <v>凌欢</v>
      </c>
      <c r="D1443" t="str">
        <f>"男"</f>
        <v>男</v>
      </c>
    </row>
    <row r="1444" spans="1:4" ht="24" customHeight="1">
      <c r="A1444" t="str">
        <f>"10512020072818583430393"</f>
        <v>10512020072818583430393</v>
      </c>
      <c r="B1444" t="s">
        <v>27</v>
      </c>
      <c r="C1444" t="str">
        <f>"曹婉晴"</f>
        <v>曹婉晴</v>
      </c>
      <c r="D1444" t="str">
        <f>"女"</f>
        <v>女</v>
      </c>
    </row>
    <row r="1445" spans="1:4" ht="24" customHeight="1">
      <c r="A1445" t="str">
        <f>"10512020072819024130394"</f>
        <v>10512020072819024130394</v>
      </c>
      <c r="B1445" t="s">
        <v>11</v>
      </c>
      <c r="C1445" t="str">
        <f>"龚艳"</f>
        <v>龚艳</v>
      </c>
      <c r="D1445" t="str">
        <f>"女"</f>
        <v>女</v>
      </c>
    </row>
    <row r="1446" spans="1:4" ht="24" customHeight="1">
      <c r="A1446" t="str">
        <f>"10512020072819041530395"</f>
        <v>10512020072819041530395</v>
      </c>
      <c r="B1446" t="s">
        <v>48</v>
      </c>
      <c r="C1446" t="str">
        <f>"李松林"</f>
        <v>李松林</v>
      </c>
      <c r="D1446" t="str">
        <f>"男"</f>
        <v>男</v>
      </c>
    </row>
    <row r="1447" spans="1:4" ht="24" customHeight="1">
      <c r="A1447" t="str">
        <f>"10512020072819072930396"</f>
        <v>10512020072819072930396</v>
      </c>
      <c r="B1447" t="s">
        <v>41</v>
      </c>
      <c r="C1447" t="str">
        <f>"郑萍萍"</f>
        <v>郑萍萍</v>
      </c>
      <c r="D1447" t="str">
        <f>"女"</f>
        <v>女</v>
      </c>
    </row>
    <row r="1448" spans="1:4" ht="24" customHeight="1">
      <c r="A1448" t="str">
        <f>"10512020072819134930397"</f>
        <v>10512020072819134930397</v>
      </c>
      <c r="B1448" t="s">
        <v>44</v>
      </c>
      <c r="C1448" t="str">
        <f>"周傅"</f>
        <v>周傅</v>
      </c>
      <c r="D1448" t="str">
        <f>"男"</f>
        <v>男</v>
      </c>
    </row>
    <row r="1449" spans="1:4" ht="24" customHeight="1">
      <c r="A1449" t="str">
        <f>"10512020072819155330398"</f>
        <v>10512020072819155330398</v>
      </c>
      <c r="B1449" t="s">
        <v>29</v>
      </c>
      <c r="C1449" t="str">
        <f>"黄冠湘"</f>
        <v>黄冠湘</v>
      </c>
      <c r="D1449" t="str">
        <f>"男"</f>
        <v>男</v>
      </c>
    </row>
    <row r="1450" spans="1:4" ht="24" customHeight="1">
      <c r="A1450" t="str">
        <f>"10512020072819155430399"</f>
        <v>10512020072819155430399</v>
      </c>
      <c r="B1450" t="s">
        <v>21</v>
      </c>
      <c r="C1450" t="str">
        <f>"段文君"</f>
        <v>段文君</v>
      </c>
      <c r="D1450" t="str">
        <f>"女"</f>
        <v>女</v>
      </c>
    </row>
    <row r="1451" spans="1:4" ht="24" customHeight="1">
      <c r="A1451" t="str">
        <f>"10512020072819163130400"</f>
        <v>10512020072819163130400</v>
      </c>
      <c r="B1451" t="s">
        <v>11</v>
      </c>
      <c r="C1451" t="str">
        <f>"刘斯"</f>
        <v>刘斯</v>
      </c>
      <c r="D1451" t="str">
        <f>"男"</f>
        <v>男</v>
      </c>
    </row>
    <row r="1452" spans="1:4" ht="24" customHeight="1">
      <c r="A1452" t="str">
        <f>"10512020072819255230402"</f>
        <v>10512020072819255230402</v>
      </c>
      <c r="B1452" t="s">
        <v>7</v>
      </c>
      <c r="C1452" t="str">
        <f>"伍萌"</f>
        <v>伍萌</v>
      </c>
      <c r="D1452" t="str">
        <f>"女"</f>
        <v>女</v>
      </c>
    </row>
    <row r="1453" spans="1:4" ht="24" customHeight="1">
      <c r="A1453" t="str">
        <f>"10512020072819265830403"</f>
        <v>10512020072819265830403</v>
      </c>
      <c r="B1453" t="s">
        <v>27</v>
      </c>
      <c r="C1453" t="str">
        <f>"王瑞曦"</f>
        <v>王瑞曦</v>
      </c>
      <c r="D1453" t="str">
        <f>"男"</f>
        <v>男</v>
      </c>
    </row>
    <row r="1454" spans="1:4" ht="24" customHeight="1">
      <c r="A1454" t="str">
        <f>"10512020072819293430404"</f>
        <v>10512020072819293430404</v>
      </c>
      <c r="B1454" t="s">
        <v>22</v>
      </c>
      <c r="C1454" t="str">
        <f>"姚俊宏"</f>
        <v>姚俊宏</v>
      </c>
      <c r="D1454" t="str">
        <f>"男"</f>
        <v>男</v>
      </c>
    </row>
    <row r="1455" spans="1:4" ht="24" customHeight="1">
      <c r="A1455" t="str">
        <f>"10512020072819350430405"</f>
        <v>10512020072819350430405</v>
      </c>
      <c r="B1455" t="s">
        <v>20</v>
      </c>
      <c r="C1455" t="str">
        <f>"谭思权"</f>
        <v>谭思权</v>
      </c>
      <c r="D1455" t="str">
        <f>"女"</f>
        <v>女</v>
      </c>
    </row>
    <row r="1456" spans="1:4" ht="24" customHeight="1">
      <c r="A1456" t="str">
        <f>"10512020072819360630406"</f>
        <v>10512020072819360630406</v>
      </c>
      <c r="B1456" t="s">
        <v>6</v>
      </c>
      <c r="C1456" t="str">
        <f>"李文韬"</f>
        <v>李文韬</v>
      </c>
      <c r="D1456" t="str">
        <f>"男"</f>
        <v>男</v>
      </c>
    </row>
    <row r="1457" spans="1:4" ht="24" customHeight="1">
      <c r="A1457" t="str">
        <f>"10512020072819365330407"</f>
        <v>10512020072819365330407</v>
      </c>
      <c r="B1457" t="s">
        <v>21</v>
      </c>
      <c r="C1457" t="str">
        <f>"张轩铭"</f>
        <v>张轩铭</v>
      </c>
      <c r="D1457" t="str">
        <f>"男"</f>
        <v>男</v>
      </c>
    </row>
    <row r="1458" spans="1:4" ht="24" customHeight="1">
      <c r="A1458" t="str">
        <f>"10512020072819411430408"</f>
        <v>10512020072819411430408</v>
      </c>
      <c r="B1458" t="s">
        <v>23</v>
      </c>
      <c r="C1458" t="str">
        <f>"何佩佩"</f>
        <v>何佩佩</v>
      </c>
      <c r="D1458" t="str">
        <f>"女"</f>
        <v>女</v>
      </c>
    </row>
    <row r="1459" spans="1:4" ht="24" customHeight="1">
      <c r="A1459" t="str">
        <f>"10512020072819462130409"</f>
        <v>10512020072819462130409</v>
      </c>
      <c r="B1459" t="s">
        <v>13</v>
      </c>
      <c r="C1459" t="str">
        <f>"戴治桃"</f>
        <v>戴治桃</v>
      </c>
      <c r="D1459" t="str">
        <f>"女"</f>
        <v>女</v>
      </c>
    </row>
    <row r="1460" spans="1:4" ht="24" customHeight="1">
      <c r="A1460" t="str">
        <f>"10512020072819542530410"</f>
        <v>10512020072819542530410</v>
      </c>
      <c r="B1460" t="s">
        <v>11</v>
      </c>
      <c r="C1460" t="str">
        <f>"罗三山"</f>
        <v>罗三山</v>
      </c>
      <c r="D1460" t="str">
        <f>"男"</f>
        <v>男</v>
      </c>
    </row>
    <row r="1461" spans="1:4" ht="24" customHeight="1">
      <c r="A1461" t="str">
        <f>"10512020072819570430411"</f>
        <v>10512020072819570430411</v>
      </c>
      <c r="B1461" t="s">
        <v>15</v>
      </c>
      <c r="C1461" t="str">
        <f>"刘伟"</f>
        <v>刘伟</v>
      </c>
      <c r="D1461" t="str">
        <f>"男"</f>
        <v>男</v>
      </c>
    </row>
    <row r="1462" spans="1:4" ht="24" customHeight="1">
      <c r="A1462" t="str">
        <f>"10512020072819585430412"</f>
        <v>10512020072819585430412</v>
      </c>
      <c r="B1462" t="s">
        <v>4</v>
      </c>
      <c r="C1462" t="str">
        <f>"郑磊"</f>
        <v>郑磊</v>
      </c>
      <c r="D1462" t="str">
        <f>"男"</f>
        <v>男</v>
      </c>
    </row>
    <row r="1463" spans="1:4" ht="24" customHeight="1">
      <c r="A1463" t="str">
        <f>"10512020072819594830413"</f>
        <v>10512020072819594830413</v>
      </c>
      <c r="B1463" t="s">
        <v>9</v>
      </c>
      <c r="C1463" t="str">
        <f>"王加敏"</f>
        <v>王加敏</v>
      </c>
      <c r="D1463" t="str">
        <f>"女"</f>
        <v>女</v>
      </c>
    </row>
    <row r="1464" spans="1:4" ht="24" customHeight="1">
      <c r="A1464" t="str">
        <f>"10512020072820011430414"</f>
        <v>10512020072820011430414</v>
      </c>
      <c r="B1464" t="s">
        <v>21</v>
      </c>
      <c r="C1464" t="str">
        <f>"苏一"</f>
        <v>苏一</v>
      </c>
      <c r="D1464" t="str">
        <f>"女"</f>
        <v>女</v>
      </c>
    </row>
    <row r="1465" spans="1:4" ht="24" customHeight="1">
      <c r="A1465" t="str">
        <f>"10512020072820013030415"</f>
        <v>10512020072820013030415</v>
      </c>
      <c r="B1465" t="s">
        <v>23</v>
      </c>
      <c r="C1465" t="str">
        <f>"雷湘"</f>
        <v>雷湘</v>
      </c>
      <c r="D1465" t="str">
        <f>"女"</f>
        <v>女</v>
      </c>
    </row>
    <row r="1466" spans="1:4" ht="24" customHeight="1">
      <c r="A1466" t="str">
        <f>"10512020072820042430416"</f>
        <v>10512020072820042430416</v>
      </c>
      <c r="B1466" t="s">
        <v>23</v>
      </c>
      <c r="C1466" t="str">
        <f>"周晓敏"</f>
        <v>周晓敏</v>
      </c>
      <c r="D1466" t="str">
        <f>"女"</f>
        <v>女</v>
      </c>
    </row>
    <row r="1467" spans="1:4" ht="24" customHeight="1">
      <c r="A1467" t="str">
        <f>"10512020072820080530417"</f>
        <v>10512020072820080530417</v>
      </c>
      <c r="B1467" t="s">
        <v>21</v>
      </c>
      <c r="C1467" t="str">
        <f>"王警弘"</f>
        <v>王警弘</v>
      </c>
      <c r="D1467" t="str">
        <f>"男"</f>
        <v>男</v>
      </c>
    </row>
    <row r="1468" spans="1:4" ht="24" customHeight="1">
      <c r="A1468" t="str">
        <f>"10512020072820080630418"</f>
        <v>10512020072820080630418</v>
      </c>
      <c r="B1468" t="s">
        <v>10</v>
      </c>
      <c r="C1468" t="str">
        <f>"李旨莘"</f>
        <v>李旨莘</v>
      </c>
      <c r="D1468" t="str">
        <f>"女"</f>
        <v>女</v>
      </c>
    </row>
    <row r="1469" spans="1:4" ht="24" customHeight="1">
      <c r="A1469" t="str">
        <f>"10512020072820141530419"</f>
        <v>10512020072820141530419</v>
      </c>
      <c r="B1469" t="s">
        <v>16</v>
      </c>
      <c r="C1469" t="str">
        <f>"杨孟奇"</f>
        <v>杨孟奇</v>
      </c>
      <c r="D1469" t="str">
        <f>"男"</f>
        <v>男</v>
      </c>
    </row>
    <row r="1470" spans="1:4" ht="24" customHeight="1">
      <c r="A1470" t="str">
        <f>"10512020072820202030421"</f>
        <v>10512020072820202030421</v>
      </c>
      <c r="B1470" t="s">
        <v>9</v>
      </c>
      <c r="C1470" t="str">
        <f>"易彪"</f>
        <v>易彪</v>
      </c>
      <c r="D1470" t="str">
        <f>"男"</f>
        <v>男</v>
      </c>
    </row>
    <row r="1471" spans="1:4" ht="24" customHeight="1">
      <c r="A1471" t="str">
        <f>"10512020072820274330423"</f>
        <v>10512020072820274330423</v>
      </c>
      <c r="B1471" t="s">
        <v>16</v>
      </c>
      <c r="C1471" t="str">
        <f>"张菊"</f>
        <v>张菊</v>
      </c>
      <c r="D1471" t="str">
        <f>"女"</f>
        <v>女</v>
      </c>
    </row>
    <row r="1472" spans="1:4" ht="24" customHeight="1">
      <c r="A1472" t="str">
        <f>"10512020072820284630424"</f>
        <v>10512020072820284630424</v>
      </c>
      <c r="B1472" t="s">
        <v>28</v>
      </c>
      <c r="C1472" t="str">
        <f>"卜杏杏"</f>
        <v>卜杏杏</v>
      </c>
      <c r="D1472" t="str">
        <f>"女"</f>
        <v>女</v>
      </c>
    </row>
    <row r="1473" spans="1:4" ht="24" customHeight="1">
      <c r="A1473" t="str">
        <f>"10512020072820333030425"</f>
        <v>10512020072820333030425</v>
      </c>
      <c r="B1473" t="s">
        <v>10</v>
      </c>
      <c r="C1473" t="str">
        <f>"雷勘"</f>
        <v>雷勘</v>
      </c>
      <c r="D1473" t="str">
        <f>"男"</f>
        <v>男</v>
      </c>
    </row>
    <row r="1474" spans="1:4" ht="24" customHeight="1">
      <c r="A1474" t="str">
        <f>"10512020072820350630426"</f>
        <v>10512020072820350630426</v>
      </c>
      <c r="B1474" t="s">
        <v>48</v>
      </c>
      <c r="C1474" t="str">
        <f>"宋雨轩"</f>
        <v>宋雨轩</v>
      </c>
      <c r="D1474" t="str">
        <f>"男"</f>
        <v>男</v>
      </c>
    </row>
    <row r="1475" spans="1:4" ht="24" customHeight="1">
      <c r="A1475" t="str">
        <f>"10512020072820375730427"</f>
        <v>10512020072820375730427</v>
      </c>
      <c r="B1475" t="s">
        <v>19</v>
      </c>
      <c r="C1475" t="str">
        <f>"周加峻"</f>
        <v>周加峻</v>
      </c>
      <c r="D1475" t="str">
        <f>"男"</f>
        <v>男</v>
      </c>
    </row>
    <row r="1476" spans="1:4" ht="24" customHeight="1">
      <c r="A1476" t="str">
        <f>"10512020072820424430428"</f>
        <v>10512020072820424430428</v>
      </c>
      <c r="B1476" t="s">
        <v>10</v>
      </c>
      <c r="C1476" t="str">
        <f>"龙欢花"</f>
        <v>龙欢花</v>
      </c>
      <c r="D1476" t="str">
        <f>"女"</f>
        <v>女</v>
      </c>
    </row>
    <row r="1477" spans="1:4" ht="24" customHeight="1">
      <c r="A1477" t="str">
        <f>"10512020072820441030429"</f>
        <v>10512020072820441030429</v>
      </c>
      <c r="B1477" t="s">
        <v>15</v>
      </c>
      <c r="C1477" t="str">
        <f>"张建"</f>
        <v>张建</v>
      </c>
      <c r="D1477" t="str">
        <f>"男"</f>
        <v>男</v>
      </c>
    </row>
    <row r="1478" spans="1:4" ht="24" customHeight="1">
      <c r="A1478" t="str">
        <f>"10512020072820501030430"</f>
        <v>10512020072820501030430</v>
      </c>
      <c r="B1478" t="s">
        <v>24</v>
      </c>
      <c r="C1478" t="str">
        <f>"唐博文"</f>
        <v>唐博文</v>
      </c>
      <c r="D1478" t="str">
        <f>"男"</f>
        <v>男</v>
      </c>
    </row>
    <row r="1479" spans="1:4" ht="24" customHeight="1">
      <c r="A1479" t="str">
        <f>"10512020072820561630432"</f>
        <v>10512020072820561630432</v>
      </c>
      <c r="B1479" t="s">
        <v>6</v>
      </c>
      <c r="C1479" t="str">
        <f>"王德正"</f>
        <v>王德正</v>
      </c>
      <c r="D1479" t="str">
        <f>"男"</f>
        <v>男</v>
      </c>
    </row>
    <row r="1480" spans="1:4" ht="24" customHeight="1">
      <c r="A1480" t="str">
        <f>"10512020072821001330434"</f>
        <v>10512020072821001330434</v>
      </c>
      <c r="B1480" t="s">
        <v>9</v>
      </c>
      <c r="C1480" t="str">
        <f>"文一芬"</f>
        <v>文一芬</v>
      </c>
      <c r="D1480" t="str">
        <f>"女"</f>
        <v>女</v>
      </c>
    </row>
    <row r="1481" spans="1:4" ht="24" customHeight="1">
      <c r="A1481" t="str">
        <f>"10512020072821015830435"</f>
        <v>10512020072821015830435</v>
      </c>
      <c r="B1481" t="s">
        <v>37</v>
      </c>
      <c r="C1481" t="str">
        <f>"张鑫"</f>
        <v>张鑫</v>
      </c>
      <c r="D1481" t="str">
        <f>"男"</f>
        <v>男</v>
      </c>
    </row>
    <row r="1482" spans="1:4" ht="24" customHeight="1">
      <c r="A1482" t="str">
        <f>"10512020072821055530436"</f>
        <v>10512020072821055530436</v>
      </c>
      <c r="B1482" t="s">
        <v>6</v>
      </c>
      <c r="C1482" t="str">
        <f>"杜婷婷"</f>
        <v>杜婷婷</v>
      </c>
      <c r="D1482" t="str">
        <f>"女"</f>
        <v>女</v>
      </c>
    </row>
    <row r="1483" spans="1:4" ht="24" customHeight="1">
      <c r="A1483" t="str">
        <f>"10512020072821065130438"</f>
        <v>10512020072821065130438</v>
      </c>
      <c r="B1483" t="s">
        <v>12</v>
      </c>
      <c r="C1483" t="str">
        <f>"杨帆"</f>
        <v>杨帆</v>
      </c>
      <c r="D1483" t="str">
        <f>"女"</f>
        <v>女</v>
      </c>
    </row>
    <row r="1484" spans="1:4" ht="24" customHeight="1">
      <c r="A1484" t="str">
        <f>"10512020072821091130439"</f>
        <v>10512020072821091130439</v>
      </c>
      <c r="B1484" t="s">
        <v>6</v>
      </c>
      <c r="C1484" t="str">
        <f>"雷俊"</f>
        <v>雷俊</v>
      </c>
      <c r="D1484" t="str">
        <f>"男"</f>
        <v>男</v>
      </c>
    </row>
    <row r="1485" spans="1:4" ht="24" customHeight="1">
      <c r="A1485" t="str">
        <f>"10512020072821100830440"</f>
        <v>10512020072821100830440</v>
      </c>
      <c r="B1485" t="s">
        <v>21</v>
      </c>
      <c r="C1485" t="str">
        <f>"高谭钦"</f>
        <v>高谭钦</v>
      </c>
      <c r="D1485" t="str">
        <f>"女"</f>
        <v>女</v>
      </c>
    </row>
    <row r="1486" spans="1:4" ht="24" customHeight="1">
      <c r="A1486" t="str">
        <f>"10512020072821141930441"</f>
        <v>10512020072821141930441</v>
      </c>
      <c r="B1486" t="s">
        <v>13</v>
      </c>
      <c r="C1486" t="str">
        <f>"邹雨欣"</f>
        <v>邹雨欣</v>
      </c>
      <c r="D1486" t="str">
        <f>"女"</f>
        <v>女</v>
      </c>
    </row>
    <row r="1487" spans="1:4" ht="24" customHeight="1">
      <c r="A1487" t="str">
        <f>"10512020072821141930442"</f>
        <v>10512020072821141930442</v>
      </c>
      <c r="B1487" t="s">
        <v>20</v>
      </c>
      <c r="C1487" t="str">
        <f>"诸瑞东"</f>
        <v>诸瑞东</v>
      </c>
      <c r="D1487" t="str">
        <f>"男"</f>
        <v>男</v>
      </c>
    </row>
    <row r="1488" spans="1:4" ht="24" customHeight="1">
      <c r="A1488" t="str">
        <f>"10512020072821161930443"</f>
        <v>10512020072821161930443</v>
      </c>
      <c r="B1488" t="s">
        <v>30</v>
      </c>
      <c r="C1488" t="str">
        <f>"吴孟奇"</f>
        <v>吴孟奇</v>
      </c>
      <c r="D1488" t="str">
        <f>"男"</f>
        <v>男</v>
      </c>
    </row>
    <row r="1489" spans="1:4" ht="24" customHeight="1">
      <c r="A1489" t="str">
        <f>"10512020072821163330444"</f>
        <v>10512020072821163330444</v>
      </c>
      <c r="B1489" t="s">
        <v>54</v>
      </c>
      <c r="C1489" t="str">
        <f>"杨涛"</f>
        <v>杨涛</v>
      </c>
      <c r="D1489" t="str">
        <f>"男"</f>
        <v>男</v>
      </c>
    </row>
    <row r="1490" spans="1:4" ht="24" customHeight="1">
      <c r="A1490" t="str">
        <f>"10512020072821232330445"</f>
        <v>10512020072821232330445</v>
      </c>
      <c r="B1490" t="s">
        <v>9</v>
      </c>
      <c r="C1490" t="str">
        <f>"杨精茁"</f>
        <v>杨精茁</v>
      </c>
      <c r="D1490" t="str">
        <f>"男"</f>
        <v>男</v>
      </c>
    </row>
    <row r="1491" spans="1:4" ht="24" customHeight="1">
      <c r="A1491" t="str">
        <f>"10512020072821234030446"</f>
        <v>10512020072821234030446</v>
      </c>
      <c r="B1491" t="s">
        <v>6</v>
      </c>
      <c r="C1491" t="str">
        <f>"谭小珍"</f>
        <v>谭小珍</v>
      </c>
      <c r="D1491" t="str">
        <f>"女"</f>
        <v>女</v>
      </c>
    </row>
    <row r="1492" spans="1:4" ht="24" customHeight="1">
      <c r="A1492" t="str">
        <f>"10512020072821241530447"</f>
        <v>10512020072821241530447</v>
      </c>
      <c r="B1492" t="s">
        <v>15</v>
      </c>
      <c r="C1492" t="str">
        <f>"王峥嵘"</f>
        <v>王峥嵘</v>
      </c>
      <c r="D1492" t="str">
        <f>"男"</f>
        <v>男</v>
      </c>
    </row>
    <row r="1493" spans="1:4" ht="24" customHeight="1">
      <c r="A1493" t="str">
        <f>"10512020072821301930448"</f>
        <v>10512020072821301930448</v>
      </c>
      <c r="B1493" t="s">
        <v>6</v>
      </c>
      <c r="C1493" t="str">
        <f>"周玉奇"</f>
        <v>周玉奇</v>
      </c>
      <c r="D1493" t="str">
        <f>"女"</f>
        <v>女</v>
      </c>
    </row>
    <row r="1494" spans="1:4" ht="24" customHeight="1">
      <c r="A1494" t="str">
        <f>"10512020072821365830449"</f>
        <v>10512020072821365830449</v>
      </c>
      <c r="B1494" t="s">
        <v>21</v>
      </c>
      <c r="C1494" t="str">
        <f>"赵芮莹"</f>
        <v>赵芮莹</v>
      </c>
      <c r="D1494" t="str">
        <f>"女"</f>
        <v>女</v>
      </c>
    </row>
    <row r="1495" spans="1:4" ht="24" customHeight="1">
      <c r="A1495" t="str">
        <f>"10512020072821425330450"</f>
        <v>10512020072821425330450</v>
      </c>
      <c r="B1495" t="s">
        <v>11</v>
      </c>
      <c r="C1495" t="str">
        <f>"田佳玲"</f>
        <v>田佳玲</v>
      </c>
      <c r="D1495" t="str">
        <f>"女"</f>
        <v>女</v>
      </c>
    </row>
    <row r="1496" spans="1:4" ht="24" customHeight="1">
      <c r="A1496" t="str">
        <f>"10512020072821465930451"</f>
        <v>10512020072821465930451</v>
      </c>
      <c r="B1496" t="s">
        <v>12</v>
      </c>
      <c r="C1496" t="str">
        <f>"张超"</f>
        <v>张超</v>
      </c>
      <c r="D1496" t="str">
        <f>"男"</f>
        <v>男</v>
      </c>
    </row>
    <row r="1497" spans="1:4" ht="24" customHeight="1">
      <c r="A1497" t="str">
        <f>"10512020072821475630452"</f>
        <v>10512020072821475630452</v>
      </c>
      <c r="B1497" t="s">
        <v>13</v>
      </c>
      <c r="C1497" t="str">
        <f>"郑梦雅"</f>
        <v>郑梦雅</v>
      </c>
      <c r="D1497" t="str">
        <f>"女"</f>
        <v>女</v>
      </c>
    </row>
    <row r="1498" spans="1:4" ht="24" customHeight="1">
      <c r="A1498" t="str">
        <f>"10512020072821530430453"</f>
        <v>10512020072821530430453</v>
      </c>
      <c r="B1498" t="s">
        <v>27</v>
      </c>
      <c r="C1498" t="str">
        <f>"廖勇"</f>
        <v>廖勇</v>
      </c>
      <c r="D1498" t="str">
        <f>"男"</f>
        <v>男</v>
      </c>
    </row>
    <row r="1499" spans="1:4" ht="24" customHeight="1">
      <c r="A1499" t="str">
        <f>"10512020072821551530454"</f>
        <v>10512020072821551530454</v>
      </c>
      <c r="B1499" t="s">
        <v>9</v>
      </c>
      <c r="C1499" t="str">
        <f>"袁雅诗"</f>
        <v>袁雅诗</v>
      </c>
      <c r="D1499" t="str">
        <f>"女"</f>
        <v>女</v>
      </c>
    </row>
    <row r="1500" spans="1:4" ht="24" customHeight="1">
      <c r="A1500" t="str">
        <f>"10512020072822071930456"</f>
        <v>10512020072822071930456</v>
      </c>
      <c r="B1500" t="s">
        <v>12</v>
      </c>
      <c r="C1500" t="str">
        <f>"李班斑"</f>
        <v>李班斑</v>
      </c>
      <c r="D1500" t="str">
        <f>"女"</f>
        <v>女</v>
      </c>
    </row>
    <row r="1501" spans="1:4" ht="24" customHeight="1">
      <c r="A1501" t="str">
        <f>"10512020072822143830457"</f>
        <v>10512020072822143830457</v>
      </c>
      <c r="B1501" t="s">
        <v>7</v>
      </c>
      <c r="C1501" t="str">
        <f>"陈洪贵"</f>
        <v>陈洪贵</v>
      </c>
      <c r="D1501" t="str">
        <f>"男"</f>
        <v>男</v>
      </c>
    </row>
    <row r="1502" spans="1:4" ht="24" customHeight="1">
      <c r="A1502" t="str">
        <f>"10512020072822190930458"</f>
        <v>10512020072822190930458</v>
      </c>
      <c r="B1502" t="s">
        <v>7</v>
      </c>
      <c r="C1502" t="str">
        <f>"邱贤星"</f>
        <v>邱贤星</v>
      </c>
      <c r="D1502" t="str">
        <f>"男"</f>
        <v>男</v>
      </c>
    </row>
    <row r="1503" spans="1:4" ht="24" customHeight="1">
      <c r="A1503" t="str">
        <f>"10512020072822210730459"</f>
        <v>10512020072822210730459</v>
      </c>
      <c r="B1503" t="s">
        <v>20</v>
      </c>
      <c r="C1503" t="str">
        <f>"黄莉"</f>
        <v>黄莉</v>
      </c>
      <c r="D1503" t="str">
        <f>"女"</f>
        <v>女</v>
      </c>
    </row>
    <row r="1504" spans="1:4" ht="24" customHeight="1">
      <c r="A1504" t="str">
        <f>"10512020072822225430460"</f>
        <v>10512020072822225430460</v>
      </c>
      <c r="B1504" t="s">
        <v>19</v>
      </c>
      <c r="C1504" t="str">
        <f>"李颖"</f>
        <v>李颖</v>
      </c>
      <c r="D1504" t="str">
        <f>"女"</f>
        <v>女</v>
      </c>
    </row>
    <row r="1505" spans="1:4" ht="24" customHeight="1">
      <c r="A1505" t="str">
        <f>"10512020072822234230461"</f>
        <v>10512020072822234230461</v>
      </c>
      <c r="B1505" t="s">
        <v>12</v>
      </c>
      <c r="C1505" t="str">
        <f>"贺珍柔"</f>
        <v>贺珍柔</v>
      </c>
      <c r="D1505" t="str">
        <f>"女"</f>
        <v>女</v>
      </c>
    </row>
    <row r="1506" spans="1:4" ht="24" customHeight="1">
      <c r="A1506" t="str">
        <f>"10512020072822234930462"</f>
        <v>10512020072822234930462</v>
      </c>
      <c r="B1506" t="s">
        <v>10</v>
      </c>
      <c r="C1506" t="str">
        <f>"胡学文"</f>
        <v>胡学文</v>
      </c>
      <c r="D1506" t="str">
        <f>"男"</f>
        <v>男</v>
      </c>
    </row>
    <row r="1507" spans="1:4" ht="24" customHeight="1">
      <c r="A1507" t="str">
        <f>"10512020072822393530465"</f>
        <v>10512020072822393530465</v>
      </c>
      <c r="B1507" t="s">
        <v>20</v>
      </c>
      <c r="C1507" t="str">
        <f>"王琪"</f>
        <v>王琪</v>
      </c>
      <c r="D1507" t="str">
        <f>"女"</f>
        <v>女</v>
      </c>
    </row>
    <row r="1508" spans="1:4" ht="24" customHeight="1">
      <c r="A1508" t="str">
        <f>"10512020072822412930466"</f>
        <v>10512020072822412930466</v>
      </c>
      <c r="B1508" t="s">
        <v>40</v>
      </c>
      <c r="C1508" t="str">
        <f>"刘尹剑子"</f>
        <v>刘尹剑子</v>
      </c>
      <c r="D1508" t="str">
        <f>"女"</f>
        <v>女</v>
      </c>
    </row>
    <row r="1509" spans="1:4" ht="24" customHeight="1">
      <c r="A1509" t="str">
        <f>"10512020072822453030468"</f>
        <v>10512020072822453030468</v>
      </c>
      <c r="B1509" t="s">
        <v>41</v>
      </c>
      <c r="C1509" t="str">
        <f>"许姿"</f>
        <v>许姿</v>
      </c>
      <c r="D1509" t="str">
        <f>"女"</f>
        <v>女</v>
      </c>
    </row>
    <row r="1510" spans="1:4" ht="24" customHeight="1">
      <c r="A1510" t="str">
        <f>"10512020072822471430469"</f>
        <v>10512020072822471430469</v>
      </c>
      <c r="B1510" t="s">
        <v>13</v>
      </c>
      <c r="C1510" t="str">
        <f>"谢兵"</f>
        <v>谢兵</v>
      </c>
      <c r="D1510" t="str">
        <f>"男"</f>
        <v>男</v>
      </c>
    </row>
    <row r="1511" spans="1:4" ht="24" customHeight="1">
      <c r="A1511" t="str">
        <f>"10512020072822492030470"</f>
        <v>10512020072822492030470</v>
      </c>
      <c r="B1511" t="s">
        <v>10</v>
      </c>
      <c r="C1511" t="str">
        <f>"蔡苑蓉"</f>
        <v>蔡苑蓉</v>
      </c>
      <c r="D1511" t="str">
        <f>"女"</f>
        <v>女</v>
      </c>
    </row>
    <row r="1512" spans="1:4" ht="24" customHeight="1">
      <c r="A1512" t="str">
        <f>"10512020072822502330471"</f>
        <v>10512020072822502330471</v>
      </c>
      <c r="B1512" t="s">
        <v>16</v>
      </c>
      <c r="C1512" t="str">
        <f>"刘湘楠"</f>
        <v>刘湘楠</v>
      </c>
      <c r="D1512" t="str">
        <f>"男"</f>
        <v>男</v>
      </c>
    </row>
    <row r="1513" spans="1:4" ht="24" customHeight="1">
      <c r="A1513" t="str">
        <f>"10512020072822502530472"</f>
        <v>10512020072822502530472</v>
      </c>
      <c r="B1513" t="s">
        <v>21</v>
      </c>
      <c r="C1513" t="str">
        <f>"杜婧"</f>
        <v>杜婧</v>
      </c>
      <c r="D1513" t="str">
        <f>"女"</f>
        <v>女</v>
      </c>
    </row>
    <row r="1514" spans="1:4" ht="24" customHeight="1">
      <c r="A1514" t="str">
        <f>"10512020072823123030473"</f>
        <v>10512020072823123030473</v>
      </c>
      <c r="B1514" t="s">
        <v>13</v>
      </c>
      <c r="C1514" t="str">
        <f>"佘中霖"</f>
        <v>佘中霖</v>
      </c>
      <c r="D1514" t="str">
        <f>"男"</f>
        <v>男</v>
      </c>
    </row>
    <row r="1515" spans="1:4" ht="24" customHeight="1">
      <c r="A1515" t="str">
        <f>"10512020072823393030474"</f>
        <v>10512020072823393030474</v>
      </c>
      <c r="B1515" t="s">
        <v>10</v>
      </c>
      <c r="C1515" t="str">
        <f>"唐佳"</f>
        <v>唐佳</v>
      </c>
      <c r="D1515" t="str">
        <f>"女"</f>
        <v>女</v>
      </c>
    </row>
    <row r="1516" spans="1:4" ht="24" customHeight="1">
      <c r="A1516" t="str">
        <f>"10512020072823430030475"</f>
        <v>10512020072823430030475</v>
      </c>
      <c r="B1516" t="s">
        <v>20</v>
      </c>
      <c r="C1516" t="str">
        <f>"周翔"</f>
        <v>周翔</v>
      </c>
      <c r="D1516" t="str">
        <f>"男"</f>
        <v>男</v>
      </c>
    </row>
    <row r="1517" spans="1:4" ht="24" customHeight="1">
      <c r="A1517" t="str">
        <f>"10512020072823441730476"</f>
        <v>10512020072823441730476</v>
      </c>
      <c r="B1517" t="s">
        <v>32</v>
      </c>
      <c r="C1517" t="str">
        <f>"刘偲"</f>
        <v>刘偲</v>
      </c>
      <c r="D1517" t="str">
        <f>"男"</f>
        <v>男</v>
      </c>
    </row>
    <row r="1518" spans="1:4" ht="24" customHeight="1">
      <c r="A1518" t="str">
        <f>"10512020072823545830477"</f>
        <v>10512020072823545830477</v>
      </c>
      <c r="B1518" t="s">
        <v>11</v>
      </c>
      <c r="C1518" t="str">
        <f>"田奕嵩"</f>
        <v>田奕嵩</v>
      </c>
      <c r="D1518" t="str">
        <f>"男"</f>
        <v>男</v>
      </c>
    </row>
    <row r="1519" spans="1:4" ht="24" customHeight="1">
      <c r="A1519" t="str">
        <f>"10512020072823560630478"</f>
        <v>10512020072823560630478</v>
      </c>
      <c r="B1519" t="s">
        <v>32</v>
      </c>
      <c r="C1519" t="str">
        <f>"谈冠群"</f>
        <v>谈冠群</v>
      </c>
      <c r="D1519" t="str">
        <f>"女"</f>
        <v>女</v>
      </c>
    </row>
    <row r="1520" spans="1:4" ht="24" customHeight="1">
      <c r="A1520" t="str">
        <f>"10512020072823564030479"</f>
        <v>10512020072823564030479</v>
      </c>
      <c r="B1520" t="s">
        <v>20</v>
      </c>
      <c r="C1520" t="str">
        <f>"高颖茹"</f>
        <v>高颖茹</v>
      </c>
      <c r="D1520" t="str">
        <f>"女"</f>
        <v>女</v>
      </c>
    </row>
    <row r="1521" spans="1:4" ht="24" customHeight="1">
      <c r="A1521" t="str">
        <f>"10512020072900094930480"</f>
        <v>10512020072900094930480</v>
      </c>
      <c r="B1521" t="s">
        <v>17</v>
      </c>
      <c r="C1521" t="str">
        <f>"夏金想"</f>
        <v>夏金想</v>
      </c>
      <c r="D1521" t="str">
        <f>"女"</f>
        <v>女</v>
      </c>
    </row>
    <row r="1522" spans="1:4" ht="24" customHeight="1">
      <c r="A1522" t="str">
        <f>"10512020072900234730481"</f>
        <v>10512020072900234730481</v>
      </c>
      <c r="B1522" t="s">
        <v>6</v>
      </c>
      <c r="C1522" t="str">
        <f>"鲁子榕"</f>
        <v>鲁子榕</v>
      </c>
      <c r="D1522" t="str">
        <f>"女"</f>
        <v>女</v>
      </c>
    </row>
    <row r="1523" spans="1:4" ht="24" customHeight="1">
      <c r="A1523" t="str">
        <f>"10512020072900421030482"</f>
        <v>10512020072900421030482</v>
      </c>
      <c r="B1523" t="s">
        <v>6</v>
      </c>
      <c r="C1523" t="str">
        <f>"莫君"</f>
        <v>莫君</v>
      </c>
      <c r="D1523" t="str">
        <f>"男"</f>
        <v>男</v>
      </c>
    </row>
    <row r="1524" spans="1:4" ht="24" customHeight="1">
      <c r="A1524" t="str">
        <f>"10512020072900514230483"</f>
        <v>10512020072900514230483</v>
      </c>
      <c r="B1524" t="s">
        <v>6</v>
      </c>
      <c r="C1524" t="str">
        <f>"李友清"</f>
        <v>李友清</v>
      </c>
      <c r="D1524" t="str">
        <f>"男"</f>
        <v>男</v>
      </c>
    </row>
    <row r="1525" spans="1:4" ht="24" customHeight="1">
      <c r="A1525" t="str">
        <f>"10512020072901233230484"</f>
        <v>10512020072901233230484</v>
      </c>
      <c r="B1525" t="s">
        <v>26</v>
      </c>
      <c r="C1525" t="str">
        <f>"康小英"</f>
        <v>康小英</v>
      </c>
      <c r="D1525" t="str">
        <f>"男"</f>
        <v>男</v>
      </c>
    </row>
    <row r="1526" spans="1:4" ht="24" customHeight="1">
      <c r="A1526" t="str">
        <f>"10512020072903404230485"</f>
        <v>10512020072903404230485</v>
      </c>
      <c r="B1526" t="s">
        <v>54</v>
      </c>
      <c r="C1526" t="str">
        <f>"胡雁冰"</f>
        <v>胡雁冰</v>
      </c>
      <c r="D1526" t="str">
        <f t="shared" ref="D1526:D1532" si="30">"女"</f>
        <v>女</v>
      </c>
    </row>
    <row r="1527" spans="1:4" ht="24" customHeight="1">
      <c r="A1527" t="str">
        <f>"10512020072905331730486"</f>
        <v>10512020072905331730486</v>
      </c>
      <c r="B1527" t="s">
        <v>9</v>
      </c>
      <c r="C1527" t="str">
        <f>"张泞璇"</f>
        <v>张泞璇</v>
      </c>
      <c r="D1527" t="str">
        <f t="shared" si="30"/>
        <v>女</v>
      </c>
    </row>
    <row r="1528" spans="1:4" ht="24" customHeight="1">
      <c r="A1528" t="str">
        <f>"10512020072907003330488"</f>
        <v>10512020072907003330488</v>
      </c>
      <c r="B1528" t="s">
        <v>6</v>
      </c>
      <c r="C1528" t="str">
        <f>"王红秀"</f>
        <v>王红秀</v>
      </c>
      <c r="D1528" t="str">
        <f t="shared" si="30"/>
        <v>女</v>
      </c>
    </row>
    <row r="1529" spans="1:4" ht="24" customHeight="1">
      <c r="A1529" t="str">
        <f>"10512020072907254830489"</f>
        <v>10512020072907254830489</v>
      </c>
      <c r="B1529" t="s">
        <v>28</v>
      </c>
      <c r="C1529" t="str">
        <f>"万铭璇"</f>
        <v>万铭璇</v>
      </c>
      <c r="D1529" t="str">
        <f t="shared" si="30"/>
        <v>女</v>
      </c>
    </row>
    <row r="1530" spans="1:4" ht="24" customHeight="1">
      <c r="A1530" t="str">
        <f>"10512020072907572830490"</f>
        <v>10512020072907572830490</v>
      </c>
      <c r="B1530" t="s">
        <v>9</v>
      </c>
      <c r="C1530" t="str">
        <f>"李斌"</f>
        <v>李斌</v>
      </c>
      <c r="D1530" t="str">
        <f t="shared" si="30"/>
        <v>女</v>
      </c>
    </row>
    <row r="1531" spans="1:4" ht="24" customHeight="1">
      <c r="A1531" t="str">
        <f>"10512020072908052230491"</f>
        <v>10512020072908052230491</v>
      </c>
      <c r="B1531" t="s">
        <v>8</v>
      </c>
      <c r="C1531" t="str">
        <f>"张娣"</f>
        <v>张娣</v>
      </c>
      <c r="D1531" t="str">
        <f t="shared" si="30"/>
        <v>女</v>
      </c>
    </row>
    <row r="1532" spans="1:4" ht="24" customHeight="1">
      <c r="A1532" t="str">
        <f>"10512020072908074030492"</f>
        <v>10512020072908074030492</v>
      </c>
      <c r="B1532" t="s">
        <v>21</v>
      </c>
      <c r="C1532" t="str">
        <f>"田芳"</f>
        <v>田芳</v>
      </c>
      <c r="D1532" t="str">
        <f t="shared" si="30"/>
        <v>女</v>
      </c>
    </row>
    <row r="1533" spans="1:4" ht="24" customHeight="1">
      <c r="A1533" t="str">
        <f>"10512020072908105330493"</f>
        <v>10512020072908105330493</v>
      </c>
      <c r="B1533" t="s">
        <v>6</v>
      </c>
      <c r="C1533" t="str">
        <f>"杨成林"</f>
        <v>杨成林</v>
      </c>
      <c r="D1533" t="str">
        <f>"男"</f>
        <v>男</v>
      </c>
    </row>
    <row r="1534" spans="1:4" ht="24" customHeight="1">
      <c r="A1534" t="str">
        <f>"10512020072908110430494"</f>
        <v>10512020072908110430494</v>
      </c>
      <c r="B1534" t="s">
        <v>21</v>
      </c>
      <c r="C1534" t="str">
        <f>"张莉莉"</f>
        <v>张莉莉</v>
      </c>
      <c r="D1534" t="str">
        <f>"女"</f>
        <v>女</v>
      </c>
    </row>
    <row r="1535" spans="1:4" ht="24" customHeight="1">
      <c r="A1535" t="str">
        <f>"10512020072908191730496"</f>
        <v>10512020072908191730496</v>
      </c>
      <c r="B1535" t="s">
        <v>17</v>
      </c>
      <c r="C1535" t="str">
        <f>"李诗瑶"</f>
        <v>李诗瑶</v>
      </c>
      <c r="D1535" t="str">
        <f>"女"</f>
        <v>女</v>
      </c>
    </row>
    <row r="1536" spans="1:4" ht="24" customHeight="1">
      <c r="A1536" t="str">
        <f>"10512020072908233630497"</f>
        <v>10512020072908233630497</v>
      </c>
      <c r="B1536" t="s">
        <v>5</v>
      </c>
      <c r="C1536" t="str">
        <f>"陈楚轩"</f>
        <v>陈楚轩</v>
      </c>
      <c r="D1536" t="str">
        <f>"男"</f>
        <v>男</v>
      </c>
    </row>
    <row r="1537" spans="1:4" ht="24" customHeight="1">
      <c r="A1537" t="str">
        <f>"10512020072908255730498"</f>
        <v>10512020072908255730498</v>
      </c>
      <c r="B1537" t="s">
        <v>32</v>
      </c>
      <c r="C1537" t="str">
        <f>"卢玉琴"</f>
        <v>卢玉琴</v>
      </c>
      <c r="D1537" t="str">
        <f>"女"</f>
        <v>女</v>
      </c>
    </row>
    <row r="1538" spans="1:4" ht="24" customHeight="1">
      <c r="A1538" t="str">
        <f>"10512020072908255730499"</f>
        <v>10512020072908255730499</v>
      </c>
      <c r="B1538" t="s">
        <v>27</v>
      </c>
      <c r="C1538" t="str">
        <f>"杨保中"</f>
        <v>杨保中</v>
      </c>
      <c r="D1538" t="str">
        <f>"男"</f>
        <v>男</v>
      </c>
    </row>
    <row r="1539" spans="1:4" ht="24" customHeight="1">
      <c r="A1539" t="str">
        <f>"10512020072908292730500"</f>
        <v>10512020072908292730500</v>
      </c>
      <c r="B1539" t="s">
        <v>13</v>
      </c>
      <c r="C1539" t="str">
        <f>"陈思佳"</f>
        <v>陈思佳</v>
      </c>
      <c r="D1539" t="str">
        <f>"女"</f>
        <v>女</v>
      </c>
    </row>
    <row r="1540" spans="1:4" ht="24" customHeight="1">
      <c r="A1540" t="str">
        <f>"10512020072908303430501"</f>
        <v>10512020072908303430501</v>
      </c>
      <c r="B1540" t="s">
        <v>30</v>
      </c>
      <c r="C1540" t="str">
        <f>"罗成东"</f>
        <v>罗成东</v>
      </c>
      <c r="D1540" t="str">
        <f>"男"</f>
        <v>男</v>
      </c>
    </row>
    <row r="1541" spans="1:4" ht="24" customHeight="1">
      <c r="A1541" t="str">
        <f>"10512020072908434830503"</f>
        <v>10512020072908434830503</v>
      </c>
      <c r="B1541" t="s">
        <v>10</v>
      </c>
      <c r="C1541" t="str">
        <f>"刘丹丹"</f>
        <v>刘丹丹</v>
      </c>
      <c r="D1541" t="str">
        <f>"女"</f>
        <v>女</v>
      </c>
    </row>
    <row r="1542" spans="1:4" ht="24" customHeight="1">
      <c r="A1542" t="str">
        <f>"10512020072908460830504"</f>
        <v>10512020072908460830504</v>
      </c>
      <c r="B1542" t="s">
        <v>9</v>
      </c>
      <c r="C1542" t="str">
        <f>"刘陈"</f>
        <v>刘陈</v>
      </c>
      <c r="D1542" t="str">
        <f>"女"</f>
        <v>女</v>
      </c>
    </row>
    <row r="1543" spans="1:4" ht="24" customHeight="1">
      <c r="A1543" t="str">
        <f>"10512020072908461830505"</f>
        <v>10512020072908461830505</v>
      </c>
      <c r="B1543" t="s">
        <v>13</v>
      </c>
      <c r="C1543" t="str">
        <f>"罗琼"</f>
        <v>罗琼</v>
      </c>
      <c r="D1543" t="str">
        <f>"女"</f>
        <v>女</v>
      </c>
    </row>
    <row r="1544" spans="1:4" ht="24" customHeight="1">
      <c r="A1544" t="str">
        <f>"10512020072908532830506"</f>
        <v>10512020072908532830506</v>
      </c>
      <c r="B1544" t="s">
        <v>24</v>
      </c>
      <c r="C1544" t="str">
        <f>"范宸铭"</f>
        <v>范宸铭</v>
      </c>
      <c r="D1544" t="str">
        <f>"男"</f>
        <v>男</v>
      </c>
    </row>
    <row r="1545" spans="1:4" ht="24" customHeight="1">
      <c r="A1545" t="str">
        <f>"10512020072908542430507"</f>
        <v>10512020072908542430507</v>
      </c>
      <c r="B1545" t="s">
        <v>20</v>
      </c>
      <c r="C1545" t="str">
        <f>"李静"</f>
        <v>李静</v>
      </c>
      <c r="D1545" t="str">
        <f>"女"</f>
        <v>女</v>
      </c>
    </row>
    <row r="1546" spans="1:4" ht="24" customHeight="1">
      <c r="A1546" t="str">
        <f>"10512020072908553230509"</f>
        <v>10512020072908553230509</v>
      </c>
      <c r="B1546" t="s">
        <v>46</v>
      </c>
      <c r="C1546" t="str">
        <f>"张智栋"</f>
        <v>张智栋</v>
      </c>
      <c r="D1546" t="str">
        <f>"男"</f>
        <v>男</v>
      </c>
    </row>
    <row r="1547" spans="1:4" ht="24" customHeight="1">
      <c r="A1547" t="str">
        <f>"10512020072908583930510"</f>
        <v>10512020072908583930510</v>
      </c>
      <c r="B1547" t="s">
        <v>18</v>
      </c>
      <c r="C1547" t="str">
        <f>"陈玮婷"</f>
        <v>陈玮婷</v>
      </c>
      <c r="D1547" t="str">
        <f>"女"</f>
        <v>女</v>
      </c>
    </row>
    <row r="1548" spans="1:4" ht="24" customHeight="1">
      <c r="A1548" t="str">
        <f>"10512020072908591930511"</f>
        <v>10512020072908591930511</v>
      </c>
      <c r="B1548" t="s">
        <v>5</v>
      </c>
      <c r="C1548" t="str">
        <f>"黄燕杰"</f>
        <v>黄燕杰</v>
      </c>
      <c r="D1548" t="str">
        <f>"男"</f>
        <v>男</v>
      </c>
    </row>
    <row r="1549" spans="1:4" ht="24" customHeight="1">
      <c r="A1549" t="str">
        <f>"10512020072908592230512"</f>
        <v>10512020072908592230512</v>
      </c>
      <c r="B1549" t="s">
        <v>9</v>
      </c>
      <c r="C1549" t="str">
        <f>"谢菁菁"</f>
        <v>谢菁菁</v>
      </c>
      <c r="D1549" t="str">
        <f>"女"</f>
        <v>女</v>
      </c>
    </row>
    <row r="1550" spans="1:4" ht="24" customHeight="1">
      <c r="A1550" t="str">
        <f>"10512020072909031030513"</f>
        <v>10512020072909031030513</v>
      </c>
      <c r="B1550" t="s">
        <v>21</v>
      </c>
      <c r="C1550" t="str">
        <f>"胡依念"</f>
        <v>胡依念</v>
      </c>
      <c r="D1550" t="str">
        <f>"女"</f>
        <v>女</v>
      </c>
    </row>
    <row r="1551" spans="1:4" ht="24" customHeight="1">
      <c r="A1551" t="str">
        <f>"10512020072909035830514"</f>
        <v>10512020072909035830514</v>
      </c>
      <c r="B1551" t="s">
        <v>10</v>
      </c>
      <c r="C1551" t="str">
        <f>"蒋飞"</f>
        <v>蒋飞</v>
      </c>
      <c r="D1551" t="str">
        <f>"男"</f>
        <v>男</v>
      </c>
    </row>
    <row r="1552" spans="1:4" ht="24" customHeight="1">
      <c r="A1552" t="str">
        <f>"10512020072909042930515"</f>
        <v>10512020072909042930515</v>
      </c>
      <c r="B1552" t="s">
        <v>20</v>
      </c>
      <c r="C1552" t="str">
        <f>"李蕙琳"</f>
        <v>李蕙琳</v>
      </c>
      <c r="D1552" t="str">
        <f>"女"</f>
        <v>女</v>
      </c>
    </row>
    <row r="1553" spans="1:4" ht="24" customHeight="1">
      <c r="A1553" t="str">
        <f>"10512020072909045830516"</f>
        <v>10512020072909045830516</v>
      </c>
      <c r="B1553" t="s">
        <v>28</v>
      </c>
      <c r="C1553" t="str">
        <f>"付椰子"</f>
        <v>付椰子</v>
      </c>
      <c r="D1553" t="str">
        <f>"女"</f>
        <v>女</v>
      </c>
    </row>
    <row r="1554" spans="1:4" ht="24" customHeight="1">
      <c r="A1554" t="str">
        <f>"10512020072909071930517"</f>
        <v>10512020072909071930517</v>
      </c>
      <c r="B1554" t="s">
        <v>16</v>
      </c>
      <c r="C1554" t="str">
        <f>"刘开红"</f>
        <v>刘开红</v>
      </c>
      <c r="D1554" t="str">
        <f>"女"</f>
        <v>女</v>
      </c>
    </row>
    <row r="1555" spans="1:4" ht="24" customHeight="1">
      <c r="A1555" t="str">
        <f>"10512020072909073230518"</f>
        <v>10512020072909073230518</v>
      </c>
      <c r="B1555" t="s">
        <v>10</v>
      </c>
      <c r="C1555" t="str">
        <f>"邓然"</f>
        <v>邓然</v>
      </c>
      <c r="D1555" t="str">
        <f>"女"</f>
        <v>女</v>
      </c>
    </row>
    <row r="1556" spans="1:4" ht="24" customHeight="1">
      <c r="A1556" t="str">
        <f>"10512020072909121730520"</f>
        <v>10512020072909121730520</v>
      </c>
      <c r="B1556" t="s">
        <v>37</v>
      </c>
      <c r="C1556" t="str">
        <f>"彭亮"</f>
        <v>彭亮</v>
      </c>
      <c r="D1556" t="str">
        <f>"男"</f>
        <v>男</v>
      </c>
    </row>
    <row r="1557" spans="1:4" ht="24" customHeight="1">
      <c r="A1557" t="str">
        <f>"10512020072909163630522"</f>
        <v>10512020072909163630522</v>
      </c>
      <c r="B1557" t="s">
        <v>24</v>
      </c>
      <c r="C1557" t="str">
        <f>"周明鹏"</f>
        <v>周明鹏</v>
      </c>
      <c r="D1557" t="str">
        <f>"男"</f>
        <v>男</v>
      </c>
    </row>
    <row r="1558" spans="1:4" ht="24" customHeight="1">
      <c r="A1558" t="str">
        <f>"10512020072909202230523"</f>
        <v>10512020072909202230523</v>
      </c>
      <c r="B1558" t="s">
        <v>38</v>
      </c>
      <c r="C1558" t="str">
        <f>"徐小雪"</f>
        <v>徐小雪</v>
      </c>
      <c r="D1558" t="str">
        <f>"女"</f>
        <v>女</v>
      </c>
    </row>
    <row r="1559" spans="1:4" ht="24" customHeight="1">
      <c r="A1559" t="str">
        <f>"10512020072909204330524"</f>
        <v>10512020072909204330524</v>
      </c>
      <c r="B1559" t="s">
        <v>18</v>
      </c>
      <c r="C1559" t="str">
        <f>"程秋蕾"</f>
        <v>程秋蕾</v>
      </c>
      <c r="D1559" t="str">
        <f>"女"</f>
        <v>女</v>
      </c>
    </row>
    <row r="1560" spans="1:4" ht="24" customHeight="1">
      <c r="A1560" t="str">
        <f>"10512020072909221130525"</f>
        <v>10512020072909221130525</v>
      </c>
      <c r="B1560" t="s">
        <v>10</v>
      </c>
      <c r="C1560" t="str">
        <f>"胡萧扬"</f>
        <v>胡萧扬</v>
      </c>
      <c r="D1560" t="str">
        <f>"女"</f>
        <v>女</v>
      </c>
    </row>
    <row r="1561" spans="1:4" ht="24" customHeight="1">
      <c r="A1561" t="str">
        <f>"10512020072909242830526"</f>
        <v>10512020072909242830526</v>
      </c>
      <c r="B1561" t="s">
        <v>16</v>
      </c>
      <c r="C1561" t="str">
        <f>"唐勇"</f>
        <v>唐勇</v>
      </c>
      <c r="D1561" t="str">
        <f>"男"</f>
        <v>男</v>
      </c>
    </row>
    <row r="1562" spans="1:4" ht="24" customHeight="1">
      <c r="A1562" t="str">
        <f>"10512020072909245630527"</f>
        <v>10512020072909245630527</v>
      </c>
      <c r="B1562" t="s">
        <v>6</v>
      </c>
      <c r="C1562" t="str">
        <f>"刘泥丽"</f>
        <v>刘泥丽</v>
      </c>
      <c r="D1562" t="str">
        <f>"女"</f>
        <v>女</v>
      </c>
    </row>
    <row r="1563" spans="1:4" ht="24" customHeight="1">
      <c r="A1563" t="str">
        <f>"10512020072909260830528"</f>
        <v>10512020072909260830528</v>
      </c>
      <c r="B1563" t="s">
        <v>7</v>
      </c>
      <c r="C1563" t="str">
        <f>"刘彬"</f>
        <v>刘彬</v>
      </c>
      <c r="D1563" t="str">
        <f>"女"</f>
        <v>女</v>
      </c>
    </row>
    <row r="1564" spans="1:4" ht="24" customHeight="1">
      <c r="A1564" t="str">
        <f>"10512020072909264630529"</f>
        <v>10512020072909264630529</v>
      </c>
      <c r="B1564" t="s">
        <v>10</v>
      </c>
      <c r="C1564" t="str">
        <f>"彭利"</f>
        <v>彭利</v>
      </c>
      <c r="D1564" t="str">
        <f>"女"</f>
        <v>女</v>
      </c>
    </row>
    <row r="1565" spans="1:4" ht="24" customHeight="1">
      <c r="A1565" t="str">
        <f>"10512020072909265230530"</f>
        <v>10512020072909265230530</v>
      </c>
      <c r="B1565" t="s">
        <v>13</v>
      </c>
      <c r="C1565" t="str">
        <f>"李妮"</f>
        <v>李妮</v>
      </c>
      <c r="D1565" t="str">
        <f>"女"</f>
        <v>女</v>
      </c>
    </row>
    <row r="1566" spans="1:4" ht="24" customHeight="1">
      <c r="A1566" t="str">
        <f>"10512020072909273430531"</f>
        <v>10512020072909273430531</v>
      </c>
      <c r="B1566" t="s">
        <v>6</v>
      </c>
      <c r="C1566" t="str">
        <f>"周海碧"</f>
        <v>周海碧</v>
      </c>
      <c r="D1566" t="str">
        <f>"男"</f>
        <v>男</v>
      </c>
    </row>
    <row r="1567" spans="1:4" ht="24" customHeight="1">
      <c r="A1567" t="str">
        <f>"10512020072909284830532"</f>
        <v>10512020072909284830532</v>
      </c>
      <c r="B1567" t="s">
        <v>16</v>
      </c>
      <c r="C1567" t="str">
        <f>"张蓉"</f>
        <v>张蓉</v>
      </c>
      <c r="D1567" t="str">
        <f>"女"</f>
        <v>女</v>
      </c>
    </row>
    <row r="1568" spans="1:4" ht="24" customHeight="1">
      <c r="A1568" t="str">
        <f>"10512020072909293030533"</f>
        <v>10512020072909293030533</v>
      </c>
      <c r="B1568" t="s">
        <v>34</v>
      </c>
      <c r="C1568" t="str">
        <f>"李龙江"</f>
        <v>李龙江</v>
      </c>
      <c r="D1568" t="str">
        <f>"男"</f>
        <v>男</v>
      </c>
    </row>
    <row r="1569" spans="1:4" ht="24" customHeight="1">
      <c r="A1569" t="str">
        <f>"10512020072909293230534"</f>
        <v>10512020072909293230534</v>
      </c>
      <c r="B1569" t="s">
        <v>53</v>
      </c>
      <c r="C1569" t="str">
        <f>"刘阳阳"</f>
        <v>刘阳阳</v>
      </c>
      <c r="D1569" t="str">
        <f>"男"</f>
        <v>男</v>
      </c>
    </row>
    <row r="1570" spans="1:4" ht="24" customHeight="1">
      <c r="A1570" t="str">
        <f>"10512020072909302130535"</f>
        <v>10512020072909302130535</v>
      </c>
      <c r="B1570" t="s">
        <v>56</v>
      </c>
      <c r="C1570" t="str">
        <f>"王一瑶"</f>
        <v>王一瑶</v>
      </c>
      <c r="D1570" t="str">
        <f>"女"</f>
        <v>女</v>
      </c>
    </row>
    <row r="1571" spans="1:4" ht="24" customHeight="1">
      <c r="A1571" t="str">
        <f>"10512020072909310330536"</f>
        <v>10512020072909310330536</v>
      </c>
      <c r="B1571" t="s">
        <v>24</v>
      </c>
      <c r="C1571" t="str">
        <f>"蔡立凡"</f>
        <v>蔡立凡</v>
      </c>
      <c r="D1571" t="str">
        <f>"男"</f>
        <v>男</v>
      </c>
    </row>
    <row r="1572" spans="1:4" ht="24" customHeight="1">
      <c r="A1572" t="str">
        <f>"10512020072909313930537"</f>
        <v>10512020072909313930537</v>
      </c>
      <c r="B1572" t="s">
        <v>14</v>
      </c>
      <c r="C1572" t="str">
        <f>"肖枫"</f>
        <v>肖枫</v>
      </c>
      <c r="D1572" t="str">
        <f>"男"</f>
        <v>男</v>
      </c>
    </row>
    <row r="1573" spans="1:4" ht="24" customHeight="1">
      <c r="A1573" t="str">
        <f>"10512020072909335530538"</f>
        <v>10512020072909335530538</v>
      </c>
      <c r="B1573" t="s">
        <v>38</v>
      </c>
      <c r="C1573" t="str">
        <f>"邹畅"</f>
        <v>邹畅</v>
      </c>
      <c r="D1573" t="str">
        <f>"女"</f>
        <v>女</v>
      </c>
    </row>
    <row r="1574" spans="1:4" ht="24" customHeight="1">
      <c r="A1574" t="str">
        <f>"10512020072909375030539"</f>
        <v>10512020072909375030539</v>
      </c>
      <c r="B1574" t="s">
        <v>34</v>
      </c>
      <c r="C1574" t="str">
        <f>"向远东"</f>
        <v>向远东</v>
      </c>
      <c r="D1574" t="str">
        <f>"男"</f>
        <v>男</v>
      </c>
    </row>
    <row r="1575" spans="1:4" ht="24" customHeight="1">
      <c r="A1575" t="str">
        <f>"10512020072909395330540"</f>
        <v>10512020072909395330540</v>
      </c>
      <c r="B1575" t="s">
        <v>56</v>
      </c>
      <c r="C1575" t="str">
        <f>"上官欣玥"</f>
        <v>上官欣玥</v>
      </c>
      <c r="D1575" t="str">
        <f>"女"</f>
        <v>女</v>
      </c>
    </row>
    <row r="1576" spans="1:4" ht="24" customHeight="1">
      <c r="A1576" t="str">
        <f>"10512020072909415930541"</f>
        <v>10512020072909415930541</v>
      </c>
      <c r="B1576" t="s">
        <v>10</v>
      </c>
      <c r="C1576" t="str">
        <f>"张志群"</f>
        <v>张志群</v>
      </c>
      <c r="D1576" t="str">
        <f>"女"</f>
        <v>女</v>
      </c>
    </row>
    <row r="1577" spans="1:4" ht="24" customHeight="1">
      <c r="A1577" t="str">
        <f>"10512020072909501330542"</f>
        <v>10512020072909501330542</v>
      </c>
      <c r="B1577" t="s">
        <v>6</v>
      </c>
      <c r="C1577" t="str">
        <f>"金婷婷"</f>
        <v>金婷婷</v>
      </c>
      <c r="D1577" t="str">
        <f>"女"</f>
        <v>女</v>
      </c>
    </row>
    <row r="1578" spans="1:4" ht="24" customHeight="1">
      <c r="A1578" t="str">
        <f>"10512020072909511130543"</f>
        <v>10512020072909511130543</v>
      </c>
      <c r="B1578" t="s">
        <v>33</v>
      </c>
      <c r="C1578" t="str">
        <f>"郑靖涛"</f>
        <v>郑靖涛</v>
      </c>
      <c r="D1578" t="str">
        <f>"男"</f>
        <v>男</v>
      </c>
    </row>
    <row r="1579" spans="1:4" ht="24" customHeight="1">
      <c r="A1579" t="str">
        <f>"10512020072910003730544"</f>
        <v>10512020072910003730544</v>
      </c>
      <c r="B1579" t="s">
        <v>10</v>
      </c>
      <c r="C1579" t="str">
        <f>"王露"</f>
        <v>王露</v>
      </c>
      <c r="D1579" t="str">
        <f t="shared" ref="D1579:D1586" si="31">"女"</f>
        <v>女</v>
      </c>
    </row>
    <row r="1580" spans="1:4" ht="24" customHeight="1">
      <c r="A1580" t="str">
        <f>"10512020072910015930545"</f>
        <v>10512020072910015930545</v>
      </c>
      <c r="B1580" t="s">
        <v>11</v>
      </c>
      <c r="C1580" t="str">
        <f>"刘澍"</f>
        <v>刘澍</v>
      </c>
      <c r="D1580" t="str">
        <f t="shared" si="31"/>
        <v>女</v>
      </c>
    </row>
    <row r="1581" spans="1:4" ht="24" customHeight="1">
      <c r="A1581" t="str">
        <f>"10512020072910045430546"</f>
        <v>10512020072910045430546</v>
      </c>
      <c r="B1581" t="s">
        <v>6</v>
      </c>
      <c r="C1581" t="str">
        <f>"路紫雲"</f>
        <v>路紫雲</v>
      </c>
      <c r="D1581" t="str">
        <f t="shared" si="31"/>
        <v>女</v>
      </c>
    </row>
    <row r="1582" spans="1:4" ht="24" customHeight="1">
      <c r="A1582" t="str">
        <f>"10512020072910054530547"</f>
        <v>10512020072910054530547</v>
      </c>
      <c r="B1582" t="s">
        <v>30</v>
      </c>
      <c r="C1582" t="str">
        <f>"彭蓓"</f>
        <v>彭蓓</v>
      </c>
      <c r="D1582" t="str">
        <f t="shared" si="31"/>
        <v>女</v>
      </c>
    </row>
    <row r="1583" spans="1:4" ht="24" customHeight="1">
      <c r="A1583" t="str">
        <f>"10512020072910055730548"</f>
        <v>10512020072910055730548</v>
      </c>
      <c r="B1583" t="s">
        <v>21</v>
      </c>
      <c r="C1583" t="str">
        <f>"肖智文"</f>
        <v>肖智文</v>
      </c>
      <c r="D1583" t="str">
        <f t="shared" si="31"/>
        <v>女</v>
      </c>
    </row>
    <row r="1584" spans="1:4" ht="24" customHeight="1">
      <c r="A1584" t="str">
        <f>"10512020072910065830549"</f>
        <v>10512020072910065830549</v>
      </c>
      <c r="B1584" t="s">
        <v>11</v>
      </c>
      <c r="C1584" t="str">
        <f>"凡晶晶"</f>
        <v>凡晶晶</v>
      </c>
      <c r="D1584" t="str">
        <f t="shared" si="31"/>
        <v>女</v>
      </c>
    </row>
    <row r="1585" spans="1:4" ht="24" customHeight="1">
      <c r="A1585" t="str">
        <f>"10512020072910100730550"</f>
        <v>10512020072910100730550</v>
      </c>
      <c r="B1585" t="s">
        <v>17</v>
      </c>
      <c r="C1585" t="str">
        <f>"龙姿旭"</f>
        <v>龙姿旭</v>
      </c>
      <c r="D1585" t="str">
        <f t="shared" si="31"/>
        <v>女</v>
      </c>
    </row>
    <row r="1586" spans="1:4" ht="24" customHeight="1">
      <c r="A1586" t="str">
        <f>"10512020072910111530551"</f>
        <v>10512020072910111530551</v>
      </c>
      <c r="B1586" t="s">
        <v>16</v>
      </c>
      <c r="C1586" t="str">
        <f>"郭月"</f>
        <v>郭月</v>
      </c>
      <c r="D1586" t="str">
        <f t="shared" si="31"/>
        <v>女</v>
      </c>
    </row>
    <row r="1587" spans="1:4" ht="24" customHeight="1">
      <c r="A1587" t="str">
        <f>"10512020072910113530552"</f>
        <v>10512020072910113530552</v>
      </c>
      <c r="B1587" t="s">
        <v>33</v>
      </c>
      <c r="C1587" t="str">
        <f>"李星"</f>
        <v>李星</v>
      </c>
      <c r="D1587" t="str">
        <f>"男"</f>
        <v>男</v>
      </c>
    </row>
    <row r="1588" spans="1:4" ht="24" customHeight="1">
      <c r="A1588" t="str">
        <f>"10512020072910263630555"</f>
        <v>10512020072910263630555</v>
      </c>
      <c r="B1588" t="s">
        <v>13</v>
      </c>
      <c r="C1588" t="str">
        <f>"苏蓉"</f>
        <v>苏蓉</v>
      </c>
      <c r="D1588" t="str">
        <f>"女"</f>
        <v>女</v>
      </c>
    </row>
    <row r="1589" spans="1:4" ht="24" customHeight="1">
      <c r="A1589" t="str">
        <f>"10512020072910291930556"</f>
        <v>10512020072910291930556</v>
      </c>
      <c r="B1589" t="s">
        <v>12</v>
      </c>
      <c r="C1589" t="str">
        <f>"吴轶"</f>
        <v>吴轶</v>
      </c>
      <c r="D1589" t="str">
        <f>"男"</f>
        <v>男</v>
      </c>
    </row>
    <row r="1590" spans="1:4" ht="24" customHeight="1">
      <c r="A1590" t="str">
        <f>"10512020072910292130557"</f>
        <v>10512020072910292130557</v>
      </c>
      <c r="B1590" t="s">
        <v>20</v>
      </c>
      <c r="C1590" t="str">
        <f>"张婕"</f>
        <v>张婕</v>
      </c>
      <c r="D1590" t="str">
        <f>"女"</f>
        <v>女</v>
      </c>
    </row>
    <row r="1591" spans="1:4" ht="24" customHeight="1">
      <c r="A1591" t="str">
        <f>"10512020072910301230559"</f>
        <v>10512020072910301230559</v>
      </c>
      <c r="B1591" t="s">
        <v>30</v>
      </c>
      <c r="C1591" t="str">
        <f>"向志"</f>
        <v>向志</v>
      </c>
      <c r="D1591" t="str">
        <f>"男"</f>
        <v>男</v>
      </c>
    </row>
    <row r="1592" spans="1:4" ht="24" customHeight="1">
      <c r="A1592" t="str">
        <f>"10512020072910304930560"</f>
        <v>10512020072910304930560</v>
      </c>
      <c r="B1592" t="s">
        <v>31</v>
      </c>
      <c r="C1592" t="str">
        <f>"刘盼"</f>
        <v>刘盼</v>
      </c>
      <c r="D1592" t="str">
        <f>"女"</f>
        <v>女</v>
      </c>
    </row>
    <row r="1593" spans="1:4" ht="24" customHeight="1">
      <c r="A1593" t="str">
        <f>"10512020072910310030561"</f>
        <v>10512020072910310030561</v>
      </c>
      <c r="B1593" t="s">
        <v>15</v>
      </c>
      <c r="C1593" t="str">
        <f>"王子容"</f>
        <v>王子容</v>
      </c>
      <c r="D1593" t="str">
        <f>"男"</f>
        <v>男</v>
      </c>
    </row>
    <row r="1594" spans="1:4" ht="24" customHeight="1">
      <c r="A1594" t="str">
        <f>"10512020072910335930562"</f>
        <v>10512020072910335930562</v>
      </c>
      <c r="B1594" t="s">
        <v>6</v>
      </c>
      <c r="C1594" t="str">
        <f>"李汀"</f>
        <v>李汀</v>
      </c>
      <c r="D1594" t="str">
        <f>"女"</f>
        <v>女</v>
      </c>
    </row>
    <row r="1595" spans="1:4" ht="24" customHeight="1">
      <c r="A1595" t="str">
        <f>"10512020072910372530563"</f>
        <v>10512020072910372530563</v>
      </c>
      <c r="B1595" t="s">
        <v>18</v>
      </c>
      <c r="C1595" t="str">
        <f>"李庆"</f>
        <v>李庆</v>
      </c>
      <c r="D1595" t="str">
        <f>"男"</f>
        <v>男</v>
      </c>
    </row>
    <row r="1596" spans="1:4" ht="24" customHeight="1">
      <c r="A1596" t="str">
        <f>"10512020072910382730564"</f>
        <v>10512020072910382730564</v>
      </c>
      <c r="B1596" t="s">
        <v>6</v>
      </c>
      <c r="C1596" t="str">
        <f>"鲁礼崖梓"</f>
        <v>鲁礼崖梓</v>
      </c>
      <c r="D1596" t="str">
        <f>"女"</f>
        <v>女</v>
      </c>
    </row>
    <row r="1597" spans="1:4" ht="24" customHeight="1">
      <c r="A1597" t="str">
        <f>"10512020072910383930565"</f>
        <v>10512020072910383930565</v>
      </c>
      <c r="B1597" t="s">
        <v>16</v>
      </c>
      <c r="C1597" t="str">
        <f>"范晓玲"</f>
        <v>范晓玲</v>
      </c>
      <c r="D1597" t="str">
        <f>"女"</f>
        <v>女</v>
      </c>
    </row>
    <row r="1598" spans="1:4" ht="24" customHeight="1">
      <c r="A1598" t="str">
        <f>"10512020072910394530566"</f>
        <v>10512020072910394530566</v>
      </c>
      <c r="B1598" t="s">
        <v>6</v>
      </c>
      <c r="C1598" t="str">
        <f>"罗钦"</f>
        <v>罗钦</v>
      </c>
      <c r="D1598" t="str">
        <f>"女"</f>
        <v>女</v>
      </c>
    </row>
    <row r="1599" spans="1:4" ht="24" customHeight="1">
      <c r="A1599" t="str">
        <f>"10512020072910404330567"</f>
        <v>10512020072910404330567</v>
      </c>
      <c r="B1599" t="s">
        <v>23</v>
      </c>
      <c r="C1599" t="str">
        <f>"梁荣"</f>
        <v>梁荣</v>
      </c>
      <c r="D1599" t="str">
        <f>"男"</f>
        <v>男</v>
      </c>
    </row>
    <row r="1600" spans="1:4" ht="24" customHeight="1">
      <c r="A1600" t="str">
        <f>"10512020072910443330568"</f>
        <v>10512020072910443330568</v>
      </c>
      <c r="B1600" t="s">
        <v>16</v>
      </c>
      <c r="C1600" t="str">
        <f>"胡婵"</f>
        <v>胡婵</v>
      </c>
      <c r="D1600" t="str">
        <f>"女"</f>
        <v>女</v>
      </c>
    </row>
    <row r="1601" spans="1:4" ht="24" customHeight="1">
      <c r="A1601" t="str">
        <f>"10512020072910455330569"</f>
        <v>10512020072910455330569</v>
      </c>
      <c r="B1601" t="s">
        <v>9</v>
      </c>
      <c r="C1601" t="str">
        <f>"谭雅文"</f>
        <v>谭雅文</v>
      </c>
      <c r="D1601" t="str">
        <f>"女"</f>
        <v>女</v>
      </c>
    </row>
    <row r="1602" spans="1:4" ht="24" customHeight="1">
      <c r="A1602" t="str">
        <f>"10512020072910483630570"</f>
        <v>10512020072910483630570</v>
      </c>
      <c r="B1602" t="s">
        <v>48</v>
      </c>
      <c r="C1602" t="str">
        <f>"李世杰"</f>
        <v>李世杰</v>
      </c>
      <c r="D1602" t="str">
        <f>"男"</f>
        <v>男</v>
      </c>
    </row>
    <row r="1603" spans="1:4" ht="24" customHeight="1">
      <c r="A1603" t="str">
        <f>"10512020072910530330572"</f>
        <v>10512020072910530330572</v>
      </c>
      <c r="B1603" t="s">
        <v>12</v>
      </c>
      <c r="C1603" t="str">
        <f>"刘亚"</f>
        <v>刘亚</v>
      </c>
      <c r="D1603" t="str">
        <f>"女"</f>
        <v>女</v>
      </c>
    </row>
    <row r="1604" spans="1:4" ht="24" customHeight="1">
      <c r="A1604" t="str">
        <f>"10512020072910531730573"</f>
        <v>10512020072910531730573</v>
      </c>
      <c r="B1604" t="s">
        <v>5</v>
      </c>
      <c r="C1604" t="str">
        <f>"路萍"</f>
        <v>路萍</v>
      </c>
      <c r="D1604" t="str">
        <f>"女"</f>
        <v>女</v>
      </c>
    </row>
    <row r="1605" spans="1:4" ht="24" customHeight="1">
      <c r="A1605" t="str">
        <f>"10512020072910561030574"</f>
        <v>10512020072910561030574</v>
      </c>
      <c r="B1605" t="s">
        <v>20</v>
      </c>
      <c r="C1605" t="str">
        <f>"刘正义"</f>
        <v>刘正义</v>
      </c>
      <c r="D1605" t="str">
        <f>"男"</f>
        <v>男</v>
      </c>
    </row>
    <row r="1606" spans="1:4" ht="24" customHeight="1">
      <c r="A1606" t="str">
        <f>"10512020072911001430575"</f>
        <v>10512020072911001430575</v>
      </c>
      <c r="B1606" t="s">
        <v>9</v>
      </c>
      <c r="C1606" t="str">
        <f>"陈敏"</f>
        <v>陈敏</v>
      </c>
      <c r="D1606" t="str">
        <f>"男"</f>
        <v>男</v>
      </c>
    </row>
    <row r="1607" spans="1:4" ht="24" customHeight="1">
      <c r="A1607" t="str">
        <f>"10512020072911021930576"</f>
        <v>10512020072911021930576</v>
      </c>
      <c r="B1607" t="s">
        <v>23</v>
      </c>
      <c r="C1607" t="str">
        <f>"胡玲子"</f>
        <v>胡玲子</v>
      </c>
      <c r="D1607" t="str">
        <f>"女"</f>
        <v>女</v>
      </c>
    </row>
    <row r="1608" spans="1:4" ht="24" customHeight="1">
      <c r="A1608" t="str">
        <f>"10512020072911050930577"</f>
        <v>10512020072911050930577</v>
      </c>
      <c r="B1608" t="s">
        <v>27</v>
      </c>
      <c r="C1608" t="str">
        <f>"洪吉"</f>
        <v>洪吉</v>
      </c>
      <c r="D1608" t="str">
        <f>"女"</f>
        <v>女</v>
      </c>
    </row>
    <row r="1609" spans="1:4" ht="24" customHeight="1">
      <c r="A1609" t="str">
        <f>"10512020072911072330578"</f>
        <v>10512020072911072330578</v>
      </c>
      <c r="B1609" t="s">
        <v>21</v>
      </c>
      <c r="C1609" t="str">
        <f>"孟子杨"</f>
        <v>孟子杨</v>
      </c>
      <c r="D1609" t="str">
        <f>"女"</f>
        <v>女</v>
      </c>
    </row>
    <row r="1610" spans="1:4" ht="24" customHeight="1">
      <c r="A1610" t="str">
        <f>"10512020072911103830579"</f>
        <v>10512020072911103830579</v>
      </c>
      <c r="B1610" t="s">
        <v>8</v>
      </c>
      <c r="C1610" t="str">
        <f>"徐连杰"</f>
        <v>徐连杰</v>
      </c>
      <c r="D1610" t="str">
        <f>"男"</f>
        <v>男</v>
      </c>
    </row>
    <row r="1611" spans="1:4" ht="24" customHeight="1">
      <c r="A1611" t="str">
        <f>"10512020072911144530580"</f>
        <v>10512020072911144530580</v>
      </c>
      <c r="B1611" t="s">
        <v>15</v>
      </c>
      <c r="C1611" t="str">
        <f>"向鹏"</f>
        <v>向鹏</v>
      </c>
      <c r="D1611" t="str">
        <f>"男"</f>
        <v>男</v>
      </c>
    </row>
    <row r="1612" spans="1:4" ht="24" customHeight="1">
      <c r="A1612" t="str">
        <f>"10512020072911151030581"</f>
        <v>10512020072911151030581</v>
      </c>
      <c r="B1612" t="s">
        <v>10</v>
      </c>
      <c r="C1612" t="str">
        <f>"陈果"</f>
        <v>陈果</v>
      </c>
      <c r="D1612" t="str">
        <f>"女"</f>
        <v>女</v>
      </c>
    </row>
    <row r="1613" spans="1:4" ht="24" customHeight="1">
      <c r="A1613" t="str">
        <f>"10512020072911151730582"</f>
        <v>10512020072911151730582</v>
      </c>
      <c r="B1613" t="s">
        <v>30</v>
      </c>
      <c r="C1613" t="str">
        <f>"李潇"</f>
        <v>李潇</v>
      </c>
      <c r="D1613" t="str">
        <f>"男"</f>
        <v>男</v>
      </c>
    </row>
    <row r="1614" spans="1:4" ht="24" customHeight="1">
      <c r="A1614" t="str">
        <f>"10512020072911153430583"</f>
        <v>10512020072911153430583</v>
      </c>
      <c r="B1614" t="s">
        <v>48</v>
      </c>
      <c r="C1614" t="str">
        <f>"闫培"</f>
        <v>闫培</v>
      </c>
      <c r="D1614" t="str">
        <f>"女"</f>
        <v>女</v>
      </c>
    </row>
    <row r="1615" spans="1:4" ht="24" customHeight="1">
      <c r="A1615" t="str">
        <f>"10512020072911185730584"</f>
        <v>10512020072911185730584</v>
      </c>
      <c r="B1615" t="s">
        <v>34</v>
      </c>
      <c r="C1615" t="str">
        <f>"郭六一"</f>
        <v>郭六一</v>
      </c>
      <c r="D1615" t="str">
        <f>"男"</f>
        <v>男</v>
      </c>
    </row>
    <row r="1616" spans="1:4" ht="24" customHeight="1">
      <c r="A1616" t="str">
        <f>"10512020072911255630585"</f>
        <v>10512020072911255630585</v>
      </c>
      <c r="B1616" t="s">
        <v>20</v>
      </c>
      <c r="C1616" t="str">
        <f>"黄巍"</f>
        <v>黄巍</v>
      </c>
      <c r="D1616" t="str">
        <f>"男"</f>
        <v>男</v>
      </c>
    </row>
    <row r="1617" spans="1:4" ht="24" customHeight="1">
      <c r="A1617" t="str">
        <f>"10512020072911284930586"</f>
        <v>10512020072911284930586</v>
      </c>
      <c r="B1617" t="s">
        <v>16</v>
      </c>
      <c r="C1617" t="str">
        <f>"王佳伟"</f>
        <v>王佳伟</v>
      </c>
      <c r="D1617" t="str">
        <f>"男"</f>
        <v>男</v>
      </c>
    </row>
    <row r="1618" spans="1:4" ht="24" customHeight="1">
      <c r="A1618" t="str">
        <f>"10512020072911322830587"</f>
        <v>10512020072911322830587</v>
      </c>
      <c r="B1618" t="s">
        <v>6</v>
      </c>
      <c r="C1618" t="str">
        <f>"孙萌名"</f>
        <v>孙萌名</v>
      </c>
      <c r="D1618" t="str">
        <f>"女"</f>
        <v>女</v>
      </c>
    </row>
    <row r="1619" spans="1:4" ht="24" customHeight="1">
      <c r="A1619" t="str">
        <f>"10512020072911342430588"</f>
        <v>10512020072911342430588</v>
      </c>
      <c r="B1619" t="s">
        <v>54</v>
      </c>
      <c r="C1619" t="str">
        <f>"沙梦"</f>
        <v>沙梦</v>
      </c>
      <c r="D1619" t="str">
        <f>"女"</f>
        <v>女</v>
      </c>
    </row>
    <row r="1620" spans="1:4" ht="24" customHeight="1">
      <c r="A1620" t="str">
        <f>"10512020072911354630589"</f>
        <v>10512020072911354630589</v>
      </c>
      <c r="B1620" t="s">
        <v>41</v>
      </c>
      <c r="C1620" t="str">
        <f>"郭亦万"</f>
        <v>郭亦万</v>
      </c>
      <c r="D1620" t="str">
        <f>"男"</f>
        <v>男</v>
      </c>
    </row>
    <row r="1621" spans="1:4" ht="24" customHeight="1">
      <c r="A1621" t="str">
        <f>"10512020072911382830590"</f>
        <v>10512020072911382830590</v>
      </c>
      <c r="B1621" t="s">
        <v>30</v>
      </c>
      <c r="C1621" t="str">
        <f>"熊敏雯"</f>
        <v>熊敏雯</v>
      </c>
      <c r="D1621" t="str">
        <f>"女"</f>
        <v>女</v>
      </c>
    </row>
    <row r="1622" spans="1:4" ht="24" customHeight="1">
      <c r="A1622" t="str">
        <f>"10512020072911391030591"</f>
        <v>10512020072911391030591</v>
      </c>
      <c r="B1622" t="s">
        <v>24</v>
      </c>
      <c r="C1622" t="str">
        <f>"曹勇华"</f>
        <v>曹勇华</v>
      </c>
      <c r="D1622" t="str">
        <f>"男"</f>
        <v>男</v>
      </c>
    </row>
    <row r="1623" spans="1:4" ht="24" customHeight="1">
      <c r="A1623" t="str">
        <f>"10512020072911400130592"</f>
        <v>10512020072911400130592</v>
      </c>
      <c r="B1623" t="s">
        <v>28</v>
      </c>
      <c r="C1623" t="str">
        <f>"潘吟婷"</f>
        <v>潘吟婷</v>
      </c>
      <c r="D1623" t="str">
        <f>"女"</f>
        <v>女</v>
      </c>
    </row>
    <row r="1624" spans="1:4" ht="24" customHeight="1">
      <c r="A1624" t="str">
        <f>"10512020072911410730594"</f>
        <v>10512020072911410730594</v>
      </c>
      <c r="B1624" t="s">
        <v>4</v>
      </c>
      <c r="C1624" t="str">
        <f>"杨晶凤"</f>
        <v>杨晶凤</v>
      </c>
      <c r="D1624" t="str">
        <f>"女"</f>
        <v>女</v>
      </c>
    </row>
    <row r="1625" spans="1:4" ht="24" customHeight="1">
      <c r="A1625" t="str">
        <f>"10512020072911415230595"</f>
        <v>10512020072911415230595</v>
      </c>
      <c r="B1625" t="s">
        <v>9</v>
      </c>
      <c r="C1625" t="str">
        <f>"谌雅俐"</f>
        <v>谌雅俐</v>
      </c>
      <c r="D1625" t="str">
        <f>"女"</f>
        <v>女</v>
      </c>
    </row>
    <row r="1626" spans="1:4" ht="24" customHeight="1">
      <c r="A1626" t="str">
        <f>"10512020072911420530596"</f>
        <v>10512020072911420530596</v>
      </c>
      <c r="B1626" t="s">
        <v>58</v>
      </c>
      <c r="C1626" t="str">
        <f>"吴深湘"</f>
        <v>吴深湘</v>
      </c>
      <c r="D1626" t="str">
        <f>"男"</f>
        <v>男</v>
      </c>
    </row>
    <row r="1627" spans="1:4" ht="24" customHeight="1">
      <c r="A1627" t="str">
        <f>"10512020072911423730597"</f>
        <v>10512020072911423730597</v>
      </c>
      <c r="B1627" t="s">
        <v>12</v>
      </c>
      <c r="C1627" t="str">
        <f>"刘菲"</f>
        <v>刘菲</v>
      </c>
      <c r="D1627" t="str">
        <f>"女"</f>
        <v>女</v>
      </c>
    </row>
    <row r="1628" spans="1:4" ht="24" customHeight="1">
      <c r="A1628" t="str">
        <f>"10512020072911440430598"</f>
        <v>10512020072911440430598</v>
      </c>
      <c r="B1628" t="s">
        <v>18</v>
      </c>
      <c r="C1628" t="str">
        <f>"杨晨鑫"</f>
        <v>杨晨鑫</v>
      </c>
      <c r="D1628" t="str">
        <f>"男"</f>
        <v>男</v>
      </c>
    </row>
    <row r="1629" spans="1:4" ht="24" customHeight="1">
      <c r="A1629" t="str">
        <f>"10512020072911465230599"</f>
        <v>10512020072911465230599</v>
      </c>
      <c r="B1629" t="s">
        <v>12</v>
      </c>
      <c r="C1629" t="str">
        <f>"陈成"</f>
        <v>陈成</v>
      </c>
      <c r="D1629" t="str">
        <f>"男"</f>
        <v>男</v>
      </c>
    </row>
    <row r="1630" spans="1:4" ht="24" customHeight="1">
      <c r="A1630" t="str">
        <f>"10512020072911470730600"</f>
        <v>10512020072911470730600</v>
      </c>
      <c r="B1630" t="s">
        <v>6</v>
      </c>
      <c r="C1630" t="str">
        <f>"韩星河"</f>
        <v>韩星河</v>
      </c>
      <c r="D1630" t="str">
        <f>"男"</f>
        <v>男</v>
      </c>
    </row>
    <row r="1631" spans="1:4" ht="24" customHeight="1">
      <c r="A1631" t="str">
        <f>"10512020072911490030601"</f>
        <v>10512020072911490030601</v>
      </c>
      <c r="B1631" t="s">
        <v>13</v>
      </c>
      <c r="C1631" t="str">
        <f>"凡伟"</f>
        <v>凡伟</v>
      </c>
      <c r="D1631" t="str">
        <f>"男"</f>
        <v>男</v>
      </c>
    </row>
    <row r="1632" spans="1:4" ht="24" customHeight="1">
      <c r="A1632" t="str">
        <f>"10512020072911505430602"</f>
        <v>10512020072911505430602</v>
      </c>
      <c r="B1632" t="s">
        <v>27</v>
      </c>
      <c r="C1632" t="str">
        <f>"蔡梦君"</f>
        <v>蔡梦君</v>
      </c>
      <c r="D1632" t="str">
        <f>"女"</f>
        <v>女</v>
      </c>
    </row>
    <row r="1633" spans="1:4" ht="24" customHeight="1">
      <c r="A1633" t="str">
        <f>"10512020072911543630603"</f>
        <v>10512020072911543630603</v>
      </c>
      <c r="B1633" t="s">
        <v>13</v>
      </c>
      <c r="C1633" t="str">
        <f>"李艾琳"</f>
        <v>李艾琳</v>
      </c>
      <c r="D1633" t="str">
        <f>"女"</f>
        <v>女</v>
      </c>
    </row>
    <row r="1634" spans="1:4" ht="24" customHeight="1">
      <c r="A1634" t="str">
        <f>"10512020072911552630604"</f>
        <v>10512020072911552630604</v>
      </c>
      <c r="B1634" t="s">
        <v>55</v>
      </c>
      <c r="C1634" t="str">
        <f>"方昱龙"</f>
        <v>方昱龙</v>
      </c>
      <c r="D1634" t="str">
        <f>"男"</f>
        <v>男</v>
      </c>
    </row>
    <row r="1635" spans="1:4" ht="24" customHeight="1">
      <c r="A1635" t="str">
        <f>"10512020072911573230605"</f>
        <v>10512020072911573230605</v>
      </c>
      <c r="B1635" t="s">
        <v>18</v>
      </c>
      <c r="C1635" t="str">
        <f>"谭婷婷"</f>
        <v>谭婷婷</v>
      </c>
      <c r="D1635" t="str">
        <f>"女"</f>
        <v>女</v>
      </c>
    </row>
    <row r="1636" spans="1:4" ht="24" customHeight="1">
      <c r="A1636" t="str">
        <f>"10512020072912001230606"</f>
        <v>10512020072912001230606</v>
      </c>
      <c r="B1636" t="s">
        <v>30</v>
      </c>
      <c r="C1636" t="str">
        <f>"李嘉诚"</f>
        <v>李嘉诚</v>
      </c>
      <c r="D1636" t="str">
        <f>"男"</f>
        <v>男</v>
      </c>
    </row>
    <row r="1637" spans="1:4" ht="24" customHeight="1">
      <c r="A1637" t="str">
        <f>"10512020072912041430607"</f>
        <v>10512020072912041430607</v>
      </c>
      <c r="B1637" t="s">
        <v>6</v>
      </c>
      <c r="C1637" t="str">
        <f>"肖东瑜"</f>
        <v>肖东瑜</v>
      </c>
      <c r="D1637" t="str">
        <f>"男"</f>
        <v>男</v>
      </c>
    </row>
    <row r="1638" spans="1:4" ht="24" customHeight="1">
      <c r="A1638" t="str">
        <f>"10512020072912061130609"</f>
        <v>10512020072912061130609</v>
      </c>
      <c r="B1638" t="s">
        <v>7</v>
      </c>
      <c r="C1638" t="str">
        <f>"周杰"</f>
        <v>周杰</v>
      </c>
      <c r="D1638" t="str">
        <f>"男"</f>
        <v>男</v>
      </c>
    </row>
    <row r="1639" spans="1:4" ht="24" customHeight="1">
      <c r="A1639" t="str">
        <f>"10512020072912142130610"</f>
        <v>10512020072912142130610</v>
      </c>
      <c r="B1639" t="s">
        <v>27</v>
      </c>
      <c r="C1639" t="str">
        <f>"何万金"</f>
        <v>何万金</v>
      </c>
      <c r="D1639" t="str">
        <f>"男"</f>
        <v>男</v>
      </c>
    </row>
    <row r="1640" spans="1:4" ht="24" customHeight="1">
      <c r="A1640" t="str">
        <f>"10512020072912194730611"</f>
        <v>10512020072912194730611</v>
      </c>
      <c r="B1640" t="s">
        <v>13</v>
      </c>
      <c r="C1640" t="str">
        <f>"郭颖"</f>
        <v>郭颖</v>
      </c>
      <c r="D1640" t="str">
        <f>"女"</f>
        <v>女</v>
      </c>
    </row>
    <row r="1641" spans="1:4" ht="24" customHeight="1">
      <c r="A1641" t="str">
        <f>"10512020072912204130612"</f>
        <v>10512020072912204130612</v>
      </c>
      <c r="B1641" t="s">
        <v>27</v>
      </c>
      <c r="C1641" t="str">
        <f>"王凤娇"</f>
        <v>王凤娇</v>
      </c>
      <c r="D1641" t="str">
        <f>"女"</f>
        <v>女</v>
      </c>
    </row>
    <row r="1642" spans="1:4" ht="24" customHeight="1">
      <c r="A1642" t="str">
        <f>"10512020072912245330613"</f>
        <v>10512020072912245330613</v>
      </c>
      <c r="B1642" t="s">
        <v>27</v>
      </c>
      <c r="C1642" t="str">
        <f>"曾伟"</f>
        <v>曾伟</v>
      </c>
      <c r="D1642" t="str">
        <f>"男"</f>
        <v>男</v>
      </c>
    </row>
    <row r="1643" spans="1:4" ht="24" customHeight="1">
      <c r="A1643" t="str">
        <f>"10512020072912344430614"</f>
        <v>10512020072912344430614</v>
      </c>
      <c r="B1643" t="s">
        <v>11</v>
      </c>
      <c r="C1643" t="str">
        <f>"李双"</f>
        <v>李双</v>
      </c>
      <c r="D1643" t="str">
        <f>"女"</f>
        <v>女</v>
      </c>
    </row>
    <row r="1644" spans="1:4" ht="24" customHeight="1">
      <c r="A1644" t="str">
        <f>"10512020072912355930615"</f>
        <v>10512020072912355930615</v>
      </c>
      <c r="B1644" t="s">
        <v>13</v>
      </c>
      <c r="C1644" t="str">
        <f>"杨宇航"</f>
        <v>杨宇航</v>
      </c>
      <c r="D1644" t="str">
        <f>"女"</f>
        <v>女</v>
      </c>
    </row>
    <row r="1645" spans="1:4" ht="24" customHeight="1">
      <c r="A1645" t="str">
        <f>"10512020072912383830616"</f>
        <v>10512020072912383830616</v>
      </c>
      <c r="B1645" t="s">
        <v>32</v>
      </c>
      <c r="C1645" t="str">
        <f>"周霄翔"</f>
        <v>周霄翔</v>
      </c>
      <c r="D1645" t="str">
        <f>"男"</f>
        <v>男</v>
      </c>
    </row>
    <row r="1646" spans="1:4" ht="24" customHeight="1">
      <c r="A1646" t="str">
        <f>"10512020072912424530617"</f>
        <v>10512020072912424530617</v>
      </c>
      <c r="B1646" t="s">
        <v>34</v>
      </c>
      <c r="C1646" t="str">
        <f>"周宋杰"</f>
        <v>周宋杰</v>
      </c>
      <c r="D1646" t="str">
        <f>"男"</f>
        <v>男</v>
      </c>
    </row>
    <row r="1647" spans="1:4" ht="24" customHeight="1">
      <c r="A1647" t="str">
        <f>"10512020072912444830618"</f>
        <v>10512020072912444830618</v>
      </c>
      <c r="B1647" t="s">
        <v>25</v>
      </c>
      <c r="C1647" t="str">
        <f>"汪雯雯"</f>
        <v>汪雯雯</v>
      </c>
      <c r="D1647" t="str">
        <f t="shared" ref="D1647:D1654" si="32">"女"</f>
        <v>女</v>
      </c>
    </row>
    <row r="1648" spans="1:4" ht="24" customHeight="1">
      <c r="A1648" t="str">
        <f>"10512020072912491030619"</f>
        <v>10512020072912491030619</v>
      </c>
      <c r="B1648" t="s">
        <v>20</v>
      </c>
      <c r="C1648" t="str">
        <f>"卓芳"</f>
        <v>卓芳</v>
      </c>
      <c r="D1648" t="str">
        <f t="shared" si="32"/>
        <v>女</v>
      </c>
    </row>
    <row r="1649" spans="1:4" ht="24" customHeight="1">
      <c r="A1649" t="str">
        <f>"10512020072912492530620"</f>
        <v>10512020072912492530620</v>
      </c>
      <c r="B1649" t="s">
        <v>41</v>
      </c>
      <c r="C1649" t="str">
        <f>"张桂兰"</f>
        <v>张桂兰</v>
      </c>
      <c r="D1649" t="str">
        <f t="shared" si="32"/>
        <v>女</v>
      </c>
    </row>
    <row r="1650" spans="1:4" ht="24" customHeight="1">
      <c r="A1650" t="str">
        <f>"10512020072912561530622"</f>
        <v>10512020072912561530622</v>
      </c>
      <c r="B1650" t="s">
        <v>31</v>
      </c>
      <c r="C1650" t="str">
        <f>"雷璠颖"</f>
        <v>雷璠颖</v>
      </c>
      <c r="D1650" t="str">
        <f t="shared" si="32"/>
        <v>女</v>
      </c>
    </row>
    <row r="1651" spans="1:4" ht="24" customHeight="1">
      <c r="A1651" t="str">
        <f>"10512020072913035530624"</f>
        <v>10512020072913035530624</v>
      </c>
      <c r="B1651" t="s">
        <v>31</v>
      </c>
      <c r="C1651" t="str">
        <f>"罗婧菲"</f>
        <v>罗婧菲</v>
      </c>
      <c r="D1651" t="str">
        <f t="shared" si="32"/>
        <v>女</v>
      </c>
    </row>
    <row r="1652" spans="1:4" ht="24" customHeight="1">
      <c r="A1652" t="str">
        <f>"10512020072913072530625"</f>
        <v>10512020072913072530625</v>
      </c>
      <c r="B1652" t="s">
        <v>60</v>
      </c>
      <c r="C1652" t="str">
        <f>"颜慧"</f>
        <v>颜慧</v>
      </c>
      <c r="D1652" t="str">
        <f t="shared" si="32"/>
        <v>女</v>
      </c>
    </row>
    <row r="1653" spans="1:4" ht="24" customHeight="1">
      <c r="A1653" t="str">
        <f>"10512020072913152430626"</f>
        <v>10512020072913152430626</v>
      </c>
      <c r="B1653" t="s">
        <v>11</v>
      </c>
      <c r="C1653" t="str">
        <f>"麻玉娇"</f>
        <v>麻玉娇</v>
      </c>
      <c r="D1653" t="str">
        <f t="shared" si="32"/>
        <v>女</v>
      </c>
    </row>
    <row r="1654" spans="1:4" ht="24" customHeight="1">
      <c r="A1654" t="str">
        <f>"10512020072913173930627"</f>
        <v>10512020072913173930627</v>
      </c>
      <c r="B1654" t="s">
        <v>12</v>
      </c>
      <c r="C1654" t="str">
        <f>"李杰"</f>
        <v>李杰</v>
      </c>
      <c r="D1654" t="str">
        <f t="shared" si="32"/>
        <v>女</v>
      </c>
    </row>
    <row r="1655" spans="1:4" ht="24" customHeight="1">
      <c r="A1655" t="str">
        <f>"10512020072913231430628"</f>
        <v>10512020072913231430628</v>
      </c>
      <c r="B1655" t="s">
        <v>11</v>
      </c>
      <c r="C1655" t="str">
        <f>"张奇"</f>
        <v>张奇</v>
      </c>
      <c r="D1655" t="str">
        <f>"男"</f>
        <v>男</v>
      </c>
    </row>
    <row r="1656" spans="1:4" ht="24" customHeight="1">
      <c r="A1656" t="str">
        <f>"10512020072913275930629"</f>
        <v>10512020072913275930629</v>
      </c>
      <c r="B1656" t="s">
        <v>10</v>
      </c>
      <c r="C1656" t="str">
        <f>"滕从妮"</f>
        <v>滕从妮</v>
      </c>
      <c r="D1656" t="str">
        <f>"女"</f>
        <v>女</v>
      </c>
    </row>
    <row r="1657" spans="1:4" ht="24" customHeight="1">
      <c r="A1657" t="str">
        <f>"10512020072913322730630"</f>
        <v>10512020072913322730630</v>
      </c>
      <c r="B1657" t="s">
        <v>6</v>
      </c>
      <c r="C1657" t="str">
        <f>"张智"</f>
        <v>张智</v>
      </c>
      <c r="D1657" t="str">
        <f>"男"</f>
        <v>男</v>
      </c>
    </row>
    <row r="1658" spans="1:4" ht="24" customHeight="1">
      <c r="A1658" t="str">
        <f>"10512020072913475130631"</f>
        <v>10512020072913475130631</v>
      </c>
      <c r="B1658" t="s">
        <v>9</v>
      </c>
      <c r="C1658" t="str">
        <f>"胡辉"</f>
        <v>胡辉</v>
      </c>
      <c r="D1658" t="str">
        <f>"男"</f>
        <v>男</v>
      </c>
    </row>
    <row r="1659" spans="1:4" ht="24" customHeight="1">
      <c r="A1659" t="str">
        <f>"10512020072913572430632"</f>
        <v>10512020072913572430632</v>
      </c>
      <c r="B1659" t="s">
        <v>23</v>
      </c>
      <c r="C1659" t="str">
        <f>"钟浩洋"</f>
        <v>钟浩洋</v>
      </c>
      <c r="D1659" t="str">
        <f>"男"</f>
        <v>男</v>
      </c>
    </row>
    <row r="1660" spans="1:4" ht="24" customHeight="1">
      <c r="A1660" t="str">
        <f>"10512020072914061630633"</f>
        <v>10512020072914061630633</v>
      </c>
      <c r="B1660" t="s">
        <v>50</v>
      </c>
      <c r="C1660" t="str">
        <f>"王龙"</f>
        <v>王龙</v>
      </c>
      <c r="D1660" t="str">
        <f>"男"</f>
        <v>男</v>
      </c>
    </row>
    <row r="1661" spans="1:4" ht="24" customHeight="1">
      <c r="A1661" t="str">
        <f>"10512020072914165130634"</f>
        <v>10512020072914165130634</v>
      </c>
      <c r="B1661" t="s">
        <v>32</v>
      </c>
      <c r="C1661" t="str">
        <f>"黄静"</f>
        <v>黄静</v>
      </c>
      <c r="D1661" t="str">
        <f>"女"</f>
        <v>女</v>
      </c>
    </row>
    <row r="1662" spans="1:4" ht="24" customHeight="1">
      <c r="A1662" t="str">
        <f>"10512020072914214130635"</f>
        <v>10512020072914214130635</v>
      </c>
      <c r="B1662" t="s">
        <v>7</v>
      </c>
      <c r="C1662" t="str">
        <f>"付伟娟"</f>
        <v>付伟娟</v>
      </c>
      <c r="D1662" t="str">
        <f>"女"</f>
        <v>女</v>
      </c>
    </row>
    <row r="1663" spans="1:4" ht="24" customHeight="1">
      <c r="A1663" t="str">
        <f>"10512020072914223030636"</f>
        <v>10512020072914223030636</v>
      </c>
      <c r="B1663" t="s">
        <v>26</v>
      </c>
      <c r="C1663" t="str">
        <f>"代小进"</f>
        <v>代小进</v>
      </c>
      <c r="D1663" t="str">
        <f>"男"</f>
        <v>男</v>
      </c>
    </row>
    <row r="1664" spans="1:4" ht="24" customHeight="1">
      <c r="A1664" t="str">
        <f>"10512020072914225230637"</f>
        <v>10512020072914225230637</v>
      </c>
      <c r="B1664" t="s">
        <v>21</v>
      </c>
      <c r="C1664" t="str">
        <f>"黄张顺子"</f>
        <v>黄张顺子</v>
      </c>
      <c r="D1664" t="str">
        <f>"女"</f>
        <v>女</v>
      </c>
    </row>
    <row r="1665" spans="1:4" ht="24" customHeight="1">
      <c r="A1665" t="str">
        <f>"10512020072914254230638"</f>
        <v>10512020072914254230638</v>
      </c>
      <c r="B1665" t="s">
        <v>26</v>
      </c>
      <c r="C1665" t="str">
        <f>"张亚灵"</f>
        <v>张亚灵</v>
      </c>
      <c r="D1665" t="str">
        <f>"女"</f>
        <v>女</v>
      </c>
    </row>
    <row r="1666" spans="1:4" ht="24" customHeight="1">
      <c r="A1666" t="str">
        <f>"10512020072914265730639"</f>
        <v>10512020072914265730639</v>
      </c>
      <c r="B1666" t="s">
        <v>7</v>
      </c>
      <c r="C1666" t="str">
        <f>"肖澳晗"</f>
        <v>肖澳晗</v>
      </c>
      <c r="D1666" t="str">
        <f>"男"</f>
        <v>男</v>
      </c>
    </row>
    <row r="1667" spans="1:4" ht="24" customHeight="1">
      <c r="A1667" t="str">
        <f>"10512020072914311330641"</f>
        <v>10512020072914311330641</v>
      </c>
      <c r="B1667" t="s">
        <v>31</v>
      </c>
      <c r="C1667" t="str">
        <f>"黄哲媛"</f>
        <v>黄哲媛</v>
      </c>
      <c r="D1667" t="str">
        <f>"女"</f>
        <v>女</v>
      </c>
    </row>
    <row r="1668" spans="1:4" ht="24" customHeight="1">
      <c r="A1668" t="str">
        <f>"10512020072914350430642"</f>
        <v>10512020072914350430642</v>
      </c>
      <c r="B1668" t="s">
        <v>11</v>
      </c>
      <c r="C1668" t="str">
        <f>"刘宸璠"</f>
        <v>刘宸璠</v>
      </c>
      <c r="D1668" t="str">
        <f>"女"</f>
        <v>女</v>
      </c>
    </row>
    <row r="1669" spans="1:4" ht="24" customHeight="1">
      <c r="A1669" t="str">
        <f>"10512020072914352030643"</f>
        <v>10512020072914352030643</v>
      </c>
      <c r="B1669" t="s">
        <v>18</v>
      </c>
      <c r="C1669" t="str">
        <f>"梁皓"</f>
        <v>梁皓</v>
      </c>
      <c r="D1669" t="str">
        <f>"男"</f>
        <v>男</v>
      </c>
    </row>
    <row r="1670" spans="1:4" ht="24" customHeight="1">
      <c r="A1670" t="str">
        <f>"10512020072914395230644"</f>
        <v>10512020072914395230644</v>
      </c>
      <c r="B1670" t="s">
        <v>11</v>
      </c>
      <c r="C1670" t="str">
        <f>"郑龙娟"</f>
        <v>郑龙娟</v>
      </c>
      <c r="D1670" t="str">
        <f>"女"</f>
        <v>女</v>
      </c>
    </row>
    <row r="1671" spans="1:4" ht="24" customHeight="1">
      <c r="A1671" t="str">
        <f>"10512020072914424430645"</f>
        <v>10512020072914424430645</v>
      </c>
      <c r="B1671" t="s">
        <v>20</v>
      </c>
      <c r="C1671" t="str">
        <f>"周成程"</f>
        <v>周成程</v>
      </c>
      <c r="D1671" t="str">
        <f>"男"</f>
        <v>男</v>
      </c>
    </row>
    <row r="1672" spans="1:4" ht="24" customHeight="1">
      <c r="A1672" t="str">
        <f>"10512020072914463530646"</f>
        <v>10512020072914463530646</v>
      </c>
      <c r="B1672" t="s">
        <v>18</v>
      </c>
      <c r="C1672" t="str">
        <f>"卢孙贞慧"</f>
        <v>卢孙贞慧</v>
      </c>
      <c r="D1672" t="str">
        <f>"女"</f>
        <v>女</v>
      </c>
    </row>
    <row r="1673" spans="1:4" ht="24" customHeight="1">
      <c r="A1673" t="str">
        <f>"10512020072914514330647"</f>
        <v>10512020072914514330647</v>
      </c>
      <c r="B1673" t="s">
        <v>46</v>
      </c>
      <c r="C1673" t="str">
        <f>"戴静怡"</f>
        <v>戴静怡</v>
      </c>
      <c r="D1673" t="str">
        <f>"女"</f>
        <v>女</v>
      </c>
    </row>
    <row r="1674" spans="1:4" ht="24" customHeight="1">
      <c r="A1674" t="str">
        <f>"10512020072914520230648"</f>
        <v>10512020072914520230648</v>
      </c>
      <c r="B1674" t="s">
        <v>11</v>
      </c>
      <c r="C1674" t="str">
        <f>"丁斌"</f>
        <v>丁斌</v>
      </c>
      <c r="D1674" t="str">
        <f>"男"</f>
        <v>男</v>
      </c>
    </row>
    <row r="1675" spans="1:4" ht="24" customHeight="1">
      <c r="A1675" t="str">
        <f>"10512020072914533330649"</f>
        <v>10512020072914533330649</v>
      </c>
      <c r="B1675" t="s">
        <v>27</v>
      </c>
      <c r="C1675" t="str">
        <f>" 杨巍"</f>
        <v xml:space="preserve"> 杨巍</v>
      </c>
      <c r="D1675" t="str">
        <f>"男"</f>
        <v>男</v>
      </c>
    </row>
    <row r="1676" spans="1:4" ht="24" customHeight="1">
      <c r="A1676" t="str">
        <f>"10512020072915020230650"</f>
        <v>10512020072915020230650</v>
      </c>
      <c r="B1676" t="s">
        <v>14</v>
      </c>
      <c r="C1676" t="str">
        <f>"陈媛"</f>
        <v>陈媛</v>
      </c>
      <c r="D1676" t="str">
        <f>"女"</f>
        <v>女</v>
      </c>
    </row>
    <row r="1677" spans="1:4" ht="24" customHeight="1">
      <c r="A1677" t="str">
        <f>"10512020072915021930651"</f>
        <v>10512020072915021930651</v>
      </c>
      <c r="B1677" t="s">
        <v>26</v>
      </c>
      <c r="C1677" t="str">
        <f>"刘芳"</f>
        <v>刘芳</v>
      </c>
      <c r="D1677" t="str">
        <f>"女"</f>
        <v>女</v>
      </c>
    </row>
    <row r="1678" spans="1:4" ht="24" customHeight="1">
      <c r="A1678" t="str">
        <f>"10512020072915033730652"</f>
        <v>10512020072915033730652</v>
      </c>
      <c r="B1678" t="s">
        <v>25</v>
      </c>
      <c r="C1678" t="str">
        <f>"张晓慧"</f>
        <v>张晓慧</v>
      </c>
      <c r="D1678" t="str">
        <f>"女"</f>
        <v>女</v>
      </c>
    </row>
    <row r="1679" spans="1:4" ht="24" customHeight="1">
      <c r="A1679" t="str">
        <f>"10512020072915045730653"</f>
        <v>10512020072915045730653</v>
      </c>
      <c r="B1679" t="s">
        <v>9</v>
      </c>
      <c r="C1679" t="str">
        <f>"于科函"</f>
        <v>于科函</v>
      </c>
      <c r="D1679" t="str">
        <f>"女"</f>
        <v>女</v>
      </c>
    </row>
    <row r="1680" spans="1:4" ht="24" customHeight="1">
      <c r="A1680" t="str">
        <f>"10512020072915071130655"</f>
        <v>10512020072915071130655</v>
      </c>
      <c r="B1680" t="s">
        <v>20</v>
      </c>
      <c r="C1680" t="str">
        <f>"孙鹏翔"</f>
        <v>孙鹏翔</v>
      </c>
      <c r="D1680" t="str">
        <f>"男"</f>
        <v>男</v>
      </c>
    </row>
    <row r="1681" spans="1:4" ht="24" customHeight="1">
      <c r="A1681" t="str">
        <f>"10512020072915074030656"</f>
        <v>10512020072915074030656</v>
      </c>
      <c r="B1681" t="s">
        <v>28</v>
      </c>
      <c r="C1681" t="str">
        <f>"田燚"</f>
        <v>田燚</v>
      </c>
      <c r="D1681" t="str">
        <f>"女"</f>
        <v>女</v>
      </c>
    </row>
    <row r="1682" spans="1:4" ht="24" customHeight="1">
      <c r="A1682" t="str">
        <f>"10512020072915074430657"</f>
        <v>10512020072915074430657</v>
      </c>
      <c r="B1682" t="s">
        <v>13</v>
      </c>
      <c r="C1682" t="str">
        <f>"黄媛媛"</f>
        <v>黄媛媛</v>
      </c>
      <c r="D1682" t="str">
        <f>"女"</f>
        <v>女</v>
      </c>
    </row>
    <row r="1683" spans="1:4" ht="24" customHeight="1">
      <c r="A1683" t="str">
        <f>"10512020072915090530658"</f>
        <v>10512020072915090530658</v>
      </c>
      <c r="B1683" t="s">
        <v>23</v>
      </c>
      <c r="C1683" t="str">
        <f>"宾步昭"</f>
        <v>宾步昭</v>
      </c>
      <c r="D1683" t="str">
        <f>"女"</f>
        <v>女</v>
      </c>
    </row>
    <row r="1684" spans="1:4" ht="24" customHeight="1">
      <c r="A1684" t="str">
        <f>"10512020072915102530659"</f>
        <v>10512020072915102530659</v>
      </c>
      <c r="B1684" t="s">
        <v>12</v>
      </c>
      <c r="C1684" t="str">
        <f>"王婷婷"</f>
        <v>王婷婷</v>
      </c>
      <c r="D1684" t="str">
        <f>"女"</f>
        <v>女</v>
      </c>
    </row>
    <row r="1685" spans="1:4" ht="24" customHeight="1">
      <c r="A1685" t="str">
        <f>"10512020072915124530660"</f>
        <v>10512020072915124530660</v>
      </c>
      <c r="B1685" t="s">
        <v>5</v>
      </c>
      <c r="C1685" t="str">
        <f>"杨鹏程"</f>
        <v>杨鹏程</v>
      </c>
      <c r="D1685" t="str">
        <f>"男"</f>
        <v>男</v>
      </c>
    </row>
    <row r="1686" spans="1:4" ht="24" customHeight="1">
      <c r="A1686" t="str">
        <f>"10512020072915150130661"</f>
        <v>10512020072915150130661</v>
      </c>
      <c r="B1686" t="s">
        <v>11</v>
      </c>
      <c r="C1686" t="str">
        <f>"尹湘瑜"</f>
        <v>尹湘瑜</v>
      </c>
      <c r="D1686" t="str">
        <f>"女"</f>
        <v>女</v>
      </c>
    </row>
    <row r="1687" spans="1:4" ht="24" customHeight="1">
      <c r="A1687" t="str">
        <f>"10512020072915154830662"</f>
        <v>10512020072915154830662</v>
      </c>
      <c r="B1687" t="s">
        <v>35</v>
      </c>
      <c r="C1687" t="str">
        <f>"文瑶"</f>
        <v>文瑶</v>
      </c>
      <c r="D1687" t="str">
        <f>"女"</f>
        <v>女</v>
      </c>
    </row>
    <row r="1688" spans="1:4" ht="24" customHeight="1">
      <c r="A1688" t="str">
        <f>"10512020072915175730663"</f>
        <v>10512020072915175730663</v>
      </c>
      <c r="B1688" t="s">
        <v>6</v>
      </c>
      <c r="C1688" t="str">
        <f>"呙于国"</f>
        <v>呙于国</v>
      </c>
      <c r="D1688" t="str">
        <f>"男"</f>
        <v>男</v>
      </c>
    </row>
    <row r="1689" spans="1:4" ht="24" customHeight="1">
      <c r="A1689" t="str">
        <f>"10512020072915181330664"</f>
        <v>10512020072915181330664</v>
      </c>
      <c r="B1689" t="s">
        <v>24</v>
      </c>
      <c r="C1689" t="str">
        <f>"卓俭飞"</f>
        <v>卓俭飞</v>
      </c>
      <c r="D1689" t="str">
        <f>"男"</f>
        <v>男</v>
      </c>
    </row>
    <row r="1690" spans="1:4" ht="24" customHeight="1">
      <c r="A1690" t="str">
        <f>"10512020072915181730665"</f>
        <v>10512020072915181730665</v>
      </c>
      <c r="B1690" t="s">
        <v>16</v>
      </c>
      <c r="C1690" t="str">
        <f>"李丹"</f>
        <v>李丹</v>
      </c>
      <c r="D1690" t="str">
        <f>"女"</f>
        <v>女</v>
      </c>
    </row>
    <row r="1691" spans="1:4" ht="24" customHeight="1">
      <c r="A1691" t="str">
        <f>"10512020072915183030666"</f>
        <v>10512020072915183030666</v>
      </c>
      <c r="B1691" t="s">
        <v>9</v>
      </c>
      <c r="C1691" t="str">
        <f>"刘斯宇"</f>
        <v>刘斯宇</v>
      </c>
      <c r="D1691" t="str">
        <f>"男"</f>
        <v>男</v>
      </c>
    </row>
    <row r="1692" spans="1:4" ht="24" customHeight="1">
      <c r="A1692" t="str">
        <f>"10512020072915202930667"</f>
        <v>10512020072915202930667</v>
      </c>
      <c r="B1692" t="s">
        <v>18</v>
      </c>
      <c r="C1692" t="str">
        <f>"毛旻"</f>
        <v>毛旻</v>
      </c>
      <c r="D1692" t="str">
        <f>"女"</f>
        <v>女</v>
      </c>
    </row>
    <row r="1693" spans="1:4" ht="24" customHeight="1">
      <c r="A1693" t="str">
        <f>"10512020072915243530668"</f>
        <v>10512020072915243530668</v>
      </c>
      <c r="B1693" t="s">
        <v>46</v>
      </c>
      <c r="C1693" t="str">
        <f>"周静"</f>
        <v>周静</v>
      </c>
      <c r="D1693" t="str">
        <f>"女"</f>
        <v>女</v>
      </c>
    </row>
    <row r="1694" spans="1:4" ht="24" customHeight="1">
      <c r="A1694" t="str">
        <f>"10512020072915254630670"</f>
        <v>10512020072915254630670</v>
      </c>
      <c r="B1694" t="s">
        <v>16</v>
      </c>
      <c r="C1694" t="str">
        <f>"彭小超"</f>
        <v>彭小超</v>
      </c>
      <c r="D1694" t="str">
        <f>"男"</f>
        <v>男</v>
      </c>
    </row>
    <row r="1695" spans="1:4" ht="24" customHeight="1">
      <c r="A1695" t="str">
        <f>"10512020072915262430671"</f>
        <v>10512020072915262430671</v>
      </c>
      <c r="B1695" t="s">
        <v>7</v>
      </c>
      <c r="C1695" t="str">
        <f>"陈欧惠"</f>
        <v>陈欧惠</v>
      </c>
      <c r="D1695" t="str">
        <f>"女"</f>
        <v>女</v>
      </c>
    </row>
    <row r="1696" spans="1:4" ht="24" customHeight="1">
      <c r="A1696" t="str">
        <f>"10512020072915272130672"</f>
        <v>10512020072915272130672</v>
      </c>
      <c r="B1696" t="s">
        <v>15</v>
      </c>
      <c r="C1696" t="str">
        <f>"王承格"</f>
        <v>王承格</v>
      </c>
      <c r="D1696" t="str">
        <f>"男"</f>
        <v>男</v>
      </c>
    </row>
    <row r="1697" spans="1:4" ht="24" customHeight="1">
      <c r="A1697" t="str">
        <f>"10512020072915282130673"</f>
        <v>10512020072915282130673</v>
      </c>
      <c r="B1697" t="s">
        <v>28</v>
      </c>
      <c r="C1697" t="str">
        <f>"石桢桢"</f>
        <v>石桢桢</v>
      </c>
      <c r="D1697" t="str">
        <f>"女"</f>
        <v>女</v>
      </c>
    </row>
    <row r="1698" spans="1:4" ht="24" customHeight="1">
      <c r="A1698" t="str">
        <f>"10512020072915293630674"</f>
        <v>10512020072915293630674</v>
      </c>
      <c r="B1698" t="s">
        <v>13</v>
      </c>
      <c r="C1698" t="str">
        <f>"佘惠萍"</f>
        <v>佘惠萍</v>
      </c>
      <c r="D1698" t="str">
        <f>"女"</f>
        <v>女</v>
      </c>
    </row>
    <row r="1699" spans="1:4" ht="24" customHeight="1">
      <c r="A1699" t="str">
        <f>"10512020072915300230675"</f>
        <v>10512020072915300230675</v>
      </c>
      <c r="B1699" t="s">
        <v>5</v>
      </c>
      <c r="C1699" t="str">
        <f>"鲁金华"</f>
        <v>鲁金华</v>
      </c>
      <c r="D1699" t="str">
        <f>"女"</f>
        <v>女</v>
      </c>
    </row>
    <row r="1700" spans="1:4" ht="24" customHeight="1">
      <c r="A1700" t="str">
        <f>"10512020072915313530677"</f>
        <v>10512020072915313530677</v>
      </c>
      <c r="B1700" t="s">
        <v>23</v>
      </c>
      <c r="C1700" t="str">
        <f>"毛晶帅"</f>
        <v>毛晶帅</v>
      </c>
      <c r="D1700" t="str">
        <f>"男"</f>
        <v>男</v>
      </c>
    </row>
    <row r="1701" spans="1:4" ht="24" customHeight="1">
      <c r="A1701" t="str">
        <f>"10512020072915330930678"</f>
        <v>10512020072915330930678</v>
      </c>
      <c r="B1701" t="s">
        <v>13</v>
      </c>
      <c r="C1701" t="str">
        <f>"周丹"</f>
        <v>周丹</v>
      </c>
      <c r="D1701" t="str">
        <f>"女"</f>
        <v>女</v>
      </c>
    </row>
    <row r="1702" spans="1:4" ht="24" customHeight="1">
      <c r="A1702" t="str">
        <f>"10512020072915364430679"</f>
        <v>10512020072915364430679</v>
      </c>
      <c r="B1702" t="s">
        <v>27</v>
      </c>
      <c r="C1702" t="str">
        <f>"任静"</f>
        <v>任静</v>
      </c>
      <c r="D1702" t="str">
        <f>"女"</f>
        <v>女</v>
      </c>
    </row>
    <row r="1703" spans="1:4" ht="24" customHeight="1">
      <c r="A1703" t="str">
        <f>"10512020072915403030680"</f>
        <v>10512020072915403030680</v>
      </c>
      <c r="B1703" t="s">
        <v>11</v>
      </c>
      <c r="C1703" t="str">
        <f>"柳雅晴"</f>
        <v>柳雅晴</v>
      </c>
      <c r="D1703" t="str">
        <f>"女"</f>
        <v>女</v>
      </c>
    </row>
    <row r="1704" spans="1:4" ht="24" customHeight="1">
      <c r="A1704" t="str">
        <f>"10512020072915412130681"</f>
        <v>10512020072915412130681</v>
      </c>
      <c r="B1704" t="s">
        <v>12</v>
      </c>
      <c r="C1704" t="str">
        <f>"吴超 "</f>
        <v xml:space="preserve">吴超 </v>
      </c>
      <c r="D1704" t="str">
        <f>"女"</f>
        <v>女</v>
      </c>
    </row>
    <row r="1705" spans="1:4" ht="24" customHeight="1">
      <c r="A1705" t="str">
        <f>"10512020072915430430682"</f>
        <v>10512020072915430430682</v>
      </c>
      <c r="B1705" t="s">
        <v>58</v>
      </c>
      <c r="C1705" t="str">
        <f>"杨军"</f>
        <v>杨军</v>
      </c>
      <c r="D1705" t="str">
        <f>"男"</f>
        <v>男</v>
      </c>
    </row>
    <row r="1706" spans="1:4" ht="24" customHeight="1">
      <c r="A1706" t="str">
        <f>"10512020072915464830683"</f>
        <v>10512020072915464830683</v>
      </c>
      <c r="B1706" t="s">
        <v>12</v>
      </c>
      <c r="C1706" t="str">
        <f>"李慧"</f>
        <v>李慧</v>
      </c>
      <c r="D1706" t="str">
        <f>"女"</f>
        <v>女</v>
      </c>
    </row>
    <row r="1707" spans="1:4" ht="24" customHeight="1">
      <c r="A1707" t="str">
        <f>"10512020072915464930684"</f>
        <v>10512020072915464930684</v>
      </c>
      <c r="B1707" t="s">
        <v>5</v>
      </c>
      <c r="C1707" t="str">
        <f>"田明志"</f>
        <v>田明志</v>
      </c>
      <c r="D1707" t="str">
        <f>"男"</f>
        <v>男</v>
      </c>
    </row>
    <row r="1708" spans="1:4" ht="24" customHeight="1">
      <c r="A1708" t="str">
        <f>"10512020072915513930686"</f>
        <v>10512020072915513930686</v>
      </c>
      <c r="B1708" t="s">
        <v>23</v>
      </c>
      <c r="C1708" t="str">
        <f>"朱莉"</f>
        <v>朱莉</v>
      </c>
      <c r="D1708" t="str">
        <f>"女"</f>
        <v>女</v>
      </c>
    </row>
    <row r="1709" spans="1:4" ht="24" customHeight="1">
      <c r="A1709" t="str">
        <f>"10512020072915553530688"</f>
        <v>10512020072915553530688</v>
      </c>
      <c r="B1709" t="s">
        <v>16</v>
      </c>
      <c r="C1709" t="str">
        <f>"刘利军"</f>
        <v>刘利军</v>
      </c>
      <c r="D1709" t="str">
        <f>"男"</f>
        <v>男</v>
      </c>
    </row>
    <row r="1710" spans="1:4" ht="24" customHeight="1">
      <c r="A1710" t="str">
        <f>"10512020072915553930689"</f>
        <v>10512020072915553930689</v>
      </c>
      <c r="B1710" t="s">
        <v>21</v>
      </c>
      <c r="C1710" t="str">
        <f>"余淑"</f>
        <v>余淑</v>
      </c>
      <c r="D1710" t="str">
        <f>"男"</f>
        <v>男</v>
      </c>
    </row>
    <row r="1711" spans="1:4" ht="24" customHeight="1">
      <c r="A1711" t="str">
        <f>"10512020072915573330690"</f>
        <v>10512020072915573330690</v>
      </c>
      <c r="B1711" t="s">
        <v>5</v>
      </c>
      <c r="C1711" t="str">
        <f>"孙涛"</f>
        <v>孙涛</v>
      </c>
      <c r="D1711" t="str">
        <f>"男"</f>
        <v>男</v>
      </c>
    </row>
    <row r="1712" spans="1:4" ht="24" customHeight="1">
      <c r="A1712" t="str">
        <f>"10512020072915575430691"</f>
        <v>10512020072915575430691</v>
      </c>
      <c r="B1712" t="s">
        <v>5</v>
      </c>
      <c r="C1712" t="str">
        <f>"龚山桓"</f>
        <v>龚山桓</v>
      </c>
      <c r="D1712" t="str">
        <f>"男"</f>
        <v>男</v>
      </c>
    </row>
    <row r="1713" spans="1:4" ht="24" customHeight="1">
      <c r="A1713" t="str">
        <f>"10512020072916021230692"</f>
        <v>10512020072916021230692</v>
      </c>
      <c r="B1713" t="s">
        <v>13</v>
      </c>
      <c r="C1713" t="str">
        <f>"贺佳"</f>
        <v>贺佳</v>
      </c>
      <c r="D1713" t="str">
        <f>"女"</f>
        <v>女</v>
      </c>
    </row>
    <row r="1714" spans="1:4" ht="24" customHeight="1">
      <c r="A1714" t="str">
        <f>"10512020072916023830693"</f>
        <v>10512020072916023830693</v>
      </c>
      <c r="B1714" t="s">
        <v>26</v>
      </c>
      <c r="C1714" t="str">
        <f>"田广"</f>
        <v>田广</v>
      </c>
      <c r="D1714" t="str">
        <f>"男"</f>
        <v>男</v>
      </c>
    </row>
    <row r="1715" spans="1:4" ht="24" customHeight="1">
      <c r="A1715" t="str">
        <f>"10512020072916082030695"</f>
        <v>10512020072916082030695</v>
      </c>
      <c r="B1715" t="s">
        <v>13</v>
      </c>
      <c r="C1715" t="str">
        <f>"任思荣"</f>
        <v>任思荣</v>
      </c>
      <c r="D1715" t="str">
        <f>"女"</f>
        <v>女</v>
      </c>
    </row>
    <row r="1716" spans="1:4" ht="24" customHeight="1">
      <c r="A1716" t="str">
        <f>"10512020072916093930696"</f>
        <v>10512020072916093930696</v>
      </c>
      <c r="B1716" t="s">
        <v>23</v>
      </c>
      <c r="C1716" t="str">
        <f>"周诚"</f>
        <v>周诚</v>
      </c>
      <c r="D1716" t="str">
        <f>"男"</f>
        <v>男</v>
      </c>
    </row>
    <row r="1717" spans="1:4" ht="24" customHeight="1">
      <c r="A1717" t="str">
        <f>"10512020072916102230697"</f>
        <v>10512020072916102230697</v>
      </c>
      <c r="B1717" t="s">
        <v>16</v>
      </c>
      <c r="C1717" t="str">
        <f>"易长征"</f>
        <v>易长征</v>
      </c>
      <c r="D1717" t="str">
        <f>"男"</f>
        <v>男</v>
      </c>
    </row>
    <row r="1718" spans="1:4" ht="24" customHeight="1">
      <c r="A1718" t="str">
        <f>"10512020072916121830699"</f>
        <v>10512020072916121830699</v>
      </c>
      <c r="B1718" t="s">
        <v>5</v>
      </c>
      <c r="C1718" t="str">
        <f>"杨娣"</f>
        <v>杨娣</v>
      </c>
      <c r="D1718" t="str">
        <f>"女"</f>
        <v>女</v>
      </c>
    </row>
    <row r="1719" spans="1:4" ht="24" customHeight="1">
      <c r="A1719" t="str">
        <f>"10512020072916140530700"</f>
        <v>10512020072916140530700</v>
      </c>
      <c r="B1719" t="s">
        <v>55</v>
      </c>
      <c r="C1719" t="str">
        <f>"罗宇轩"</f>
        <v>罗宇轩</v>
      </c>
      <c r="D1719" t="str">
        <f>"男"</f>
        <v>男</v>
      </c>
    </row>
    <row r="1720" spans="1:4" ht="24" customHeight="1">
      <c r="A1720" t="str">
        <f>"10512020072916193130701"</f>
        <v>10512020072916193130701</v>
      </c>
      <c r="B1720" t="s">
        <v>16</v>
      </c>
      <c r="C1720" t="str">
        <f>"周奇"</f>
        <v>周奇</v>
      </c>
      <c r="D1720" t="str">
        <f>"男"</f>
        <v>男</v>
      </c>
    </row>
    <row r="1721" spans="1:4" ht="24" customHeight="1">
      <c r="A1721" t="str">
        <f>"10512020072916245830702"</f>
        <v>10512020072916245830702</v>
      </c>
      <c r="B1721" t="s">
        <v>12</v>
      </c>
      <c r="C1721" t="str">
        <f>"吴思雨"</f>
        <v>吴思雨</v>
      </c>
      <c r="D1721" t="str">
        <f>"女"</f>
        <v>女</v>
      </c>
    </row>
    <row r="1722" spans="1:4" ht="24" customHeight="1">
      <c r="A1722" t="str">
        <f>"10512020072916254930703"</f>
        <v>10512020072916254930703</v>
      </c>
      <c r="B1722" t="s">
        <v>16</v>
      </c>
      <c r="C1722" t="str">
        <f>"龚婷"</f>
        <v>龚婷</v>
      </c>
      <c r="D1722" t="str">
        <f>"女"</f>
        <v>女</v>
      </c>
    </row>
    <row r="1723" spans="1:4" ht="24" customHeight="1">
      <c r="A1723" t="str">
        <f>"10512020072916271830704"</f>
        <v>10512020072916271830704</v>
      </c>
      <c r="B1723" t="s">
        <v>7</v>
      </c>
      <c r="C1723" t="str">
        <f>"江林"</f>
        <v>江林</v>
      </c>
      <c r="D1723" t="str">
        <f>"男"</f>
        <v>男</v>
      </c>
    </row>
    <row r="1724" spans="1:4" ht="24" customHeight="1">
      <c r="A1724" t="str">
        <f>"10512020072916294230705"</f>
        <v>10512020072916294230705</v>
      </c>
      <c r="B1724" t="s">
        <v>32</v>
      </c>
      <c r="C1724" t="str">
        <f>"向子琪"</f>
        <v>向子琪</v>
      </c>
      <c r="D1724" t="str">
        <f>"女"</f>
        <v>女</v>
      </c>
    </row>
    <row r="1725" spans="1:4" ht="24" customHeight="1">
      <c r="A1725" t="str">
        <f>"10512020072916310930706"</f>
        <v>10512020072916310930706</v>
      </c>
      <c r="B1725" t="s">
        <v>16</v>
      </c>
      <c r="C1725" t="str">
        <f>"全权"</f>
        <v>全权</v>
      </c>
      <c r="D1725" t="str">
        <f>"男"</f>
        <v>男</v>
      </c>
    </row>
    <row r="1726" spans="1:4" ht="24" customHeight="1">
      <c r="A1726" t="str">
        <f>"10512020072916322130707"</f>
        <v>10512020072916322130707</v>
      </c>
      <c r="B1726" t="s">
        <v>11</v>
      </c>
      <c r="C1726" t="str">
        <f>"沈静"</f>
        <v>沈静</v>
      </c>
      <c r="D1726" t="str">
        <f>"女"</f>
        <v>女</v>
      </c>
    </row>
    <row r="1727" spans="1:4" ht="24" customHeight="1">
      <c r="A1727" t="str">
        <f>"10512020072916332330708"</f>
        <v>10512020072916332330708</v>
      </c>
      <c r="B1727" t="s">
        <v>48</v>
      </c>
      <c r="C1727" t="str">
        <f>"何芃霖"</f>
        <v>何芃霖</v>
      </c>
      <c r="D1727" t="str">
        <f>"男"</f>
        <v>男</v>
      </c>
    </row>
    <row r="1728" spans="1:4" ht="24" customHeight="1">
      <c r="A1728" t="str">
        <f>"10512020072916340930709"</f>
        <v>10512020072916340930709</v>
      </c>
      <c r="B1728" t="s">
        <v>13</v>
      </c>
      <c r="C1728" t="str">
        <f>"屈江梅"</f>
        <v>屈江梅</v>
      </c>
      <c r="D1728" t="str">
        <f>"女"</f>
        <v>女</v>
      </c>
    </row>
    <row r="1729" spans="1:4" ht="24" customHeight="1">
      <c r="A1729" t="str">
        <f>"10512020072916345130710"</f>
        <v>10512020072916345130710</v>
      </c>
      <c r="B1729" t="s">
        <v>18</v>
      </c>
      <c r="C1729" t="str">
        <f>"刘林均"</f>
        <v>刘林均</v>
      </c>
      <c r="D1729" t="str">
        <f>"男"</f>
        <v>男</v>
      </c>
    </row>
    <row r="1730" spans="1:4" ht="24" customHeight="1">
      <c r="A1730" t="str">
        <f>"10512020072916350730711"</f>
        <v>10512020072916350730711</v>
      </c>
      <c r="B1730" t="s">
        <v>21</v>
      </c>
      <c r="C1730" t="str">
        <f>"陈灿"</f>
        <v>陈灿</v>
      </c>
      <c r="D1730" t="str">
        <f>"女"</f>
        <v>女</v>
      </c>
    </row>
    <row r="1731" spans="1:4" ht="24" customHeight="1">
      <c r="A1731" t="str">
        <f>"10512020072916380230712"</f>
        <v>10512020072916380230712</v>
      </c>
      <c r="B1731" t="s">
        <v>23</v>
      </c>
      <c r="C1731" t="str">
        <f>"陈明"</f>
        <v>陈明</v>
      </c>
      <c r="D1731" t="str">
        <f>"女"</f>
        <v>女</v>
      </c>
    </row>
    <row r="1732" spans="1:4" ht="24" customHeight="1">
      <c r="A1732" t="str">
        <f>"10512020072916493830713"</f>
        <v>10512020072916493830713</v>
      </c>
      <c r="B1732" t="s">
        <v>31</v>
      </c>
      <c r="C1732" t="str">
        <f>"陈颖"</f>
        <v>陈颖</v>
      </c>
      <c r="D1732" t="str">
        <f>"女"</f>
        <v>女</v>
      </c>
    </row>
    <row r="1733" spans="1:4" ht="24" customHeight="1">
      <c r="A1733" t="str">
        <f>"10512020072916503330714"</f>
        <v>10512020072916503330714</v>
      </c>
      <c r="B1733" t="s">
        <v>10</v>
      </c>
      <c r="C1733" t="str">
        <f>"丁立峰"</f>
        <v>丁立峰</v>
      </c>
      <c r="D1733" t="str">
        <f>"男"</f>
        <v>男</v>
      </c>
    </row>
    <row r="1734" spans="1:4" ht="24" customHeight="1">
      <c r="A1734" t="str">
        <f>"10512020072916524530715"</f>
        <v>10512020072916524530715</v>
      </c>
      <c r="B1734" t="s">
        <v>4</v>
      </c>
      <c r="C1734" t="str">
        <f>"熊宜红"</f>
        <v>熊宜红</v>
      </c>
      <c r="D1734" t="str">
        <f>"女"</f>
        <v>女</v>
      </c>
    </row>
    <row r="1735" spans="1:4" ht="24" customHeight="1">
      <c r="A1735" t="str">
        <f>"10512020072916551530716"</f>
        <v>10512020072916551530716</v>
      </c>
      <c r="B1735" t="s">
        <v>6</v>
      </c>
      <c r="C1735" t="str">
        <f>"王虹霖"</f>
        <v>王虹霖</v>
      </c>
      <c r="D1735" t="str">
        <f>"男"</f>
        <v>男</v>
      </c>
    </row>
    <row r="1736" spans="1:4" ht="24" customHeight="1">
      <c r="A1736" t="str">
        <f>"10512020072916551730717"</f>
        <v>10512020072916551730717</v>
      </c>
      <c r="B1736" t="s">
        <v>31</v>
      </c>
      <c r="C1736" t="str">
        <f>"袁秋萍"</f>
        <v>袁秋萍</v>
      </c>
      <c r="D1736" t="str">
        <f>"女"</f>
        <v>女</v>
      </c>
    </row>
    <row r="1737" spans="1:4" ht="24" customHeight="1">
      <c r="A1737" t="str">
        <f>"10512020072916591030718"</f>
        <v>10512020072916591030718</v>
      </c>
      <c r="B1737" t="s">
        <v>21</v>
      </c>
      <c r="C1737" t="str">
        <f>"陈雅文"</f>
        <v>陈雅文</v>
      </c>
      <c r="D1737" t="str">
        <f>"女"</f>
        <v>女</v>
      </c>
    </row>
    <row r="1738" spans="1:4" ht="24" customHeight="1">
      <c r="A1738" t="str">
        <f>"10512020072917015530719"</f>
        <v>10512020072917015530719</v>
      </c>
      <c r="B1738" t="s">
        <v>40</v>
      </c>
      <c r="C1738" t="str">
        <f>"韩霜霜"</f>
        <v>韩霜霜</v>
      </c>
      <c r="D1738" t="str">
        <f>"女"</f>
        <v>女</v>
      </c>
    </row>
    <row r="1739" spans="1:4" ht="24" customHeight="1">
      <c r="A1739" t="str">
        <f>"10512020072917030130720"</f>
        <v>10512020072917030130720</v>
      </c>
      <c r="B1739" t="s">
        <v>19</v>
      </c>
      <c r="C1739" t="str">
        <f>"王译敬"</f>
        <v>王译敬</v>
      </c>
      <c r="D1739" t="str">
        <f>"男"</f>
        <v>男</v>
      </c>
    </row>
    <row r="1740" spans="1:4" ht="24" customHeight="1">
      <c r="A1740" t="str">
        <f>"10512020072917044430721"</f>
        <v>10512020072917044430721</v>
      </c>
      <c r="B1740" t="s">
        <v>7</v>
      </c>
      <c r="C1740" t="str">
        <f>"胡倩"</f>
        <v>胡倩</v>
      </c>
      <c r="D1740" t="str">
        <f t="shared" ref="D1740:D1748" si="33">"女"</f>
        <v>女</v>
      </c>
    </row>
    <row r="1741" spans="1:4" ht="24" customHeight="1">
      <c r="A1741" t="str">
        <f>"10512020072917054330722"</f>
        <v>10512020072917054330722</v>
      </c>
      <c r="B1741" t="s">
        <v>29</v>
      </c>
      <c r="C1741" t="str">
        <f>"吴小雨"</f>
        <v>吴小雨</v>
      </c>
      <c r="D1741" t="str">
        <f t="shared" si="33"/>
        <v>女</v>
      </c>
    </row>
    <row r="1742" spans="1:4" ht="24" customHeight="1">
      <c r="A1742" t="str">
        <f>"10512020072917092730723"</f>
        <v>10512020072917092730723</v>
      </c>
      <c r="B1742" t="s">
        <v>9</v>
      </c>
      <c r="C1742" t="str">
        <f>"杨虹顺"</f>
        <v>杨虹顺</v>
      </c>
      <c r="D1742" t="str">
        <f t="shared" si="33"/>
        <v>女</v>
      </c>
    </row>
    <row r="1743" spans="1:4" ht="24" customHeight="1">
      <c r="A1743" t="str">
        <f>"10512020072917122830724"</f>
        <v>10512020072917122830724</v>
      </c>
      <c r="B1743" t="s">
        <v>19</v>
      </c>
      <c r="C1743" t="str">
        <f>"张娆"</f>
        <v>张娆</v>
      </c>
      <c r="D1743" t="str">
        <f t="shared" si="33"/>
        <v>女</v>
      </c>
    </row>
    <row r="1744" spans="1:4" ht="24" customHeight="1">
      <c r="A1744" t="str">
        <f>"10512020072917152630725"</f>
        <v>10512020072917152630725</v>
      </c>
      <c r="B1744" t="s">
        <v>45</v>
      </c>
      <c r="C1744" t="str">
        <f>"周艳华"</f>
        <v>周艳华</v>
      </c>
      <c r="D1744" t="str">
        <f t="shared" si="33"/>
        <v>女</v>
      </c>
    </row>
    <row r="1745" spans="1:4" ht="24" customHeight="1">
      <c r="A1745" t="str">
        <f>"10512020072917171130726"</f>
        <v>10512020072917171130726</v>
      </c>
      <c r="B1745" t="s">
        <v>9</v>
      </c>
      <c r="C1745" t="str">
        <f>"沈琳"</f>
        <v>沈琳</v>
      </c>
      <c r="D1745" t="str">
        <f t="shared" si="33"/>
        <v>女</v>
      </c>
    </row>
    <row r="1746" spans="1:4" ht="24" customHeight="1">
      <c r="A1746" t="str">
        <f>"10512020072917185230727"</f>
        <v>10512020072917185230727</v>
      </c>
      <c r="B1746" t="s">
        <v>26</v>
      </c>
      <c r="C1746" t="str">
        <f>"徐翔"</f>
        <v>徐翔</v>
      </c>
      <c r="D1746" t="str">
        <f t="shared" si="33"/>
        <v>女</v>
      </c>
    </row>
    <row r="1747" spans="1:4" ht="24" customHeight="1">
      <c r="A1747" t="str">
        <f>"10512020072917270930729"</f>
        <v>10512020072917270930729</v>
      </c>
      <c r="B1747" t="s">
        <v>32</v>
      </c>
      <c r="C1747" t="str">
        <f>"曾琼娇"</f>
        <v>曾琼娇</v>
      </c>
      <c r="D1747" t="str">
        <f t="shared" si="33"/>
        <v>女</v>
      </c>
    </row>
    <row r="1748" spans="1:4" ht="24" customHeight="1">
      <c r="A1748" t="str">
        <f>"10512020072917281630730"</f>
        <v>10512020072917281630730</v>
      </c>
      <c r="B1748" t="s">
        <v>13</v>
      </c>
      <c r="C1748" t="str">
        <f>"向施燕"</f>
        <v>向施燕</v>
      </c>
      <c r="D1748" t="str">
        <f t="shared" si="33"/>
        <v>女</v>
      </c>
    </row>
    <row r="1749" spans="1:4" ht="24" customHeight="1">
      <c r="A1749" t="str">
        <f>"10512020072917282930731"</f>
        <v>10512020072917282930731</v>
      </c>
      <c r="B1749" t="s">
        <v>13</v>
      </c>
      <c r="C1749" t="str">
        <f>"曾洪波"</f>
        <v>曾洪波</v>
      </c>
      <c r="D1749" t="str">
        <f>"男"</f>
        <v>男</v>
      </c>
    </row>
    <row r="1750" spans="1:4" ht="24" customHeight="1">
      <c r="A1750" t="str">
        <f>"10512020072917392330732"</f>
        <v>10512020072917392330732</v>
      </c>
      <c r="B1750" t="s">
        <v>59</v>
      </c>
      <c r="C1750" t="str">
        <f>"李文娟"</f>
        <v>李文娟</v>
      </c>
      <c r="D1750" t="str">
        <f>"女"</f>
        <v>女</v>
      </c>
    </row>
    <row r="1751" spans="1:4" ht="24" customHeight="1">
      <c r="A1751" t="str">
        <f>"10512020072917400230733"</f>
        <v>10512020072917400230733</v>
      </c>
      <c r="B1751" t="s">
        <v>34</v>
      </c>
      <c r="C1751" t="str">
        <f>"匡朗正"</f>
        <v>匡朗正</v>
      </c>
      <c r="D1751" t="str">
        <f>"男"</f>
        <v>男</v>
      </c>
    </row>
    <row r="1752" spans="1:4" ht="24" customHeight="1">
      <c r="A1752" t="str">
        <f>"10512020072917461030734"</f>
        <v>10512020072917461030734</v>
      </c>
      <c r="B1752" t="s">
        <v>28</v>
      </c>
      <c r="C1752" t="str">
        <f>"陶怡宁"</f>
        <v>陶怡宁</v>
      </c>
      <c r="D1752" t="str">
        <f>"女"</f>
        <v>女</v>
      </c>
    </row>
    <row r="1753" spans="1:4" ht="24" customHeight="1">
      <c r="A1753" t="str">
        <f>"10512020072917482030735"</f>
        <v>10512020072917482030735</v>
      </c>
      <c r="B1753" t="s">
        <v>26</v>
      </c>
      <c r="C1753" t="str">
        <f>"刘琴"</f>
        <v>刘琴</v>
      </c>
      <c r="D1753" t="str">
        <f>"女"</f>
        <v>女</v>
      </c>
    </row>
    <row r="1754" spans="1:4" ht="24" customHeight="1">
      <c r="A1754" t="str">
        <f>"10512020072917492630736"</f>
        <v>10512020072917492630736</v>
      </c>
      <c r="B1754" t="s">
        <v>30</v>
      </c>
      <c r="C1754" t="str">
        <f>"胡睿勇"</f>
        <v>胡睿勇</v>
      </c>
      <c r="D1754" t="str">
        <f>"男"</f>
        <v>男</v>
      </c>
    </row>
    <row r="1755" spans="1:4" ht="24" customHeight="1">
      <c r="A1755" t="str">
        <f>"10512020072917493230737"</f>
        <v>10512020072917493230737</v>
      </c>
      <c r="B1755" t="s">
        <v>10</v>
      </c>
      <c r="C1755" t="str">
        <f>"马珊珊"</f>
        <v>马珊珊</v>
      </c>
      <c r="D1755" t="str">
        <f>"女"</f>
        <v>女</v>
      </c>
    </row>
    <row r="1756" spans="1:4" ht="24" customHeight="1">
      <c r="A1756" t="str">
        <f>"10512020072917504330738"</f>
        <v>10512020072917504330738</v>
      </c>
      <c r="B1756" t="s">
        <v>13</v>
      </c>
      <c r="C1756" t="str">
        <f>"王潇潇"</f>
        <v>王潇潇</v>
      </c>
      <c r="D1756" t="str">
        <f>"男"</f>
        <v>男</v>
      </c>
    </row>
    <row r="1757" spans="1:4" ht="24" customHeight="1">
      <c r="A1757" t="str">
        <f>"10512020072917545230739"</f>
        <v>10512020072917545230739</v>
      </c>
      <c r="B1757" t="s">
        <v>13</v>
      </c>
      <c r="C1757" t="str">
        <f>"陈绍根"</f>
        <v>陈绍根</v>
      </c>
      <c r="D1757" t="str">
        <f>"男"</f>
        <v>男</v>
      </c>
    </row>
    <row r="1758" spans="1:4" ht="24" customHeight="1">
      <c r="A1758" t="str">
        <f>"10512020072917553330740"</f>
        <v>10512020072917553330740</v>
      </c>
      <c r="B1758" t="s">
        <v>36</v>
      </c>
      <c r="C1758" t="str">
        <f>"孙林"</f>
        <v>孙林</v>
      </c>
      <c r="D1758" t="str">
        <f>"女"</f>
        <v>女</v>
      </c>
    </row>
    <row r="1759" spans="1:4" ht="24" customHeight="1">
      <c r="A1759" t="str">
        <f>"10512020072917564030741"</f>
        <v>10512020072917564030741</v>
      </c>
      <c r="B1759" t="s">
        <v>4</v>
      </c>
      <c r="C1759" t="str">
        <f>"韩先觉"</f>
        <v>韩先觉</v>
      </c>
      <c r="D1759" t="str">
        <f>"女"</f>
        <v>女</v>
      </c>
    </row>
    <row r="1760" spans="1:4" ht="24" customHeight="1">
      <c r="A1760" t="str">
        <f>"10512020072917582830742"</f>
        <v>10512020072917582830742</v>
      </c>
      <c r="B1760" t="s">
        <v>23</v>
      </c>
      <c r="C1760" t="str">
        <f>"彭莘"</f>
        <v>彭莘</v>
      </c>
      <c r="D1760" t="str">
        <f>"男"</f>
        <v>男</v>
      </c>
    </row>
    <row r="1761" spans="1:4" ht="24" customHeight="1">
      <c r="A1761" t="str">
        <f>"10512020072917591030743"</f>
        <v>10512020072917591030743</v>
      </c>
      <c r="B1761" t="s">
        <v>14</v>
      </c>
      <c r="C1761" t="str">
        <f>"郭李宛"</f>
        <v>郭李宛</v>
      </c>
      <c r="D1761" t="str">
        <f>"女"</f>
        <v>女</v>
      </c>
    </row>
    <row r="1762" spans="1:4" ht="24" customHeight="1">
      <c r="A1762" t="str">
        <f>"10512020072918001430744"</f>
        <v>10512020072918001430744</v>
      </c>
      <c r="B1762" t="s">
        <v>47</v>
      </c>
      <c r="C1762" t="str">
        <f>"张禧妍"</f>
        <v>张禧妍</v>
      </c>
      <c r="D1762" t="str">
        <f>"女"</f>
        <v>女</v>
      </c>
    </row>
    <row r="1763" spans="1:4" ht="24" customHeight="1">
      <c r="A1763" t="str">
        <f>"10512020072918022930745"</f>
        <v>10512020072918022930745</v>
      </c>
      <c r="B1763" t="s">
        <v>16</v>
      </c>
      <c r="C1763" t="str">
        <f>"杨佳女"</f>
        <v>杨佳女</v>
      </c>
      <c r="D1763" t="str">
        <f>"女"</f>
        <v>女</v>
      </c>
    </row>
    <row r="1764" spans="1:4" ht="24" customHeight="1">
      <c r="A1764" t="str">
        <f>"10512020072918032330746"</f>
        <v>10512020072918032330746</v>
      </c>
      <c r="B1764" t="s">
        <v>23</v>
      </c>
      <c r="C1764" t="str">
        <f>"杜梦妮"</f>
        <v>杜梦妮</v>
      </c>
      <c r="D1764" t="str">
        <f>"女"</f>
        <v>女</v>
      </c>
    </row>
    <row r="1765" spans="1:4" ht="24" customHeight="1">
      <c r="A1765" t="str">
        <f>"10512020072918054130747"</f>
        <v>10512020072918054130747</v>
      </c>
      <c r="B1765" t="s">
        <v>18</v>
      </c>
      <c r="C1765" t="str">
        <f>"王泳清"</f>
        <v>王泳清</v>
      </c>
      <c r="D1765" t="str">
        <f>"男"</f>
        <v>男</v>
      </c>
    </row>
    <row r="1766" spans="1:4" ht="24" customHeight="1">
      <c r="A1766" t="str">
        <f>"10512020072918080130748"</f>
        <v>10512020072918080130748</v>
      </c>
      <c r="B1766" t="s">
        <v>21</v>
      </c>
      <c r="C1766" t="str">
        <f>"林奇玥"</f>
        <v>林奇玥</v>
      </c>
      <c r="D1766" t="str">
        <f>"女"</f>
        <v>女</v>
      </c>
    </row>
    <row r="1767" spans="1:4" ht="24" customHeight="1">
      <c r="A1767" t="str">
        <f>"10512020072918145430749"</f>
        <v>10512020072918145430749</v>
      </c>
      <c r="B1767" t="s">
        <v>15</v>
      </c>
      <c r="C1767" t="str">
        <f>"彭培涛"</f>
        <v>彭培涛</v>
      </c>
      <c r="D1767" t="str">
        <f>"男"</f>
        <v>男</v>
      </c>
    </row>
    <row r="1768" spans="1:4" ht="24" customHeight="1">
      <c r="A1768" t="str">
        <f>"10512020072918180630750"</f>
        <v>10512020072918180630750</v>
      </c>
      <c r="B1768" t="s">
        <v>13</v>
      </c>
      <c r="C1768" t="str">
        <f>"陈子贤"</f>
        <v>陈子贤</v>
      </c>
      <c r="D1768" t="str">
        <f>"男"</f>
        <v>男</v>
      </c>
    </row>
    <row r="1769" spans="1:4" ht="24" customHeight="1">
      <c r="A1769" t="str">
        <f>"10512020072918235030752"</f>
        <v>10512020072918235030752</v>
      </c>
      <c r="B1769" t="s">
        <v>20</v>
      </c>
      <c r="C1769" t="str">
        <f>"余虹慧"</f>
        <v>余虹慧</v>
      </c>
      <c r="D1769" t="str">
        <f>"女"</f>
        <v>女</v>
      </c>
    </row>
    <row r="1770" spans="1:4" ht="24" customHeight="1">
      <c r="A1770" t="str">
        <f>"10512020072918383330753"</f>
        <v>10512020072918383330753</v>
      </c>
      <c r="B1770" t="s">
        <v>10</v>
      </c>
      <c r="C1770" t="str">
        <f>"周江亮"</f>
        <v>周江亮</v>
      </c>
      <c r="D1770" t="str">
        <f>"男"</f>
        <v>男</v>
      </c>
    </row>
    <row r="1771" spans="1:4" ht="24" customHeight="1">
      <c r="A1771" t="str">
        <f>"10512020072918441130754"</f>
        <v>10512020072918441130754</v>
      </c>
      <c r="B1771" t="s">
        <v>11</v>
      </c>
      <c r="C1771" t="str">
        <f>"赵维"</f>
        <v>赵维</v>
      </c>
      <c r="D1771" t="str">
        <f>"女"</f>
        <v>女</v>
      </c>
    </row>
    <row r="1772" spans="1:4" ht="24" customHeight="1">
      <c r="A1772" t="str">
        <f>"10512020072918445230755"</f>
        <v>10512020072918445230755</v>
      </c>
      <c r="B1772" t="s">
        <v>34</v>
      </c>
      <c r="C1772" t="str">
        <f>"侯鹏"</f>
        <v>侯鹏</v>
      </c>
      <c r="D1772" t="str">
        <f>"男"</f>
        <v>男</v>
      </c>
    </row>
    <row r="1773" spans="1:4" ht="24" customHeight="1">
      <c r="A1773" t="str">
        <f>"10512020072918462330756"</f>
        <v>10512020072918462330756</v>
      </c>
      <c r="B1773" t="s">
        <v>16</v>
      </c>
      <c r="C1773" t="str">
        <f>"张旭东"</f>
        <v>张旭东</v>
      </c>
      <c r="D1773" t="str">
        <f>"男"</f>
        <v>男</v>
      </c>
    </row>
    <row r="1774" spans="1:4" ht="24" customHeight="1">
      <c r="A1774" t="str">
        <f>"10512020072918485030757"</f>
        <v>10512020072918485030757</v>
      </c>
      <c r="B1774" t="s">
        <v>21</v>
      </c>
      <c r="C1774" t="str">
        <f>"邓清文"</f>
        <v>邓清文</v>
      </c>
      <c r="D1774" t="str">
        <f>"男"</f>
        <v>男</v>
      </c>
    </row>
    <row r="1775" spans="1:4" ht="24" customHeight="1">
      <c r="A1775" t="str">
        <f>"10512020072918492130758"</f>
        <v>10512020072918492130758</v>
      </c>
      <c r="B1775" t="s">
        <v>21</v>
      </c>
      <c r="C1775" t="str">
        <f>"杨蕊"</f>
        <v>杨蕊</v>
      </c>
      <c r="D1775" t="str">
        <f>"女"</f>
        <v>女</v>
      </c>
    </row>
    <row r="1776" spans="1:4" ht="24" customHeight="1">
      <c r="A1776" t="str">
        <f>"10512020072918524930760"</f>
        <v>10512020072918524930760</v>
      </c>
      <c r="B1776" t="s">
        <v>13</v>
      </c>
      <c r="C1776" t="str">
        <f>"汤国云"</f>
        <v>汤国云</v>
      </c>
      <c r="D1776" t="str">
        <f>"男"</f>
        <v>男</v>
      </c>
    </row>
    <row r="1777" spans="1:4" ht="24" customHeight="1">
      <c r="A1777" t="str">
        <f>"10512020072918560030761"</f>
        <v>10512020072918560030761</v>
      </c>
      <c r="B1777" t="s">
        <v>6</v>
      </c>
      <c r="C1777" t="str">
        <f>"黄蓉"</f>
        <v>黄蓉</v>
      </c>
      <c r="D1777" t="str">
        <f>"女"</f>
        <v>女</v>
      </c>
    </row>
    <row r="1778" spans="1:4" ht="24" customHeight="1">
      <c r="A1778" t="str">
        <f>"10512020072918595430762"</f>
        <v>10512020072918595430762</v>
      </c>
      <c r="B1778" t="s">
        <v>30</v>
      </c>
      <c r="C1778" t="str">
        <f>"李彦君"</f>
        <v>李彦君</v>
      </c>
      <c r="D1778" t="str">
        <f>"男"</f>
        <v>男</v>
      </c>
    </row>
    <row r="1779" spans="1:4" ht="24" customHeight="1">
      <c r="A1779" t="str">
        <f>"10512020072919003230763"</f>
        <v>10512020072919003230763</v>
      </c>
      <c r="B1779" t="s">
        <v>9</v>
      </c>
      <c r="C1779" t="str">
        <f>"杨琹宇"</f>
        <v>杨琹宇</v>
      </c>
      <c r="D1779" t="str">
        <f>"男"</f>
        <v>男</v>
      </c>
    </row>
    <row r="1780" spans="1:4" ht="24" customHeight="1">
      <c r="A1780" t="str">
        <f>"10512020072919010630764"</f>
        <v>10512020072919010630764</v>
      </c>
      <c r="B1780" t="s">
        <v>11</v>
      </c>
      <c r="C1780" t="str">
        <f>"宋庆宇"</f>
        <v>宋庆宇</v>
      </c>
      <c r="D1780" t="str">
        <f>"男"</f>
        <v>男</v>
      </c>
    </row>
    <row r="1781" spans="1:4" ht="24" customHeight="1">
      <c r="A1781" t="str">
        <f>"10512020072919030130765"</f>
        <v>10512020072919030130765</v>
      </c>
      <c r="B1781" t="s">
        <v>11</v>
      </c>
      <c r="C1781" t="str">
        <f>"翁佳豪"</f>
        <v>翁佳豪</v>
      </c>
      <c r="D1781" t="str">
        <f>"男"</f>
        <v>男</v>
      </c>
    </row>
    <row r="1782" spans="1:4" ht="24" customHeight="1">
      <c r="A1782" t="str">
        <f>"10512020072919080430766"</f>
        <v>10512020072919080430766</v>
      </c>
      <c r="B1782" t="s">
        <v>11</v>
      </c>
      <c r="C1782" t="str">
        <f>"潘阳"</f>
        <v>潘阳</v>
      </c>
      <c r="D1782" t="str">
        <f>"女"</f>
        <v>女</v>
      </c>
    </row>
    <row r="1783" spans="1:4" ht="24" customHeight="1">
      <c r="A1783" t="str">
        <f>"10512020072919132530767"</f>
        <v>10512020072919132530767</v>
      </c>
      <c r="B1783" t="s">
        <v>22</v>
      </c>
      <c r="C1783" t="str">
        <f>"江欣豪"</f>
        <v>江欣豪</v>
      </c>
      <c r="D1783" t="str">
        <f>"女"</f>
        <v>女</v>
      </c>
    </row>
    <row r="1784" spans="1:4" ht="24" customHeight="1">
      <c r="A1784" t="str">
        <f>"10512020072919135530768"</f>
        <v>10512020072919135530768</v>
      </c>
      <c r="B1784" t="s">
        <v>41</v>
      </c>
      <c r="C1784" t="str">
        <f>"刘磊"</f>
        <v>刘磊</v>
      </c>
      <c r="D1784" t="str">
        <f>"男"</f>
        <v>男</v>
      </c>
    </row>
    <row r="1785" spans="1:4" ht="24" customHeight="1">
      <c r="A1785" t="str">
        <f>"10512020072919182330769"</f>
        <v>10512020072919182330769</v>
      </c>
      <c r="B1785" t="s">
        <v>32</v>
      </c>
      <c r="C1785" t="str">
        <f>"周莹"</f>
        <v>周莹</v>
      </c>
      <c r="D1785" t="str">
        <f>"男"</f>
        <v>男</v>
      </c>
    </row>
    <row r="1786" spans="1:4" ht="24" customHeight="1">
      <c r="A1786" t="str">
        <f>"10512020072919300330771"</f>
        <v>10512020072919300330771</v>
      </c>
      <c r="B1786" t="s">
        <v>48</v>
      </c>
      <c r="C1786" t="str">
        <f>"陈建祎"</f>
        <v>陈建祎</v>
      </c>
      <c r="D1786" t="str">
        <f>"男"</f>
        <v>男</v>
      </c>
    </row>
    <row r="1787" spans="1:4" ht="24" customHeight="1">
      <c r="A1787" t="str">
        <f>"10512020072919333630772"</f>
        <v>10512020072919333630772</v>
      </c>
      <c r="B1787" t="s">
        <v>11</v>
      </c>
      <c r="C1787" t="str">
        <f>"彭琴"</f>
        <v>彭琴</v>
      </c>
      <c r="D1787" t="str">
        <f>"女"</f>
        <v>女</v>
      </c>
    </row>
    <row r="1788" spans="1:4" ht="24" customHeight="1">
      <c r="A1788" t="str">
        <f>"10512020072919461030773"</f>
        <v>10512020072919461030773</v>
      </c>
      <c r="B1788" t="s">
        <v>25</v>
      </c>
      <c r="C1788" t="str">
        <f>"饶艳春"</f>
        <v>饶艳春</v>
      </c>
      <c r="D1788" t="str">
        <f>"女"</f>
        <v>女</v>
      </c>
    </row>
    <row r="1789" spans="1:4" ht="24" customHeight="1">
      <c r="A1789" t="str">
        <f>"10512020072919472830774"</f>
        <v>10512020072919472830774</v>
      </c>
      <c r="B1789" t="s">
        <v>25</v>
      </c>
      <c r="C1789" t="str">
        <f>"何金玲"</f>
        <v>何金玲</v>
      </c>
      <c r="D1789" t="str">
        <f>"女"</f>
        <v>女</v>
      </c>
    </row>
    <row r="1790" spans="1:4" ht="24" customHeight="1">
      <c r="A1790" t="str">
        <f>"10512020072919480430775"</f>
        <v>10512020072919480430775</v>
      </c>
      <c r="B1790" t="s">
        <v>18</v>
      </c>
      <c r="C1790" t="str">
        <f>"周艺钧"</f>
        <v>周艺钧</v>
      </c>
      <c r="D1790" t="str">
        <f>"男"</f>
        <v>男</v>
      </c>
    </row>
    <row r="1791" spans="1:4" ht="24" customHeight="1">
      <c r="A1791" t="str">
        <f>"10512020072919563730777"</f>
        <v>10512020072919563730777</v>
      </c>
      <c r="B1791" t="s">
        <v>5</v>
      </c>
      <c r="C1791" t="str">
        <f>"丁辉"</f>
        <v>丁辉</v>
      </c>
      <c r="D1791" t="str">
        <f>"女"</f>
        <v>女</v>
      </c>
    </row>
    <row r="1792" spans="1:4" ht="24" customHeight="1">
      <c r="A1792" t="str">
        <f>"10512020072919592130778"</f>
        <v>10512020072919592130778</v>
      </c>
      <c r="B1792" t="s">
        <v>20</v>
      </c>
      <c r="C1792" t="str">
        <f>"周子琦"</f>
        <v>周子琦</v>
      </c>
      <c r="D1792" t="str">
        <f>"女"</f>
        <v>女</v>
      </c>
    </row>
    <row r="1793" spans="1:4" ht="24" customHeight="1">
      <c r="A1793" t="str">
        <f>"10512020072920105830779"</f>
        <v>10512020072920105830779</v>
      </c>
      <c r="B1793" t="s">
        <v>39</v>
      </c>
      <c r="C1793" t="str">
        <f>"朱桦"</f>
        <v>朱桦</v>
      </c>
      <c r="D1793" t="str">
        <f>"女"</f>
        <v>女</v>
      </c>
    </row>
    <row r="1794" spans="1:4" ht="24" customHeight="1">
      <c r="A1794" t="str">
        <f>"10512020072920113130781"</f>
        <v>10512020072920113130781</v>
      </c>
      <c r="B1794" t="s">
        <v>58</v>
      </c>
      <c r="C1794" t="str">
        <f>"肖雅兰"</f>
        <v>肖雅兰</v>
      </c>
      <c r="D1794" t="str">
        <f>"女"</f>
        <v>女</v>
      </c>
    </row>
    <row r="1795" spans="1:4" ht="24" customHeight="1">
      <c r="A1795" t="str">
        <f>"10512020072920155230783"</f>
        <v>10512020072920155230783</v>
      </c>
      <c r="B1795" t="s">
        <v>16</v>
      </c>
      <c r="C1795" t="str">
        <f>"满澜焘"</f>
        <v>满澜焘</v>
      </c>
      <c r="D1795" t="str">
        <f>"男"</f>
        <v>男</v>
      </c>
    </row>
    <row r="1796" spans="1:4" ht="24" customHeight="1">
      <c r="A1796" t="str">
        <f>"10512020072920163730784"</f>
        <v>10512020072920163730784</v>
      </c>
      <c r="B1796" t="s">
        <v>11</v>
      </c>
      <c r="C1796" t="str">
        <f>"钟奕威"</f>
        <v>钟奕威</v>
      </c>
      <c r="D1796" t="str">
        <f>"男"</f>
        <v>男</v>
      </c>
    </row>
    <row r="1797" spans="1:4" ht="24" customHeight="1">
      <c r="A1797" t="str">
        <f>"10512020072920193330785"</f>
        <v>10512020072920193330785</v>
      </c>
      <c r="B1797" t="s">
        <v>6</v>
      </c>
      <c r="C1797" t="str">
        <f>"路冰清"</f>
        <v>路冰清</v>
      </c>
      <c r="D1797" t="str">
        <f>"女"</f>
        <v>女</v>
      </c>
    </row>
    <row r="1798" spans="1:4" ht="24" customHeight="1">
      <c r="A1798" t="str">
        <f>"10512020072920213530787"</f>
        <v>10512020072920213530787</v>
      </c>
      <c r="B1798" t="s">
        <v>11</v>
      </c>
      <c r="C1798" t="str">
        <f>"刘建"</f>
        <v>刘建</v>
      </c>
      <c r="D1798" t="str">
        <f>"男"</f>
        <v>男</v>
      </c>
    </row>
    <row r="1799" spans="1:4" ht="24" customHeight="1">
      <c r="A1799" t="str">
        <f>"10512020072920290930788"</f>
        <v>10512020072920290930788</v>
      </c>
      <c r="B1799" t="s">
        <v>21</v>
      </c>
      <c r="C1799" t="str">
        <f>"罗溶"</f>
        <v>罗溶</v>
      </c>
      <c r="D1799" t="str">
        <f>"女"</f>
        <v>女</v>
      </c>
    </row>
    <row r="1800" spans="1:4" ht="24" customHeight="1">
      <c r="A1800" t="str">
        <f>"10512020072920292130789"</f>
        <v>10512020072920292130789</v>
      </c>
      <c r="B1800" t="s">
        <v>32</v>
      </c>
      <c r="C1800" t="str">
        <f>"杨薇"</f>
        <v>杨薇</v>
      </c>
      <c r="D1800" t="str">
        <f>"女"</f>
        <v>女</v>
      </c>
    </row>
    <row r="1801" spans="1:4" ht="24" customHeight="1">
      <c r="A1801" t="str">
        <f>"10512020072920301730790"</f>
        <v>10512020072920301730790</v>
      </c>
      <c r="B1801" t="s">
        <v>20</v>
      </c>
      <c r="C1801" t="str">
        <f>"何安琪"</f>
        <v>何安琪</v>
      </c>
      <c r="D1801" t="str">
        <f>"女"</f>
        <v>女</v>
      </c>
    </row>
    <row r="1802" spans="1:4" ht="24" customHeight="1">
      <c r="A1802" t="str">
        <f>"10512020072920311130791"</f>
        <v>10512020072920311130791</v>
      </c>
      <c r="B1802" t="s">
        <v>5</v>
      </c>
      <c r="C1802" t="str">
        <f>"徐雲楷"</f>
        <v>徐雲楷</v>
      </c>
      <c r="D1802" t="str">
        <f>"男"</f>
        <v>男</v>
      </c>
    </row>
    <row r="1803" spans="1:4" ht="24" customHeight="1">
      <c r="A1803" t="str">
        <f>"10512020072920362930792"</f>
        <v>10512020072920362930792</v>
      </c>
      <c r="B1803" t="s">
        <v>11</v>
      </c>
      <c r="C1803" t="str">
        <f>"黄湘悦"</f>
        <v>黄湘悦</v>
      </c>
      <c r="D1803" t="str">
        <f>"女"</f>
        <v>女</v>
      </c>
    </row>
    <row r="1804" spans="1:4" ht="24" customHeight="1">
      <c r="A1804" t="str">
        <f>"10512020072920365530793"</f>
        <v>10512020072920365530793</v>
      </c>
      <c r="B1804" t="s">
        <v>40</v>
      </c>
      <c r="C1804" t="str">
        <f>"陈世凯"</f>
        <v>陈世凯</v>
      </c>
      <c r="D1804" t="str">
        <f>"女"</f>
        <v>女</v>
      </c>
    </row>
    <row r="1805" spans="1:4" ht="24" customHeight="1">
      <c r="A1805" t="str">
        <f>"10512020072920441630795"</f>
        <v>10512020072920441630795</v>
      </c>
      <c r="B1805" t="s">
        <v>9</v>
      </c>
      <c r="C1805" t="str">
        <f>"刘贝嘉"</f>
        <v>刘贝嘉</v>
      </c>
      <c r="D1805" t="str">
        <f>"女"</f>
        <v>女</v>
      </c>
    </row>
    <row r="1806" spans="1:4" ht="24" customHeight="1">
      <c r="A1806" t="str">
        <f>"10512020072921010030796"</f>
        <v>10512020072921010030796</v>
      </c>
      <c r="B1806" t="s">
        <v>9</v>
      </c>
      <c r="C1806" t="str">
        <f>"王芳"</f>
        <v>王芳</v>
      </c>
      <c r="D1806" t="str">
        <f>"女"</f>
        <v>女</v>
      </c>
    </row>
    <row r="1807" spans="1:4" ht="24" customHeight="1">
      <c r="A1807" t="str">
        <f>"10512020072921052130797"</f>
        <v>10512020072921052130797</v>
      </c>
      <c r="B1807" t="s">
        <v>41</v>
      </c>
      <c r="C1807" t="str">
        <f>"刘俊麟"</f>
        <v>刘俊麟</v>
      </c>
      <c r="D1807" t="str">
        <f>"男"</f>
        <v>男</v>
      </c>
    </row>
    <row r="1808" spans="1:4" ht="24" customHeight="1">
      <c r="A1808" t="str">
        <f>"10512020072921080630798"</f>
        <v>10512020072921080630798</v>
      </c>
      <c r="B1808" t="s">
        <v>6</v>
      </c>
      <c r="C1808" t="str">
        <f>"林平"</f>
        <v>林平</v>
      </c>
      <c r="D1808" t="str">
        <f>"男"</f>
        <v>男</v>
      </c>
    </row>
    <row r="1809" spans="1:4" ht="24" customHeight="1">
      <c r="A1809" t="str">
        <f>"10512020072921110630799"</f>
        <v>10512020072921110630799</v>
      </c>
      <c r="B1809" t="s">
        <v>7</v>
      </c>
      <c r="C1809" t="str">
        <f>"李志艳"</f>
        <v>李志艳</v>
      </c>
      <c r="D1809" t="str">
        <f t="shared" ref="D1809:D1814" si="34">"女"</f>
        <v>女</v>
      </c>
    </row>
    <row r="1810" spans="1:4" ht="24" customHeight="1">
      <c r="A1810" t="str">
        <f>"10512020072921155930800"</f>
        <v>10512020072921155930800</v>
      </c>
      <c r="B1810" t="s">
        <v>55</v>
      </c>
      <c r="C1810" t="str">
        <f>"李贾洪"</f>
        <v>李贾洪</v>
      </c>
      <c r="D1810" t="str">
        <f t="shared" si="34"/>
        <v>女</v>
      </c>
    </row>
    <row r="1811" spans="1:4" ht="24" customHeight="1">
      <c r="A1811" t="str">
        <f>"10512020072921174330801"</f>
        <v>10512020072921174330801</v>
      </c>
      <c r="B1811" t="s">
        <v>25</v>
      </c>
      <c r="C1811" t="str">
        <f>"夏曦琴"</f>
        <v>夏曦琴</v>
      </c>
      <c r="D1811" t="str">
        <f t="shared" si="34"/>
        <v>女</v>
      </c>
    </row>
    <row r="1812" spans="1:4" ht="24" customHeight="1">
      <c r="A1812" t="str">
        <f>"10512020072921175130802"</f>
        <v>10512020072921175130802</v>
      </c>
      <c r="B1812" t="s">
        <v>11</v>
      </c>
      <c r="C1812" t="str">
        <f>"陈锦玉"</f>
        <v>陈锦玉</v>
      </c>
      <c r="D1812" t="str">
        <f t="shared" si="34"/>
        <v>女</v>
      </c>
    </row>
    <row r="1813" spans="1:4" ht="24" customHeight="1">
      <c r="A1813" t="str">
        <f>"10512020072921213230804"</f>
        <v>10512020072921213230804</v>
      </c>
      <c r="B1813" t="s">
        <v>13</v>
      </c>
      <c r="C1813" t="str">
        <f>"姜春花"</f>
        <v>姜春花</v>
      </c>
      <c r="D1813" t="str">
        <f t="shared" si="34"/>
        <v>女</v>
      </c>
    </row>
    <row r="1814" spans="1:4" ht="24" customHeight="1">
      <c r="A1814" t="str">
        <f>"10512020072921253230805"</f>
        <v>10512020072921253230805</v>
      </c>
      <c r="B1814" t="s">
        <v>6</v>
      </c>
      <c r="C1814" t="str">
        <f>"薛颖"</f>
        <v>薛颖</v>
      </c>
      <c r="D1814" t="str">
        <f t="shared" si="34"/>
        <v>女</v>
      </c>
    </row>
    <row r="1815" spans="1:4" ht="24" customHeight="1">
      <c r="A1815" t="str">
        <f>"10512020072921311330806"</f>
        <v>10512020072921311330806</v>
      </c>
      <c r="B1815" t="s">
        <v>8</v>
      </c>
      <c r="C1815" t="str">
        <f>"唐晨"</f>
        <v>唐晨</v>
      </c>
      <c r="D1815" t="str">
        <f>"男"</f>
        <v>男</v>
      </c>
    </row>
    <row r="1816" spans="1:4" ht="24" customHeight="1">
      <c r="A1816" t="str">
        <f>"10512020072921342430807"</f>
        <v>10512020072921342430807</v>
      </c>
      <c r="B1816" t="s">
        <v>56</v>
      </c>
      <c r="C1816" t="str">
        <f>"张玲熙"</f>
        <v>张玲熙</v>
      </c>
      <c r="D1816" t="str">
        <f>"女"</f>
        <v>女</v>
      </c>
    </row>
    <row r="1817" spans="1:4" ht="24" customHeight="1">
      <c r="A1817" t="str">
        <f>"10512020072921342830808"</f>
        <v>10512020072921342830808</v>
      </c>
      <c r="B1817" t="s">
        <v>19</v>
      </c>
      <c r="C1817" t="str">
        <f>"石柳骏"</f>
        <v>石柳骏</v>
      </c>
      <c r="D1817" t="str">
        <f>"男"</f>
        <v>男</v>
      </c>
    </row>
    <row r="1818" spans="1:4" ht="24" customHeight="1">
      <c r="A1818" t="str">
        <f>"10512020072921342830809"</f>
        <v>10512020072921342830809</v>
      </c>
      <c r="B1818" t="s">
        <v>26</v>
      </c>
      <c r="C1818" t="str">
        <f>"张卉"</f>
        <v>张卉</v>
      </c>
      <c r="D1818" t="str">
        <f>"女"</f>
        <v>女</v>
      </c>
    </row>
    <row r="1819" spans="1:4" ht="24" customHeight="1">
      <c r="A1819" t="str">
        <f>"10512020072921372630810"</f>
        <v>10512020072921372630810</v>
      </c>
      <c r="B1819" t="s">
        <v>44</v>
      </c>
      <c r="C1819" t="str">
        <f>"肖方淼"</f>
        <v>肖方淼</v>
      </c>
      <c r="D1819" t="str">
        <f>"男"</f>
        <v>男</v>
      </c>
    </row>
    <row r="1820" spans="1:4" ht="24" customHeight="1">
      <c r="A1820" t="str">
        <f>"10512020072921373930811"</f>
        <v>10512020072921373930811</v>
      </c>
      <c r="B1820" t="s">
        <v>12</v>
      </c>
      <c r="C1820" t="str">
        <f>"齐琪"</f>
        <v>齐琪</v>
      </c>
      <c r="D1820" t="str">
        <f>"女"</f>
        <v>女</v>
      </c>
    </row>
    <row r="1821" spans="1:4" ht="24" customHeight="1">
      <c r="A1821" t="str">
        <f>"10512020072921385330812"</f>
        <v>10512020072921385330812</v>
      </c>
      <c r="B1821" t="s">
        <v>21</v>
      </c>
      <c r="C1821" t="str">
        <f>"郑心怡"</f>
        <v>郑心怡</v>
      </c>
      <c r="D1821" t="str">
        <f>"女"</f>
        <v>女</v>
      </c>
    </row>
    <row r="1822" spans="1:4" ht="24" customHeight="1">
      <c r="A1822" t="str">
        <f>"10512020072921394730813"</f>
        <v>10512020072921394730813</v>
      </c>
      <c r="B1822" t="s">
        <v>33</v>
      </c>
      <c r="C1822" t="str">
        <f>"徐玮"</f>
        <v>徐玮</v>
      </c>
      <c r="D1822" t="str">
        <f>"男"</f>
        <v>男</v>
      </c>
    </row>
    <row r="1823" spans="1:4" ht="24" customHeight="1">
      <c r="A1823" t="str">
        <f>"10512020072921420830814"</f>
        <v>10512020072921420830814</v>
      </c>
      <c r="B1823" t="s">
        <v>7</v>
      </c>
      <c r="C1823" t="str">
        <f>"印捷"</f>
        <v>印捷</v>
      </c>
      <c r="D1823" t="str">
        <f>"女"</f>
        <v>女</v>
      </c>
    </row>
    <row r="1824" spans="1:4" ht="24" customHeight="1">
      <c r="A1824" t="str">
        <f>"10512020072921490630815"</f>
        <v>10512020072921490630815</v>
      </c>
      <c r="B1824" t="s">
        <v>38</v>
      </c>
      <c r="C1824" t="str">
        <f>"张磊"</f>
        <v>张磊</v>
      </c>
      <c r="D1824" t="str">
        <f>"男"</f>
        <v>男</v>
      </c>
    </row>
    <row r="1825" spans="1:4" ht="24" customHeight="1">
      <c r="A1825" t="str">
        <f>"10512020072921491930816"</f>
        <v>10512020072921491930816</v>
      </c>
      <c r="B1825" t="s">
        <v>28</v>
      </c>
      <c r="C1825" t="str">
        <f>"杨欣"</f>
        <v>杨欣</v>
      </c>
      <c r="D1825" t="str">
        <f>"女"</f>
        <v>女</v>
      </c>
    </row>
    <row r="1826" spans="1:4" ht="24" customHeight="1">
      <c r="A1826" t="str">
        <f>"10512020072921514830817"</f>
        <v>10512020072921514830817</v>
      </c>
      <c r="B1826" t="s">
        <v>34</v>
      </c>
      <c r="C1826" t="str">
        <f>"周华翔"</f>
        <v>周华翔</v>
      </c>
      <c r="D1826" t="str">
        <f>"男"</f>
        <v>男</v>
      </c>
    </row>
    <row r="1827" spans="1:4" ht="24" customHeight="1">
      <c r="A1827" t="str">
        <f>"10512020072921521130818"</f>
        <v>10512020072921521130818</v>
      </c>
      <c r="B1827" t="s">
        <v>17</v>
      </c>
      <c r="C1827" t="str">
        <f>"陈俊蓓"</f>
        <v>陈俊蓓</v>
      </c>
      <c r="D1827" t="str">
        <f>"女"</f>
        <v>女</v>
      </c>
    </row>
    <row r="1828" spans="1:4" ht="24" customHeight="1">
      <c r="A1828" t="str">
        <f>"10512020072922004430819"</f>
        <v>10512020072922004430819</v>
      </c>
      <c r="B1828" t="s">
        <v>56</v>
      </c>
      <c r="C1828" t="str">
        <f>"杨晶"</f>
        <v>杨晶</v>
      </c>
      <c r="D1828" t="str">
        <f>"女"</f>
        <v>女</v>
      </c>
    </row>
    <row r="1829" spans="1:4" ht="24" customHeight="1">
      <c r="A1829" t="str">
        <f>"10512020072922034230820"</f>
        <v>10512020072922034230820</v>
      </c>
      <c r="B1829" t="s">
        <v>29</v>
      </c>
      <c r="C1829" t="str">
        <f>"廖姊伊"</f>
        <v>廖姊伊</v>
      </c>
      <c r="D1829" t="str">
        <f>"女"</f>
        <v>女</v>
      </c>
    </row>
    <row r="1830" spans="1:4" ht="24" customHeight="1">
      <c r="A1830" t="str">
        <f>"10512020072922055730822"</f>
        <v>10512020072922055730822</v>
      </c>
      <c r="B1830" t="s">
        <v>31</v>
      </c>
      <c r="C1830" t="str">
        <f>"肖明艺"</f>
        <v>肖明艺</v>
      </c>
      <c r="D1830" t="str">
        <f>"女"</f>
        <v>女</v>
      </c>
    </row>
    <row r="1831" spans="1:4" ht="24" customHeight="1">
      <c r="A1831" t="str">
        <f>"10512020072922073030823"</f>
        <v>10512020072922073030823</v>
      </c>
      <c r="B1831" t="s">
        <v>13</v>
      </c>
      <c r="C1831" t="str">
        <f>"贺宏蕾"</f>
        <v>贺宏蕾</v>
      </c>
      <c r="D1831" t="str">
        <f>"女"</f>
        <v>女</v>
      </c>
    </row>
    <row r="1832" spans="1:4" ht="24" customHeight="1">
      <c r="A1832" t="str">
        <f>"10512020072922122830824"</f>
        <v>10512020072922122830824</v>
      </c>
      <c r="B1832" t="s">
        <v>8</v>
      </c>
      <c r="C1832" t="str">
        <f>"余健"</f>
        <v>余健</v>
      </c>
      <c r="D1832" t="str">
        <f>"男"</f>
        <v>男</v>
      </c>
    </row>
    <row r="1833" spans="1:4" ht="24" customHeight="1">
      <c r="A1833" t="str">
        <f>"10512020072922175930826"</f>
        <v>10512020072922175930826</v>
      </c>
      <c r="B1833" t="s">
        <v>30</v>
      </c>
      <c r="C1833" t="str">
        <f>"瞿晓萱"</f>
        <v>瞿晓萱</v>
      </c>
      <c r="D1833" t="str">
        <f>"女"</f>
        <v>女</v>
      </c>
    </row>
    <row r="1834" spans="1:4" ht="24" customHeight="1">
      <c r="A1834" t="str">
        <f>"10512020072922213030827"</f>
        <v>10512020072922213030827</v>
      </c>
      <c r="B1834" t="s">
        <v>14</v>
      </c>
      <c r="C1834" t="str">
        <f>"梁敏"</f>
        <v>梁敏</v>
      </c>
      <c r="D1834" t="str">
        <f>"女"</f>
        <v>女</v>
      </c>
    </row>
    <row r="1835" spans="1:4" ht="24" customHeight="1">
      <c r="A1835" t="str">
        <f>"10512020072922235130828"</f>
        <v>10512020072922235130828</v>
      </c>
      <c r="B1835" t="s">
        <v>12</v>
      </c>
      <c r="C1835" t="str">
        <f>"杨超"</f>
        <v>杨超</v>
      </c>
      <c r="D1835" t="str">
        <f>"男"</f>
        <v>男</v>
      </c>
    </row>
    <row r="1836" spans="1:4" ht="24" customHeight="1">
      <c r="A1836" t="str">
        <f>"10512020072922271730829"</f>
        <v>10512020072922271730829</v>
      </c>
      <c r="B1836" t="s">
        <v>18</v>
      </c>
      <c r="C1836" t="str">
        <f>"邓翔宇"</f>
        <v>邓翔宇</v>
      </c>
      <c r="D1836" t="str">
        <f>"男"</f>
        <v>男</v>
      </c>
    </row>
    <row r="1837" spans="1:4" ht="24" customHeight="1">
      <c r="A1837" t="str">
        <f>"10512020072922293330830"</f>
        <v>10512020072922293330830</v>
      </c>
      <c r="B1837" t="s">
        <v>21</v>
      </c>
      <c r="C1837" t="str">
        <f>"周梓仪"</f>
        <v>周梓仪</v>
      </c>
      <c r="D1837" t="str">
        <f>"女"</f>
        <v>女</v>
      </c>
    </row>
    <row r="1838" spans="1:4" ht="24" customHeight="1">
      <c r="A1838" t="str">
        <f>"10512020072922331230831"</f>
        <v>10512020072922331230831</v>
      </c>
      <c r="B1838" t="s">
        <v>20</v>
      </c>
      <c r="C1838" t="str">
        <f>"任欣"</f>
        <v>任欣</v>
      </c>
      <c r="D1838" t="str">
        <f>"男"</f>
        <v>男</v>
      </c>
    </row>
    <row r="1839" spans="1:4" ht="24" customHeight="1">
      <c r="A1839" t="str">
        <f>"10512020072922350730832"</f>
        <v>10512020072922350730832</v>
      </c>
      <c r="B1839" t="s">
        <v>8</v>
      </c>
      <c r="C1839" t="str">
        <f>"邓靖婕"</f>
        <v>邓靖婕</v>
      </c>
      <c r="D1839" t="str">
        <f>"女"</f>
        <v>女</v>
      </c>
    </row>
    <row r="1840" spans="1:4" ht="24" customHeight="1">
      <c r="A1840" t="str">
        <f>"10512020072922383730833"</f>
        <v>10512020072922383730833</v>
      </c>
      <c r="B1840" t="s">
        <v>13</v>
      </c>
      <c r="C1840" t="str">
        <f>"莫甜"</f>
        <v>莫甜</v>
      </c>
      <c r="D1840" t="str">
        <f>"女"</f>
        <v>女</v>
      </c>
    </row>
    <row r="1841" spans="1:4" ht="24" customHeight="1">
      <c r="A1841" t="str">
        <f>"10512020072922403230834"</f>
        <v>10512020072922403230834</v>
      </c>
      <c r="B1841" t="s">
        <v>18</v>
      </c>
      <c r="C1841" t="str">
        <f>"金惠琳"</f>
        <v>金惠琳</v>
      </c>
      <c r="D1841" t="str">
        <f>"女"</f>
        <v>女</v>
      </c>
    </row>
    <row r="1842" spans="1:4" ht="24" customHeight="1">
      <c r="A1842" t="str">
        <f>"10512020072922405730835"</f>
        <v>10512020072922405730835</v>
      </c>
      <c r="B1842" t="s">
        <v>11</v>
      </c>
      <c r="C1842" t="str">
        <f>"胡峰"</f>
        <v>胡峰</v>
      </c>
      <c r="D1842" t="str">
        <f>"男"</f>
        <v>男</v>
      </c>
    </row>
    <row r="1843" spans="1:4" ht="24" customHeight="1">
      <c r="A1843" t="str">
        <f>"10512020072922421230836"</f>
        <v>10512020072922421230836</v>
      </c>
      <c r="B1843" t="s">
        <v>19</v>
      </c>
      <c r="C1843" t="str">
        <f>"曾佳"</f>
        <v>曾佳</v>
      </c>
      <c r="D1843" t="str">
        <f>"男"</f>
        <v>男</v>
      </c>
    </row>
    <row r="1844" spans="1:4" ht="24" customHeight="1">
      <c r="A1844" t="str">
        <f>"10512020072922425230837"</f>
        <v>10512020072922425230837</v>
      </c>
      <c r="B1844" t="s">
        <v>7</v>
      </c>
      <c r="C1844" t="str">
        <f>"卢英英"</f>
        <v>卢英英</v>
      </c>
      <c r="D1844" t="str">
        <f>"女"</f>
        <v>女</v>
      </c>
    </row>
    <row r="1845" spans="1:4" ht="24" customHeight="1">
      <c r="A1845" t="str">
        <f>"10512020072922434330838"</f>
        <v>10512020072922434330838</v>
      </c>
      <c r="B1845" t="s">
        <v>28</v>
      </c>
      <c r="C1845" t="str">
        <f>"雷宇"</f>
        <v>雷宇</v>
      </c>
      <c r="D1845" t="str">
        <f>"男"</f>
        <v>男</v>
      </c>
    </row>
    <row r="1846" spans="1:4" ht="24" customHeight="1">
      <c r="A1846" t="str">
        <f>"10512020072922454830839"</f>
        <v>10512020072922454830839</v>
      </c>
      <c r="B1846" t="s">
        <v>15</v>
      </c>
      <c r="C1846" t="str">
        <f>"张禹龙"</f>
        <v>张禹龙</v>
      </c>
      <c r="D1846" t="str">
        <f>"男"</f>
        <v>男</v>
      </c>
    </row>
    <row r="1847" spans="1:4" ht="24" customHeight="1">
      <c r="A1847" t="str">
        <f>"10512020072922473330840"</f>
        <v>10512020072922473330840</v>
      </c>
      <c r="B1847" t="s">
        <v>13</v>
      </c>
      <c r="C1847" t="str">
        <f>"曾祥锐"</f>
        <v>曾祥锐</v>
      </c>
      <c r="D1847" t="str">
        <f>"男"</f>
        <v>男</v>
      </c>
    </row>
    <row r="1848" spans="1:4" ht="24" customHeight="1">
      <c r="A1848" t="str">
        <f>"10512020072922504330842"</f>
        <v>10512020072922504330842</v>
      </c>
      <c r="B1848" t="s">
        <v>53</v>
      </c>
      <c r="C1848" t="str">
        <f>"田田"</f>
        <v>田田</v>
      </c>
      <c r="D1848" t="str">
        <f>"女"</f>
        <v>女</v>
      </c>
    </row>
    <row r="1849" spans="1:4" ht="24" customHeight="1">
      <c r="A1849" t="str">
        <f>"10512020072922534230843"</f>
        <v>10512020072922534230843</v>
      </c>
      <c r="B1849" t="s">
        <v>45</v>
      </c>
      <c r="C1849" t="str">
        <f>"任旭东"</f>
        <v>任旭东</v>
      </c>
      <c r="D1849" t="str">
        <f>"男"</f>
        <v>男</v>
      </c>
    </row>
    <row r="1850" spans="1:4" ht="24" customHeight="1">
      <c r="A1850" t="str">
        <f>"10512020072922554130844"</f>
        <v>10512020072922554130844</v>
      </c>
      <c r="B1850" t="s">
        <v>26</v>
      </c>
      <c r="C1850" t="str">
        <f>"曹靖昆"</f>
        <v>曹靖昆</v>
      </c>
      <c r="D1850" t="str">
        <f>"男"</f>
        <v>男</v>
      </c>
    </row>
    <row r="1851" spans="1:4" ht="24" customHeight="1">
      <c r="A1851" t="str">
        <f>"10512020072923044930845"</f>
        <v>10512020072923044930845</v>
      </c>
      <c r="B1851" t="s">
        <v>23</v>
      </c>
      <c r="C1851" t="str">
        <f>"胡鹏辉"</f>
        <v>胡鹏辉</v>
      </c>
      <c r="D1851" t="str">
        <f>"男"</f>
        <v>男</v>
      </c>
    </row>
    <row r="1852" spans="1:4" ht="24" customHeight="1">
      <c r="A1852" t="str">
        <f>"10512020072923070330846"</f>
        <v>10512020072923070330846</v>
      </c>
      <c r="B1852" t="s">
        <v>14</v>
      </c>
      <c r="C1852" t="str">
        <f>"李蔓婷"</f>
        <v>李蔓婷</v>
      </c>
      <c r="D1852" t="str">
        <f>"女"</f>
        <v>女</v>
      </c>
    </row>
    <row r="1853" spans="1:4" ht="24" customHeight="1">
      <c r="A1853" t="str">
        <f>"10512020072923143330848"</f>
        <v>10512020072923143330848</v>
      </c>
      <c r="B1853" t="s">
        <v>20</v>
      </c>
      <c r="C1853" t="str">
        <f>"关培嘉"</f>
        <v>关培嘉</v>
      </c>
      <c r="D1853" t="str">
        <f>"男"</f>
        <v>男</v>
      </c>
    </row>
    <row r="1854" spans="1:4" ht="24" customHeight="1">
      <c r="A1854" t="str">
        <f>"10512020073000080030850"</f>
        <v>10512020073000080030850</v>
      </c>
      <c r="B1854" t="s">
        <v>22</v>
      </c>
      <c r="C1854" t="str">
        <f>"滕勇生"</f>
        <v>滕勇生</v>
      </c>
      <c r="D1854" t="str">
        <f>"男"</f>
        <v>男</v>
      </c>
    </row>
    <row r="1855" spans="1:4" ht="24" customHeight="1">
      <c r="A1855" t="str">
        <f>"10512020073000130530851"</f>
        <v>10512020073000130530851</v>
      </c>
      <c r="B1855" t="s">
        <v>12</v>
      </c>
      <c r="C1855" t="str">
        <f>"朱红霞"</f>
        <v>朱红霞</v>
      </c>
      <c r="D1855" t="str">
        <f>"女"</f>
        <v>女</v>
      </c>
    </row>
    <row r="1856" spans="1:4" ht="24" customHeight="1">
      <c r="A1856" t="str">
        <f>"10512020073000163030852"</f>
        <v>10512020073000163030852</v>
      </c>
      <c r="B1856" t="s">
        <v>40</v>
      </c>
      <c r="C1856" t="str">
        <f>"殷红"</f>
        <v>殷红</v>
      </c>
      <c r="D1856" t="str">
        <f>"女"</f>
        <v>女</v>
      </c>
    </row>
    <row r="1857" spans="1:4" ht="24" customHeight="1">
      <c r="A1857" t="str">
        <f>"10512020073001315730853"</f>
        <v>10512020073001315730853</v>
      </c>
      <c r="B1857" t="s">
        <v>19</v>
      </c>
      <c r="C1857" t="str">
        <f>"王启源"</f>
        <v>王启源</v>
      </c>
      <c r="D1857" t="str">
        <f>"男"</f>
        <v>男</v>
      </c>
    </row>
    <row r="1858" spans="1:4" ht="24" customHeight="1">
      <c r="A1858" t="str">
        <f>"10512020073002501430854"</f>
        <v>10512020073002501430854</v>
      </c>
      <c r="B1858" t="s">
        <v>6</v>
      </c>
      <c r="C1858" t="str">
        <f>"张震涛"</f>
        <v>张震涛</v>
      </c>
      <c r="D1858" t="str">
        <f>"男"</f>
        <v>男</v>
      </c>
    </row>
    <row r="1859" spans="1:4" ht="24" customHeight="1">
      <c r="A1859" t="str">
        <f>"10512020073005231030855"</f>
        <v>10512020073005231030855</v>
      </c>
      <c r="B1859" t="s">
        <v>11</v>
      </c>
      <c r="C1859" t="str">
        <f>"莫浩"</f>
        <v>莫浩</v>
      </c>
      <c r="D1859" t="str">
        <f>"男"</f>
        <v>男</v>
      </c>
    </row>
    <row r="1860" spans="1:4" ht="24" customHeight="1">
      <c r="A1860" t="str">
        <f>"10512020073007091330856"</f>
        <v>10512020073007091330856</v>
      </c>
      <c r="B1860" t="s">
        <v>21</v>
      </c>
      <c r="C1860" t="str">
        <f>"刘敏政"</f>
        <v>刘敏政</v>
      </c>
      <c r="D1860" t="str">
        <f>"女"</f>
        <v>女</v>
      </c>
    </row>
    <row r="1861" spans="1:4" ht="24" customHeight="1">
      <c r="A1861" t="str">
        <f>"10512020073007381630857"</f>
        <v>10512020073007381630857</v>
      </c>
      <c r="B1861" t="s">
        <v>21</v>
      </c>
      <c r="C1861" t="str">
        <f>"何莉雯"</f>
        <v>何莉雯</v>
      </c>
      <c r="D1861" t="str">
        <f>"女"</f>
        <v>女</v>
      </c>
    </row>
    <row r="1862" spans="1:4" ht="24" customHeight="1">
      <c r="A1862" t="str">
        <f>"10512020073007542130858"</f>
        <v>10512020073007542130858</v>
      </c>
      <c r="B1862" t="s">
        <v>16</v>
      </c>
      <c r="C1862" t="str">
        <f>"王丽娟"</f>
        <v>王丽娟</v>
      </c>
      <c r="D1862" t="str">
        <f>"女"</f>
        <v>女</v>
      </c>
    </row>
    <row r="1863" spans="1:4" ht="24" customHeight="1">
      <c r="A1863" t="str">
        <f>"10512020073008003230860"</f>
        <v>10512020073008003230860</v>
      </c>
      <c r="B1863" t="s">
        <v>21</v>
      </c>
      <c r="C1863" t="str">
        <f>"朱博林"</f>
        <v>朱博林</v>
      </c>
      <c r="D1863" t="str">
        <f>"女"</f>
        <v>女</v>
      </c>
    </row>
    <row r="1864" spans="1:4" ht="24" customHeight="1">
      <c r="A1864" t="str">
        <f>"10512020073008055530861"</f>
        <v>10512020073008055530861</v>
      </c>
      <c r="B1864" t="s">
        <v>16</v>
      </c>
      <c r="C1864" t="str">
        <f>"黄敏辉"</f>
        <v>黄敏辉</v>
      </c>
      <c r="D1864" t="str">
        <f>"男"</f>
        <v>男</v>
      </c>
    </row>
    <row r="1865" spans="1:4" ht="24" customHeight="1">
      <c r="A1865" t="str">
        <f>"10512020073008082530862"</f>
        <v>10512020073008082530862</v>
      </c>
      <c r="B1865" t="s">
        <v>16</v>
      </c>
      <c r="C1865" t="str">
        <f>"宋海蓉"</f>
        <v>宋海蓉</v>
      </c>
      <c r="D1865" t="str">
        <f>"女"</f>
        <v>女</v>
      </c>
    </row>
    <row r="1866" spans="1:4" ht="24" customHeight="1">
      <c r="A1866" t="str">
        <f>"10512020073008103130863"</f>
        <v>10512020073008103130863</v>
      </c>
      <c r="B1866" t="s">
        <v>11</v>
      </c>
      <c r="C1866" t="str">
        <f>"万遥"</f>
        <v>万遥</v>
      </c>
      <c r="D1866" t="str">
        <f>"男"</f>
        <v>男</v>
      </c>
    </row>
    <row r="1867" spans="1:4" ht="24" customHeight="1">
      <c r="A1867" t="str">
        <f>"10512020073008113630864"</f>
        <v>10512020073008113630864</v>
      </c>
      <c r="B1867" t="s">
        <v>26</v>
      </c>
      <c r="C1867" t="str">
        <f>"邹灵"</f>
        <v>邹灵</v>
      </c>
      <c r="D1867" t="str">
        <f>"男"</f>
        <v>男</v>
      </c>
    </row>
    <row r="1868" spans="1:4" ht="24" customHeight="1">
      <c r="A1868" t="str">
        <f>"10512020073008130830865"</f>
        <v>10512020073008130830865</v>
      </c>
      <c r="B1868" t="s">
        <v>21</v>
      </c>
      <c r="C1868" t="str">
        <f>"彭琬茹"</f>
        <v>彭琬茹</v>
      </c>
      <c r="D1868" t="str">
        <f>"女"</f>
        <v>女</v>
      </c>
    </row>
    <row r="1869" spans="1:4" ht="24" customHeight="1">
      <c r="A1869" t="str">
        <f>"10512020073008184530866"</f>
        <v>10512020073008184530866</v>
      </c>
      <c r="B1869" t="s">
        <v>38</v>
      </c>
      <c r="C1869" t="str">
        <f>"施文晶"</f>
        <v>施文晶</v>
      </c>
      <c r="D1869" t="str">
        <f>"女"</f>
        <v>女</v>
      </c>
    </row>
    <row r="1870" spans="1:4" ht="24" customHeight="1">
      <c r="A1870" t="str">
        <f>"10512020073008195330867"</f>
        <v>10512020073008195330867</v>
      </c>
      <c r="B1870" t="s">
        <v>13</v>
      </c>
      <c r="C1870" t="str">
        <f>"胡琼"</f>
        <v>胡琼</v>
      </c>
      <c r="D1870" t="str">
        <f>"女"</f>
        <v>女</v>
      </c>
    </row>
    <row r="1871" spans="1:4" ht="24" customHeight="1">
      <c r="A1871" t="str">
        <f>"10512020073008252030868"</f>
        <v>10512020073008252030868</v>
      </c>
      <c r="B1871" t="s">
        <v>7</v>
      </c>
      <c r="C1871" t="str">
        <f>"吴迪"</f>
        <v>吴迪</v>
      </c>
      <c r="D1871" t="str">
        <f>"女"</f>
        <v>女</v>
      </c>
    </row>
    <row r="1872" spans="1:4" ht="24" customHeight="1">
      <c r="A1872" t="str">
        <f>"10512020073008260030869"</f>
        <v>10512020073008260030869</v>
      </c>
      <c r="B1872" t="s">
        <v>6</v>
      </c>
      <c r="C1872" t="str">
        <f>"万力"</f>
        <v>万力</v>
      </c>
      <c r="D1872" t="str">
        <f>"男"</f>
        <v>男</v>
      </c>
    </row>
    <row r="1873" spans="1:4" ht="24" customHeight="1">
      <c r="A1873" t="str">
        <f>"10512020073008262230870"</f>
        <v>10512020073008262230870</v>
      </c>
      <c r="B1873" t="s">
        <v>33</v>
      </c>
      <c r="C1873" t="str">
        <f>"向一健"</f>
        <v>向一健</v>
      </c>
      <c r="D1873" t="str">
        <f>"男"</f>
        <v>男</v>
      </c>
    </row>
    <row r="1874" spans="1:4" ht="24" customHeight="1">
      <c r="A1874" t="str">
        <f>"10512020073008262530871"</f>
        <v>10512020073008262530871</v>
      </c>
      <c r="B1874" t="s">
        <v>18</v>
      </c>
      <c r="C1874" t="str">
        <f>"杨文怡"</f>
        <v>杨文怡</v>
      </c>
      <c r="D1874" t="str">
        <f>"女"</f>
        <v>女</v>
      </c>
    </row>
    <row r="1875" spans="1:4" ht="24" customHeight="1">
      <c r="A1875" t="str">
        <f>"10512020073008290830874"</f>
        <v>10512020073008290830874</v>
      </c>
      <c r="B1875" t="s">
        <v>43</v>
      </c>
      <c r="C1875" t="str">
        <f>"李轩"</f>
        <v>李轩</v>
      </c>
      <c r="D1875" t="str">
        <f>"男"</f>
        <v>男</v>
      </c>
    </row>
    <row r="1876" spans="1:4" ht="24" customHeight="1">
      <c r="A1876" t="str">
        <f>"10512020073008323830875"</f>
        <v>10512020073008323830875</v>
      </c>
      <c r="B1876" t="s">
        <v>6</v>
      </c>
      <c r="C1876" t="str">
        <f>"周彦伶"</f>
        <v>周彦伶</v>
      </c>
      <c r="D1876" t="str">
        <f>"女"</f>
        <v>女</v>
      </c>
    </row>
    <row r="1877" spans="1:4" ht="24" customHeight="1">
      <c r="A1877" t="str">
        <f>"10512020073008345630876"</f>
        <v>10512020073008345630876</v>
      </c>
      <c r="B1877" t="s">
        <v>6</v>
      </c>
      <c r="C1877" t="str">
        <f>"刘连康"</f>
        <v>刘连康</v>
      </c>
      <c r="D1877" t="str">
        <f>"男"</f>
        <v>男</v>
      </c>
    </row>
    <row r="1878" spans="1:4" ht="24" customHeight="1">
      <c r="A1878" t="str">
        <f>"10512020073008385530877"</f>
        <v>10512020073008385530877</v>
      </c>
      <c r="B1878" t="s">
        <v>48</v>
      </c>
      <c r="C1878" t="str">
        <f>"刘杨一鸣"</f>
        <v>刘杨一鸣</v>
      </c>
      <c r="D1878" t="str">
        <f>"男"</f>
        <v>男</v>
      </c>
    </row>
    <row r="1879" spans="1:4" ht="24" customHeight="1">
      <c r="A1879" t="str">
        <f>"10512020073008453730878"</f>
        <v>10512020073008453730878</v>
      </c>
      <c r="B1879" t="s">
        <v>34</v>
      </c>
      <c r="C1879" t="str">
        <f>"杨敏"</f>
        <v>杨敏</v>
      </c>
      <c r="D1879" t="str">
        <f>"女"</f>
        <v>女</v>
      </c>
    </row>
    <row r="1880" spans="1:4" ht="24" customHeight="1">
      <c r="A1880" t="str">
        <f>"10512020073008461330879"</f>
        <v>10512020073008461330879</v>
      </c>
      <c r="B1880" t="s">
        <v>12</v>
      </c>
      <c r="C1880" t="str">
        <f>"彭伟"</f>
        <v>彭伟</v>
      </c>
      <c r="D1880" t="str">
        <f>"男"</f>
        <v>男</v>
      </c>
    </row>
    <row r="1881" spans="1:4" ht="24" customHeight="1">
      <c r="A1881" t="str">
        <f>"10512020073008494130881"</f>
        <v>10512020073008494130881</v>
      </c>
      <c r="B1881" t="s">
        <v>28</v>
      </c>
      <c r="C1881" t="str">
        <f>"马昱斌"</f>
        <v>马昱斌</v>
      </c>
      <c r="D1881" t="str">
        <f>"男"</f>
        <v>男</v>
      </c>
    </row>
    <row r="1882" spans="1:4" ht="24" customHeight="1">
      <c r="A1882" t="str">
        <f>"10512020073008522230882"</f>
        <v>10512020073008522230882</v>
      </c>
      <c r="B1882" t="s">
        <v>12</v>
      </c>
      <c r="C1882" t="str">
        <f>"许春蓉"</f>
        <v>许春蓉</v>
      </c>
      <c r="D1882" t="str">
        <f>"女"</f>
        <v>女</v>
      </c>
    </row>
    <row r="1883" spans="1:4" ht="24" customHeight="1">
      <c r="A1883" t="str">
        <f>"10512020073008552930883"</f>
        <v>10512020073008552930883</v>
      </c>
      <c r="B1883" t="s">
        <v>13</v>
      </c>
      <c r="C1883" t="str">
        <f>"李子漩"</f>
        <v>李子漩</v>
      </c>
      <c r="D1883" t="str">
        <f>"女"</f>
        <v>女</v>
      </c>
    </row>
    <row r="1884" spans="1:4" ht="24" customHeight="1">
      <c r="A1884" t="str">
        <f>"10512020073008584430884"</f>
        <v>10512020073008584430884</v>
      </c>
      <c r="B1884" t="s">
        <v>54</v>
      </c>
      <c r="C1884" t="str">
        <f>"刘立"</f>
        <v>刘立</v>
      </c>
      <c r="D1884" t="str">
        <f>"女"</f>
        <v>女</v>
      </c>
    </row>
    <row r="1885" spans="1:4" ht="24" customHeight="1">
      <c r="A1885" t="str">
        <f>"10512020073009023830885"</f>
        <v>10512020073009023830885</v>
      </c>
      <c r="B1885" t="s">
        <v>4</v>
      </c>
      <c r="C1885" t="str">
        <f>"郭挺"</f>
        <v>郭挺</v>
      </c>
      <c r="D1885" t="str">
        <f>"男"</f>
        <v>男</v>
      </c>
    </row>
    <row r="1886" spans="1:4" ht="24" customHeight="1">
      <c r="A1886" t="str">
        <f>"10512020073009034630886"</f>
        <v>10512020073009034630886</v>
      </c>
      <c r="B1886" t="s">
        <v>34</v>
      </c>
      <c r="C1886" t="str">
        <f>"李湘"</f>
        <v>李湘</v>
      </c>
      <c r="D1886" t="str">
        <f>"女"</f>
        <v>女</v>
      </c>
    </row>
    <row r="1887" spans="1:4" ht="24" customHeight="1">
      <c r="A1887" t="str">
        <f>"10512020073009070530888"</f>
        <v>10512020073009070530888</v>
      </c>
      <c r="B1887" t="s">
        <v>7</v>
      </c>
      <c r="C1887" t="str">
        <f>"邱嘉宁"</f>
        <v>邱嘉宁</v>
      </c>
      <c r="D1887" t="str">
        <f>"女"</f>
        <v>女</v>
      </c>
    </row>
    <row r="1888" spans="1:4" ht="24" customHeight="1">
      <c r="A1888" t="str">
        <f>"10512020073009114130889"</f>
        <v>10512020073009114130889</v>
      </c>
      <c r="B1888" t="s">
        <v>12</v>
      </c>
      <c r="C1888" t="str">
        <f>"唐文锐"</f>
        <v>唐文锐</v>
      </c>
      <c r="D1888" t="str">
        <f>"女"</f>
        <v>女</v>
      </c>
    </row>
    <row r="1889" spans="1:4" ht="24" customHeight="1">
      <c r="A1889" t="str">
        <f>"10512020073009115530890"</f>
        <v>10512020073009115530890</v>
      </c>
      <c r="B1889" t="s">
        <v>11</v>
      </c>
      <c r="C1889" t="str">
        <f>"朱剑锋"</f>
        <v>朱剑锋</v>
      </c>
      <c r="D1889" t="str">
        <f>"男"</f>
        <v>男</v>
      </c>
    </row>
    <row r="1890" spans="1:4" ht="24" customHeight="1">
      <c r="A1890" t="str">
        <f>"10512020073009123530891"</f>
        <v>10512020073009123530891</v>
      </c>
      <c r="B1890" t="s">
        <v>13</v>
      </c>
      <c r="C1890" t="str">
        <f>"王亚运"</f>
        <v>王亚运</v>
      </c>
      <c r="D1890" t="str">
        <f>"女"</f>
        <v>女</v>
      </c>
    </row>
    <row r="1891" spans="1:4" ht="24" customHeight="1">
      <c r="A1891" t="str">
        <f>"10512020073009151730892"</f>
        <v>10512020073009151730892</v>
      </c>
      <c r="B1891" t="s">
        <v>21</v>
      </c>
      <c r="C1891" t="str">
        <f>"阳洋"</f>
        <v>阳洋</v>
      </c>
      <c r="D1891" t="str">
        <f>"男"</f>
        <v>男</v>
      </c>
    </row>
    <row r="1892" spans="1:4" ht="24" customHeight="1">
      <c r="A1892" t="str">
        <f>"10512020073009155930893"</f>
        <v>10512020073009155930893</v>
      </c>
      <c r="B1892" t="s">
        <v>48</v>
      </c>
      <c r="C1892" t="str">
        <f>"李双成"</f>
        <v>李双成</v>
      </c>
      <c r="D1892" t="str">
        <f>"男"</f>
        <v>男</v>
      </c>
    </row>
    <row r="1893" spans="1:4" ht="24" customHeight="1">
      <c r="A1893" t="str">
        <f>"10512020073009185630894"</f>
        <v>10512020073009185630894</v>
      </c>
      <c r="B1893" t="s">
        <v>11</v>
      </c>
      <c r="C1893" t="str">
        <f>"杨婷婷"</f>
        <v>杨婷婷</v>
      </c>
      <c r="D1893" t="str">
        <f>"女"</f>
        <v>女</v>
      </c>
    </row>
    <row r="1894" spans="1:4" ht="24" customHeight="1">
      <c r="A1894" t="str">
        <f>"10512020073009201130895"</f>
        <v>10512020073009201130895</v>
      </c>
      <c r="B1894" t="s">
        <v>15</v>
      </c>
      <c r="C1894" t="str">
        <f>"雷明涛"</f>
        <v>雷明涛</v>
      </c>
      <c r="D1894" t="str">
        <f>"男"</f>
        <v>男</v>
      </c>
    </row>
    <row r="1895" spans="1:4" ht="24" customHeight="1">
      <c r="A1895" t="str">
        <f>"10512020073009201930896"</f>
        <v>10512020073009201930896</v>
      </c>
      <c r="B1895" t="s">
        <v>26</v>
      </c>
      <c r="C1895" t="str">
        <f>"陈彦华"</f>
        <v>陈彦华</v>
      </c>
      <c r="D1895" t="str">
        <f>"女"</f>
        <v>女</v>
      </c>
    </row>
    <row r="1896" spans="1:4" ht="24" customHeight="1">
      <c r="A1896" t="str">
        <f>"10512020073009223530897"</f>
        <v>10512020073009223530897</v>
      </c>
      <c r="B1896" t="s">
        <v>60</v>
      </c>
      <c r="C1896" t="str">
        <f>"孙志阳"</f>
        <v>孙志阳</v>
      </c>
      <c r="D1896" t="str">
        <f>"男"</f>
        <v>男</v>
      </c>
    </row>
    <row r="1897" spans="1:4" ht="24" customHeight="1">
      <c r="A1897" t="str">
        <f>"10512020073009225430898"</f>
        <v>10512020073009225430898</v>
      </c>
      <c r="B1897" t="s">
        <v>28</v>
      </c>
      <c r="C1897" t="str">
        <f>"杨玲"</f>
        <v>杨玲</v>
      </c>
      <c r="D1897" t="str">
        <f>"女"</f>
        <v>女</v>
      </c>
    </row>
    <row r="1898" spans="1:4" ht="24" customHeight="1">
      <c r="A1898" t="str">
        <f>"10512020073009241930899"</f>
        <v>10512020073009241930899</v>
      </c>
      <c r="B1898" t="s">
        <v>40</v>
      </c>
      <c r="C1898" t="str">
        <f>"翟雅琪"</f>
        <v>翟雅琪</v>
      </c>
      <c r="D1898" t="str">
        <f>"女"</f>
        <v>女</v>
      </c>
    </row>
    <row r="1899" spans="1:4" ht="24" customHeight="1">
      <c r="A1899" t="str">
        <f>"10512020073009252030900"</f>
        <v>10512020073009252030900</v>
      </c>
      <c r="B1899" t="s">
        <v>41</v>
      </c>
      <c r="C1899" t="str">
        <f>"石雅平"</f>
        <v>石雅平</v>
      </c>
      <c r="D1899" t="str">
        <f>"女"</f>
        <v>女</v>
      </c>
    </row>
    <row r="1900" spans="1:4" ht="24" customHeight="1">
      <c r="A1900" t="str">
        <f>"10512020073009252730901"</f>
        <v>10512020073009252730901</v>
      </c>
      <c r="B1900" t="s">
        <v>12</v>
      </c>
      <c r="C1900" t="str">
        <f>"谭梦琴"</f>
        <v>谭梦琴</v>
      </c>
      <c r="D1900" t="str">
        <f>"女"</f>
        <v>女</v>
      </c>
    </row>
    <row r="1901" spans="1:4" ht="24" customHeight="1">
      <c r="A1901" t="str">
        <f>"10512020073009262130902"</f>
        <v>10512020073009262130902</v>
      </c>
      <c r="B1901" t="s">
        <v>24</v>
      </c>
      <c r="C1901" t="str">
        <f>"万家玮"</f>
        <v>万家玮</v>
      </c>
      <c r="D1901" t="str">
        <f>"男"</f>
        <v>男</v>
      </c>
    </row>
    <row r="1902" spans="1:4" ht="24" customHeight="1">
      <c r="A1902" t="str">
        <f>"10512020073009270030903"</f>
        <v>10512020073009270030903</v>
      </c>
      <c r="B1902" t="s">
        <v>26</v>
      </c>
      <c r="C1902" t="str">
        <f>"于媛"</f>
        <v>于媛</v>
      </c>
      <c r="D1902" t="str">
        <f>"女"</f>
        <v>女</v>
      </c>
    </row>
    <row r="1903" spans="1:4" ht="24" customHeight="1">
      <c r="A1903" t="str">
        <f>"10512020073009274730905"</f>
        <v>10512020073009274730905</v>
      </c>
      <c r="B1903" t="s">
        <v>20</v>
      </c>
      <c r="C1903" t="str">
        <f>"王梦晶"</f>
        <v>王梦晶</v>
      </c>
      <c r="D1903" t="str">
        <f>"女"</f>
        <v>女</v>
      </c>
    </row>
    <row r="1904" spans="1:4" ht="24" customHeight="1">
      <c r="A1904" t="str">
        <f>"10512020073009304430906"</f>
        <v>10512020073009304430906</v>
      </c>
      <c r="B1904" t="s">
        <v>55</v>
      </c>
      <c r="C1904" t="str">
        <f>"潘卓婷"</f>
        <v>潘卓婷</v>
      </c>
      <c r="D1904" t="str">
        <f>"女"</f>
        <v>女</v>
      </c>
    </row>
    <row r="1905" spans="1:4" ht="24" customHeight="1">
      <c r="A1905" t="str">
        <f>"10512020073009311430907"</f>
        <v>10512020073009311430907</v>
      </c>
      <c r="B1905" t="s">
        <v>15</v>
      </c>
      <c r="C1905" t="str">
        <f>"吕龙健"</f>
        <v>吕龙健</v>
      </c>
      <c r="D1905" t="str">
        <f>"男"</f>
        <v>男</v>
      </c>
    </row>
    <row r="1906" spans="1:4" ht="24" customHeight="1">
      <c r="A1906" t="str">
        <f>"10512020073009313130908"</f>
        <v>10512020073009313130908</v>
      </c>
      <c r="B1906" t="s">
        <v>30</v>
      </c>
      <c r="C1906" t="str">
        <f>"吴玉婷"</f>
        <v>吴玉婷</v>
      </c>
      <c r="D1906" t="str">
        <f>"女"</f>
        <v>女</v>
      </c>
    </row>
    <row r="1907" spans="1:4" ht="24" customHeight="1">
      <c r="A1907" t="str">
        <f>"10512020073009322030909"</f>
        <v>10512020073009322030909</v>
      </c>
      <c r="B1907" t="s">
        <v>12</v>
      </c>
      <c r="C1907" t="str">
        <f>"王烨华"</f>
        <v>王烨华</v>
      </c>
      <c r="D1907" t="str">
        <f>"男"</f>
        <v>男</v>
      </c>
    </row>
    <row r="1908" spans="1:4" ht="24" customHeight="1">
      <c r="A1908" t="str">
        <f>"10512020073009332830910"</f>
        <v>10512020073009332830910</v>
      </c>
      <c r="B1908" t="s">
        <v>23</v>
      </c>
      <c r="C1908" t="str">
        <f>"杨仁洁"</f>
        <v>杨仁洁</v>
      </c>
      <c r="D1908" t="str">
        <f>"女"</f>
        <v>女</v>
      </c>
    </row>
    <row r="1909" spans="1:4" ht="24" customHeight="1">
      <c r="A1909" t="str">
        <f>"10512020073009353430911"</f>
        <v>10512020073009353430911</v>
      </c>
      <c r="B1909" t="s">
        <v>9</v>
      </c>
      <c r="C1909" t="str">
        <f>"曹艳"</f>
        <v>曹艳</v>
      </c>
      <c r="D1909" t="str">
        <f>"女"</f>
        <v>女</v>
      </c>
    </row>
    <row r="1910" spans="1:4" ht="24" customHeight="1">
      <c r="A1910" t="str">
        <f>"10512020073009373830912"</f>
        <v>10512020073009373830912</v>
      </c>
      <c r="B1910" t="s">
        <v>7</v>
      </c>
      <c r="C1910" t="str">
        <f>"肖灿"</f>
        <v>肖灿</v>
      </c>
      <c r="D1910" t="str">
        <f>"女"</f>
        <v>女</v>
      </c>
    </row>
    <row r="1911" spans="1:4" ht="24" customHeight="1">
      <c r="A1911" t="str">
        <f>"10512020073009415230913"</f>
        <v>10512020073009415230913</v>
      </c>
      <c r="B1911" t="s">
        <v>21</v>
      </c>
      <c r="C1911" t="str">
        <f>"熊雅婷"</f>
        <v>熊雅婷</v>
      </c>
      <c r="D1911" t="str">
        <f>"女"</f>
        <v>女</v>
      </c>
    </row>
    <row r="1912" spans="1:4" ht="24" customHeight="1">
      <c r="A1912" t="str">
        <f>"10512020073009424730914"</f>
        <v>10512020073009424730914</v>
      </c>
      <c r="B1912" t="s">
        <v>5</v>
      </c>
      <c r="C1912" t="str">
        <f>"雷华林"</f>
        <v>雷华林</v>
      </c>
      <c r="D1912" t="str">
        <f>"女"</f>
        <v>女</v>
      </c>
    </row>
    <row r="1913" spans="1:4" ht="24" customHeight="1">
      <c r="A1913" t="str">
        <f>"10512020073009444830915"</f>
        <v>10512020073009444830915</v>
      </c>
      <c r="B1913" t="s">
        <v>21</v>
      </c>
      <c r="C1913" t="str">
        <f>"骆松"</f>
        <v>骆松</v>
      </c>
      <c r="D1913" t="str">
        <f>"男"</f>
        <v>男</v>
      </c>
    </row>
    <row r="1914" spans="1:4" ht="24" customHeight="1">
      <c r="A1914" t="str">
        <f>"10512020073009462730916"</f>
        <v>10512020073009462730916</v>
      </c>
      <c r="B1914" t="s">
        <v>18</v>
      </c>
      <c r="C1914" t="str">
        <f>"邹竺娟"</f>
        <v>邹竺娟</v>
      </c>
      <c r="D1914" t="str">
        <f>"女"</f>
        <v>女</v>
      </c>
    </row>
    <row r="1915" spans="1:4" ht="24" customHeight="1">
      <c r="A1915" t="str">
        <f>"10512020073009481430917"</f>
        <v>10512020073009481430917</v>
      </c>
      <c r="B1915" t="s">
        <v>13</v>
      </c>
      <c r="C1915" t="str">
        <f>"石秀峦"</f>
        <v>石秀峦</v>
      </c>
      <c r="D1915" t="str">
        <f t="shared" ref="D1915:D1921" si="35">"男"</f>
        <v>男</v>
      </c>
    </row>
    <row r="1916" spans="1:4" ht="24" customHeight="1">
      <c r="A1916" t="str">
        <f>"10512020073009510130918"</f>
        <v>10512020073009510130918</v>
      </c>
      <c r="B1916" t="s">
        <v>6</v>
      </c>
      <c r="C1916" t="str">
        <f>"李治祥"</f>
        <v>李治祥</v>
      </c>
      <c r="D1916" t="str">
        <f t="shared" si="35"/>
        <v>男</v>
      </c>
    </row>
    <row r="1917" spans="1:4" ht="24" customHeight="1">
      <c r="A1917" t="str">
        <f>"10512020073009542330919"</f>
        <v>10512020073009542330919</v>
      </c>
      <c r="B1917" t="s">
        <v>7</v>
      </c>
      <c r="C1917" t="str">
        <f>"陆先蜜"</f>
        <v>陆先蜜</v>
      </c>
      <c r="D1917" t="str">
        <f t="shared" si="35"/>
        <v>男</v>
      </c>
    </row>
    <row r="1918" spans="1:4" ht="24" customHeight="1">
      <c r="A1918" t="str">
        <f>"10512020073010003330921"</f>
        <v>10512020073010003330921</v>
      </c>
      <c r="B1918" t="s">
        <v>19</v>
      </c>
      <c r="C1918" t="str">
        <f>"张季康"</f>
        <v>张季康</v>
      </c>
      <c r="D1918" t="str">
        <f t="shared" si="35"/>
        <v>男</v>
      </c>
    </row>
    <row r="1919" spans="1:4" ht="24" customHeight="1">
      <c r="A1919" t="str">
        <f>"10512020073010013530922"</f>
        <v>10512020073010013530922</v>
      </c>
      <c r="B1919" t="s">
        <v>21</v>
      </c>
      <c r="C1919" t="str">
        <f>"刘峰"</f>
        <v>刘峰</v>
      </c>
      <c r="D1919" t="str">
        <f t="shared" si="35"/>
        <v>男</v>
      </c>
    </row>
    <row r="1920" spans="1:4" ht="24" customHeight="1">
      <c r="A1920" t="str">
        <f>"10512020073010015930923"</f>
        <v>10512020073010015930923</v>
      </c>
      <c r="B1920" t="s">
        <v>40</v>
      </c>
      <c r="C1920" t="str">
        <f>"朱智炜"</f>
        <v>朱智炜</v>
      </c>
      <c r="D1920" t="str">
        <f t="shared" si="35"/>
        <v>男</v>
      </c>
    </row>
    <row r="1921" spans="1:4" ht="24" customHeight="1">
      <c r="A1921" t="str">
        <f>"10512020073010022130924"</f>
        <v>10512020073010022130924</v>
      </c>
      <c r="B1921" t="s">
        <v>12</v>
      </c>
      <c r="C1921" t="str">
        <f>"杨治坤"</f>
        <v>杨治坤</v>
      </c>
      <c r="D1921" t="str">
        <f t="shared" si="35"/>
        <v>男</v>
      </c>
    </row>
    <row r="1922" spans="1:4" ht="24" customHeight="1">
      <c r="A1922" t="str">
        <f>"10512020073010045330925"</f>
        <v>10512020073010045330925</v>
      </c>
      <c r="B1922" t="s">
        <v>9</v>
      </c>
      <c r="C1922" t="str">
        <f>"朱艺清"</f>
        <v>朱艺清</v>
      </c>
      <c r="D1922" t="str">
        <f>"女"</f>
        <v>女</v>
      </c>
    </row>
    <row r="1923" spans="1:4" ht="24" customHeight="1">
      <c r="A1923" t="str">
        <f>"10512020073010054730926"</f>
        <v>10512020073010054730926</v>
      </c>
      <c r="B1923" t="s">
        <v>25</v>
      </c>
      <c r="C1923" t="str">
        <f>"孔明"</f>
        <v>孔明</v>
      </c>
      <c r="D1923" t="str">
        <f>"女"</f>
        <v>女</v>
      </c>
    </row>
    <row r="1924" spans="1:4" ht="24" customHeight="1">
      <c r="A1924" t="str">
        <f>"10512020073010073430928"</f>
        <v>10512020073010073430928</v>
      </c>
      <c r="B1924" t="s">
        <v>9</v>
      </c>
      <c r="C1924" t="str">
        <f>"刘亮"</f>
        <v>刘亮</v>
      </c>
      <c r="D1924" t="str">
        <f>"男"</f>
        <v>男</v>
      </c>
    </row>
    <row r="1925" spans="1:4" ht="24" customHeight="1">
      <c r="A1925" t="str">
        <f>"10512020073010081530929"</f>
        <v>10512020073010081530929</v>
      </c>
      <c r="B1925" t="s">
        <v>41</v>
      </c>
      <c r="C1925" t="str">
        <f>"涂家丽"</f>
        <v>涂家丽</v>
      </c>
      <c r="D1925" t="str">
        <f t="shared" ref="D1925:D1931" si="36">"女"</f>
        <v>女</v>
      </c>
    </row>
    <row r="1926" spans="1:4" ht="24" customHeight="1">
      <c r="A1926" t="str">
        <f>"10512020073010110830931"</f>
        <v>10512020073010110830931</v>
      </c>
      <c r="B1926" t="s">
        <v>31</v>
      </c>
      <c r="C1926" t="str">
        <f>"陈欣茹"</f>
        <v>陈欣茹</v>
      </c>
      <c r="D1926" t="str">
        <f t="shared" si="36"/>
        <v>女</v>
      </c>
    </row>
    <row r="1927" spans="1:4" ht="24" customHeight="1">
      <c r="A1927" t="str">
        <f>"10512020073010121130932"</f>
        <v>10512020073010121130932</v>
      </c>
      <c r="B1927" t="s">
        <v>8</v>
      </c>
      <c r="C1927" t="str">
        <f>"余婷"</f>
        <v>余婷</v>
      </c>
      <c r="D1927" t="str">
        <f t="shared" si="36"/>
        <v>女</v>
      </c>
    </row>
    <row r="1928" spans="1:4" ht="24" customHeight="1">
      <c r="A1928" t="str">
        <f>"10512020073010145930933"</f>
        <v>10512020073010145930933</v>
      </c>
      <c r="B1928" t="s">
        <v>25</v>
      </c>
      <c r="C1928" t="str">
        <f>"陈昱民"</f>
        <v>陈昱民</v>
      </c>
      <c r="D1928" t="str">
        <f t="shared" si="36"/>
        <v>女</v>
      </c>
    </row>
    <row r="1929" spans="1:4" ht="24" customHeight="1">
      <c r="A1929" t="str">
        <f>"10512020073010150730934"</f>
        <v>10512020073010150730934</v>
      </c>
      <c r="B1929" t="s">
        <v>11</v>
      </c>
      <c r="C1929" t="str">
        <f>"姚洁琼"</f>
        <v>姚洁琼</v>
      </c>
      <c r="D1929" t="str">
        <f t="shared" si="36"/>
        <v>女</v>
      </c>
    </row>
    <row r="1930" spans="1:4" ht="24" customHeight="1">
      <c r="A1930" t="str">
        <f>"10512020073010171930935"</f>
        <v>10512020073010171930935</v>
      </c>
      <c r="B1930" t="s">
        <v>16</v>
      </c>
      <c r="C1930" t="str">
        <f>"黄媚"</f>
        <v>黄媚</v>
      </c>
      <c r="D1930" t="str">
        <f t="shared" si="36"/>
        <v>女</v>
      </c>
    </row>
    <row r="1931" spans="1:4" ht="24" customHeight="1">
      <c r="A1931" t="str">
        <f>"10512020073010175630936"</f>
        <v>10512020073010175630936</v>
      </c>
      <c r="B1931" t="s">
        <v>13</v>
      </c>
      <c r="C1931" t="str">
        <f>"徐玲"</f>
        <v>徐玲</v>
      </c>
      <c r="D1931" t="str">
        <f t="shared" si="36"/>
        <v>女</v>
      </c>
    </row>
    <row r="1932" spans="1:4" ht="24" customHeight="1">
      <c r="A1932" t="str">
        <f>"10512020073010184130937"</f>
        <v>10512020073010184130937</v>
      </c>
      <c r="B1932" t="s">
        <v>20</v>
      </c>
      <c r="C1932" t="str">
        <f>"沈鹏"</f>
        <v>沈鹏</v>
      </c>
      <c r="D1932" t="str">
        <f>"男"</f>
        <v>男</v>
      </c>
    </row>
    <row r="1933" spans="1:4" ht="24" customHeight="1">
      <c r="A1933" t="str">
        <f>"10512020073010230730939"</f>
        <v>10512020073010230730939</v>
      </c>
      <c r="B1933" t="s">
        <v>12</v>
      </c>
      <c r="C1933" t="str">
        <f>"伍云飞"</f>
        <v>伍云飞</v>
      </c>
      <c r="D1933" t="str">
        <f>"男"</f>
        <v>男</v>
      </c>
    </row>
    <row r="1934" spans="1:4" ht="24" customHeight="1">
      <c r="A1934" t="str">
        <f>"10512020073010232530940"</f>
        <v>10512020073010232530940</v>
      </c>
      <c r="B1934" t="s">
        <v>32</v>
      </c>
      <c r="C1934" t="str">
        <f>"黄秀敏"</f>
        <v>黄秀敏</v>
      </c>
      <c r="D1934" t="str">
        <f>"女"</f>
        <v>女</v>
      </c>
    </row>
    <row r="1935" spans="1:4" ht="24" customHeight="1">
      <c r="A1935" t="str">
        <f>"10512020073010245030942"</f>
        <v>10512020073010245030942</v>
      </c>
      <c r="B1935" t="s">
        <v>10</v>
      </c>
      <c r="C1935" t="str">
        <f>"肖杰"</f>
        <v>肖杰</v>
      </c>
      <c r="D1935" t="str">
        <f>"男"</f>
        <v>男</v>
      </c>
    </row>
    <row r="1936" spans="1:4" ht="24" customHeight="1">
      <c r="A1936" t="str">
        <f>"10512020073010261730944"</f>
        <v>10512020073010261730944</v>
      </c>
      <c r="B1936" t="s">
        <v>12</v>
      </c>
      <c r="C1936" t="str">
        <f>"熊梦男"</f>
        <v>熊梦男</v>
      </c>
      <c r="D1936" t="str">
        <f>"男"</f>
        <v>男</v>
      </c>
    </row>
    <row r="1937" spans="1:4" ht="24" customHeight="1">
      <c r="A1937" t="str">
        <f>"10512020073010274530945"</f>
        <v>10512020073010274530945</v>
      </c>
      <c r="B1937" t="s">
        <v>11</v>
      </c>
      <c r="C1937" t="str">
        <f>"廖艳琰"</f>
        <v>廖艳琰</v>
      </c>
      <c r="D1937" t="str">
        <f>"女"</f>
        <v>女</v>
      </c>
    </row>
    <row r="1938" spans="1:4" ht="24" customHeight="1">
      <c r="A1938" t="str">
        <f>"10512020073010284030946"</f>
        <v>10512020073010284030946</v>
      </c>
      <c r="B1938" t="s">
        <v>16</v>
      </c>
      <c r="C1938" t="str">
        <f>"朱芬"</f>
        <v>朱芬</v>
      </c>
      <c r="D1938" t="str">
        <f>"女"</f>
        <v>女</v>
      </c>
    </row>
    <row r="1939" spans="1:4" ht="24" customHeight="1">
      <c r="A1939" t="str">
        <f>"10512020073010304930947"</f>
        <v>10512020073010304930947</v>
      </c>
      <c r="B1939" t="s">
        <v>40</v>
      </c>
      <c r="C1939" t="str">
        <f>"辛辉"</f>
        <v>辛辉</v>
      </c>
      <c r="D1939" t="str">
        <f>"女"</f>
        <v>女</v>
      </c>
    </row>
    <row r="1940" spans="1:4" ht="24" customHeight="1">
      <c r="A1940" t="str">
        <f>"10512020073010341230948"</f>
        <v>10512020073010341230948</v>
      </c>
      <c r="B1940" t="s">
        <v>13</v>
      </c>
      <c r="C1940" t="str">
        <f>"余鸿"</f>
        <v>余鸿</v>
      </c>
      <c r="D1940" t="str">
        <f>"男"</f>
        <v>男</v>
      </c>
    </row>
    <row r="1941" spans="1:4" ht="24" customHeight="1">
      <c r="A1941" t="str">
        <f>"10512020073010425430949"</f>
        <v>10512020073010425430949</v>
      </c>
      <c r="B1941" t="s">
        <v>12</v>
      </c>
      <c r="C1941" t="str">
        <f>"李肸昊"</f>
        <v>李肸昊</v>
      </c>
      <c r="D1941" t="str">
        <f>"男"</f>
        <v>男</v>
      </c>
    </row>
    <row r="1942" spans="1:4" ht="24" customHeight="1">
      <c r="A1942" t="str">
        <f>"10512020073010431330950"</f>
        <v>10512020073010431330950</v>
      </c>
      <c r="B1942" t="s">
        <v>60</v>
      </c>
      <c r="C1942" t="str">
        <f>"李鑫"</f>
        <v>李鑫</v>
      </c>
      <c r="D1942" t="str">
        <f t="shared" ref="D1942:D1950" si="37">"女"</f>
        <v>女</v>
      </c>
    </row>
    <row r="1943" spans="1:4" ht="24" customHeight="1">
      <c r="A1943" t="str">
        <f>"10512020073010462930951"</f>
        <v>10512020073010462930951</v>
      </c>
      <c r="B1943" t="s">
        <v>20</v>
      </c>
      <c r="C1943" t="str">
        <f>"杨芳"</f>
        <v>杨芳</v>
      </c>
      <c r="D1943" t="str">
        <f t="shared" si="37"/>
        <v>女</v>
      </c>
    </row>
    <row r="1944" spans="1:4" ht="24" customHeight="1">
      <c r="A1944" t="str">
        <f>"10512020073010475330953"</f>
        <v>10512020073010475330953</v>
      </c>
      <c r="B1944" t="s">
        <v>23</v>
      </c>
      <c r="C1944" t="str">
        <f>"龙雨婷"</f>
        <v>龙雨婷</v>
      </c>
      <c r="D1944" t="str">
        <f t="shared" si="37"/>
        <v>女</v>
      </c>
    </row>
    <row r="1945" spans="1:4" ht="24" customHeight="1">
      <c r="A1945" t="str">
        <f>"10512020073010490730955"</f>
        <v>10512020073010490730955</v>
      </c>
      <c r="B1945" t="s">
        <v>27</v>
      </c>
      <c r="C1945" t="str">
        <f>"苏为"</f>
        <v>苏为</v>
      </c>
      <c r="D1945" t="str">
        <f t="shared" si="37"/>
        <v>女</v>
      </c>
    </row>
    <row r="1946" spans="1:4" ht="24" customHeight="1">
      <c r="A1946" t="str">
        <f>"10512020073010493430956"</f>
        <v>10512020073010493430956</v>
      </c>
      <c r="B1946" t="s">
        <v>7</v>
      </c>
      <c r="C1946" t="str">
        <f>"齐菲"</f>
        <v>齐菲</v>
      </c>
      <c r="D1946" t="str">
        <f t="shared" si="37"/>
        <v>女</v>
      </c>
    </row>
    <row r="1947" spans="1:4" ht="24" customHeight="1">
      <c r="A1947" t="str">
        <f>"10512020073010494330957"</f>
        <v>10512020073010494330957</v>
      </c>
      <c r="B1947" t="s">
        <v>56</v>
      </c>
      <c r="C1947" t="str">
        <f>"覃杭钰"</f>
        <v>覃杭钰</v>
      </c>
      <c r="D1947" t="str">
        <f t="shared" si="37"/>
        <v>女</v>
      </c>
    </row>
    <row r="1948" spans="1:4" ht="24" customHeight="1">
      <c r="A1948" t="str">
        <f>"10512020073010550330959"</f>
        <v>10512020073010550330959</v>
      </c>
      <c r="B1948" t="s">
        <v>13</v>
      </c>
      <c r="C1948" t="str">
        <f>"刘航"</f>
        <v>刘航</v>
      </c>
      <c r="D1948" t="str">
        <f t="shared" si="37"/>
        <v>女</v>
      </c>
    </row>
    <row r="1949" spans="1:4" ht="24" customHeight="1">
      <c r="A1949" t="str">
        <f>"10512020073010563530960"</f>
        <v>10512020073010563530960</v>
      </c>
      <c r="B1949" t="s">
        <v>38</v>
      </c>
      <c r="C1949" t="str">
        <f>"钟毅岚"</f>
        <v>钟毅岚</v>
      </c>
      <c r="D1949" t="str">
        <f t="shared" si="37"/>
        <v>女</v>
      </c>
    </row>
    <row r="1950" spans="1:4" ht="24" customHeight="1">
      <c r="A1950" t="str">
        <f>"10512020073010584730961"</f>
        <v>10512020073010584730961</v>
      </c>
      <c r="B1950" t="s">
        <v>26</v>
      </c>
      <c r="C1950" t="str">
        <f>"黄俐璇"</f>
        <v>黄俐璇</v>
      </c>
      <c r="D1950" t="str">
        <f t="shared" si="37"/>
        <v>女</v>
      </c>
    </row>
    <row r="1951" spans="1:4" ht="24" customHeight="1">
      <c r="A1951" t="str">
        <f>"10512020073010595230962"</f>
        <v>10512020073010595230962</v>
      </c>
      <c r="B1951" t="s">
        <v>20</v>
      </c>
      <c r="C1951" t="str">
        <f>"徐攀"</f>
        <v>徐攀</v>
      </c>
      <c r="D1951" t="str">
        <f>"男"</f>
        <v>男</v>
      </c>
    </row>
    <row r="1952" spans="1:4" ht="24" customHeight="1">
      <c r="A1952" t="str">
        <f>"10512020073011011830963"</f>
        <v>10512020073011011830963</v>
      </c>
      <c r="B1952" t="s">
        <v>6</v>
      </c>
      <c r="C1952" t="str">
        <f>"郭祥纯"</f>
        <v>郭祥纯</v>
      </c>
      <c r="D1952" t="str">
        <f>"男"</f>
        <v>男</v>
      </c>
    </row>
    <row r="1953" spans="1:4" ht="24" customHeight="1">
      <c r="A1953" t="str">
        <f>"10512020073011020530964"</f>
        <v>10512020073011020530964</v>
      </c>
      <c r="B1953" t="s">
        <v>6</v>
      </c>
      <c r="C1953" t="str">
        <f>"刘旋"</f>
        <v>刘旋</v>
      </c>
      <c r="D1953" t="str">
        <f>"女"</f>
        <v>女</v>
      </c>
    </row>
    <row r="1954" spans="1:4" ht="24" customHeight="1">
      <c r="A1954" t="str">
        <f>"10512020073011075830966"</f>
        <v>10512020073011075830966</v>
      </c>
      <c r="B1954" t="s">
        <v>60</v>
      </c>
      <c r="C1954" t="str">
        <f>"杨佳"</f>
        <v>杨佳</v>
      </c>
      <c r="D1954" t="str">
        <f>"女"</f>
        <v>女</v>
      </c>
    </row>
    <row r="1955" spans="1:4" ht="24" customHeight="1">
      <c r="A1955" t="str">
        <f>"10512020073011080230967"</f>
        <v>10512020073011080230967</v>
      </c>
      <c r="B1955" t="s">
        <v>12</v>
      </c>
      <c r="C1955" t="str">
        <f>"张明"</f>
        <v>张明</v>
      </c>
      <c r="D1955" t="str">
        <f>"女"</f>
        <v>女</v>
      </c>
    </row>
    <row r="1956" spans="1:4" ht="24" customHeight="1">
      <c r="A1956" t="str">
        <f>"10512020073011083230968"</f>
        <v>10512020073011083230968</v>
      </c>
      <c r="B1956" t="s">
        <v>16</v>
      </c>
      <c r="C1956" t="str">
        <f>"汪长峰"</f>
        <v>汪长峰</v>
      </c>
      <c r="D1956" t="str">
        <f>"男"</f>
        <v>男</v>
      </c>
    </row>
    <row r="1957" spans="1:4" ht="24" customHeight="1">
      <c r="A1957" t="str">
        <f>"10512020073011122330969"</f>
        <v>10512020073011122330969</v>
      </c>
      <c r="B1957" t="s">
        <v>32</v>
      </c>
      <c r="C1957" t="str">
        <f>"李天辉"</f>
        <v>李天辉</v>
      </c>
      <c r="D1957" t="str">
        <f>"男"</f>
        <v>男</v>
      </c>
    </row>
    <row r="1958" spans="1:4" ht="24" customHeight="1">
      <c r="A1958" t="str">
        <f>"10512020073011124930970"</f>
        <v>10512020073011124930970</v>
      </c>
      <c r="B1958" t="s">
        <v>49</v>
      </c>
      <c r="C1958" t="str">
        <f>"李铃"</f>
        <v>李铃</v>
      </c>
      <c r="D1958" t="str">
        <f t="shared" ref="D1958:D1963" si="38">"女"</f>
        <v>女</v>
      </c>
    </row>
    <row r="1959" spans="1:4" ht="24" customHeight="1">
      <c r="A1959" t="str">
        <f>"10512020073011150630971"</f>
        <v>10512020073011150630971</v>
      </c>
      <c r="B1959" t="s">
        <v>7</v>
      </c>
      <c r="C1959" t="str">
        <f>" 王瑾"</f>
        <v xml:space="preserve"> 王瑾</v>
      </c>
      <c r="D1959" t="str">
        <f t="shared" si="38"/>
        <v>女</v>
      </c>
    </row>
    <row r="1960" spans="1:4" ht="24" customHeight="1">
      <c r="A1960" t="str">
        <f>"10512020073011153030973"</f>
        <v>10512020073011153030973</v>
      </c>
      <c r="B1960" t="s">
        <v>27</v>
      </c>
      <c r="C1960" t="str">
        <f>"庞懿"</f>
        <v>庞懿</v>
      </c>
      <c r="D1960" t="str">
        <f t="shared" si="38"/>
        <v>女</v>
      </c>
    </row>
    <row r="1961" spans="1:4" ht="24" customHeight="1">
      <c r="A1961" t="str">
        <f>"10512020073011160930974"</f>
        <v>10512020073011160930974</v>
      </c>
      <c r="B1961" t="s">
        <v>23</v>
      </c>
      <c r="C1961" t="str">
        <f>"马青"</f>
        <v>马青</v>
      </c>
      <c r="D1961" t="str">
        <f t="shared" si="38"/>
        <v>女</v>
      </c>
    </row>
    <row r="1962" spans="1:4" ht="24" customHeight="1">
      <c r="A1962" t="str">
        <f>"10512020073011171930975"</f>
        <v>10512020073011171930975</v>
      </c>
      <c r="B1962" t="s">
        <v>27</v>
      </c>
      <c r="C1962" t="str">
        <f>"刘一莹"</f>
        <v>刘一莹</v>
      </c>
      <c r="D1962" t="str">
        <f t="shared" si="38"/>
        <v>女</v>
      </c>
    </row>
    <row r="1963" spans="1:4" ht="24" customHeight="1">
      <c r="A1963" t="str">
        <f>"10512020073011183030976"</f>
        <v>10512020073011183030976</v>
      </c>
      <c r="B1963" t="s">
        <v>14</v>
      </c>
      <c r="C1963" t="str">
        <f>"黑雅"</f>
        <v>黑雅</v>
      </c>
      <c r="D1963" t="str">
        <f t="shared" si="38"/>
        <v>女</v>
      </c>
    </row>
    <row r="1964" spans="1:4" ht="24" customHeight="1">
      <c r="A1964" t="str">
        <f>"10512020073011193730977"</f>
        <v>10512020073011193730977</v>
      </c>
      <c r="B1964" t="s">
        <v>6</v>
      </c>
      <c r="C1964" t="str">
        <f>"杨义"</f>
        <v>杨义</v>
      </c>
      <c r="D1964" t="str">
        <f>"男"</f>
        <v>男</v>
      </c>
    </row>
    <row r="1965" spans="1:4" ht="24" customHeight="1">
      <c r="A1965" t="str">
        <f>"10512020073011195730978"</f>
        <v>10512020073011195730978</v>
      </c>
      <c r="B1965" t="s">
        <v>44</v>
      </c>
      <c r="C1965" t="str">
        <f>"尹植"</f>
        <v>尹植</v>
      </c>
      <c r="D1965" t="str">
        <f>"男"</f>
        <v>男</v>
      </c>
    </row>
    <row r="1966" spans="1:4" ht="24" customHeight="1">
      <c r="A1966" t="str">
        <f>"10512020073011202930979"</f>
        <v>10512020073011202930979</v>
      </c>
      <c r="B1966" t="s">
        <v>24</v>
      </c>
      <c r="C1966" t="str">
        <f>"邱榆茗"</f>
        <v>邱榆茗</v>
      </c>
      <c r="D1966" t="str">
        <f>"女"</f>
        <v>女</v>
      </c>
    </row>
    <row r="1967" spans="1:4" ht="24" customHeight="1">
      <c r="A1967" t="str">
        <f>"10512020073011205530980"</f>
        <v>10512020073011205530980</v>
      </c>
      <c r="B1967" t="s">
        <v>16</v>
      </c>
      <c r="C1967" t="str">
        <f>"陈莹"</f>
        <v>陈莹</v>
      </c>
      <c r="D1967" t="str">
        <f>"女"</f>
        <v>女</v>
      </c>
    </row>
    <row r="1968" spans="1:4" ht="24" customHeight="1">
      <c r="A1968" t="str">
        <f>"10512020073011220130981"</f>
        <v>10512020073011220130981</v>
      </c>
      <c r="B1968" t="s">
        <v>20</v>
      </c>
      <c r="C1968" t="str">
        <f>"熊子月"</f>
        <v>熊子月</v>
      </c>
      <c r="D1968" t="str">
        <f>"女"</f>
        <v>女</v>
      </c>
    </row>
    <row r="1969" spans="1:4" ht="24" customHeight="1">
      <c r="A1969" t="str">
        <f>"10512020073011225230983"</f>
        <v>10512020073011225230983</v>
      </c>
      <c r="B1969" t="s">
        <v>31</v>
      </c>
      <c r="C1969" t="str">
        <f>"陈睿"</f>
        <v>陈睿</v>
      </c>
      <c r="D1969" t="str">
        <f>"女"</f>
        <v>女</v>
      </c>
    </row>
    <row r="1970" spans="1:4" ht="24" customHeight="1">
      <c r="A1970" t="str">
        <f>"10512020073011232630984"</f>
        <v>10512020073011232630984</v>
      </c>
      <c r="B1970" t="s">
        <v>48</v>
      </c>
      <c r="C1970" t="str">
        <f>"李博"</f>
        <v>李博</v>
      </c>
      <c r="D1970" t="str">
        <f>"男"</f>
        <v>男</v>
      </c>
    </row>
    <row r="1971" spans="1:4" ht="24" customHeight="1">
      <c r="A1971" t="str">
        <f>"10512020073011260530985"</f>
        <v>10512020073011260530985</v>
      </c>
      <c r="B1971" t="s">
        <v>13</v>
      </c>
      <c r="C1971" t="str">
        <f>"向延春"</f>
        <v>向延春</v>
      </c>
      <c r="D1971" t="str">
        <f>"男"</f>
        <v>男</v>
      </c>
    </row>
    <row r="1972" spans="1:4" ht="24" customHeight="1">
      <c r="A1972" t="str">
        <f>"10512020073011284030987"</f>
        <v>10512020073011284030987</v>
      </c>
      <c r="B1972" t="s">
        <v>40</v>
      </c>
      <c r="C1972" t="str">
        <f>"李纯"</f>
        <v>李纯</v>
      </c>
      <c r="D1972" t="str">
        <f>"女"</f>
        <v>女</v>
      </c>
    </row>
    <row r="1973" spans="1:4" ht="24" customHeight="1">
      <c r="A1973" t="str">
        <f>"10512020073011321230988"</f>
        <v>10512020073011321230988</v>
      </c>
      <c r="B1973" t="s">
        <v>9</v>
      </c>
      <c r="C1973" t="str">
        <f>"吴志彬"</f>
        <v>吴志彬</v>
      </c>
      <c r="D1973" t="str">
        <f>"男"</f>
        <v>男</v>
      </c>
    </row>
    <row r="1974" spans="1:4" ht="24" customHeight="1">
      <c r="A1974" t="str">
        <f>"10512020073011323330989"</f>
        <v>10512020073011323330989</v>
      </c>
      <c r="B1974" t="s">
        <v>20</v>
      </c>
      <c r="C1974" t="str">
        <f>"刘涛"</f>
        <v>刘涛</v>
      </c>
      <c r="D1974" t="str">
        <f>"男"</f>
        <v>男</v>
      </c>
    </row>
    <row r="1975" spans="1:4" ht="24" customHeight="1">
      <c r="A1975" t="str">
        <f>"10512020073011332830990"</f>
        <v>10512020073011332830990</v>
      </c>
      <c r="B1975" t="s">
        <v>11</v>
      </c>
      <c r="C1975" t="str">
        <f>"吴小芳"</f>
        <v>吴小芳</v>
      </c>
      <c r="D1975" t="str">
        <f>"女"</f>
        <v>女</v>
      </c>
    </row>
    <row r="1976" spans="1:4" ht="24" customHeight="1">
      <c r="A1976" t="str">
        <f>"10512020073011344530991"</f>
        <v>10512020073011344530991</v>
      </c>
      <c r="B1976" t="s">
        <v>10</v>
      </c>
      <c r="C1976" t="str">
        <f>"孟浩"</f>
        <v>孟浩</v>
      </c>
      <c r="D1976" t="str">
        <f>"男"</f>
        <v>男</v>
      </c>
    </row>
    <row r="1977" spans="1:4" ht="24" customHeight="1">
      <c r="A1977" t="str">
        <f>"10512020073011355630992"</f>
        <v>10512020073011355630992</v>
      </c>
      <c r="B1977" t="s">
        <v>25</v>
      </c>
      <c r="C1977" t="str">
        <f>"龚雅琴"</f>
        <v>龚雅琴</v>
      </c>
      <c r="D1977" t="str">
        <f>"女"</f>
        <v>女</v>
      </c>
    </row>
    <row r="1978" spans="1:4" ht="24" customHeight="1">
      <c r="A1978" t="str">
        <f>"10512020073011423330993"</f>
        <v>10512020073011423330993</v>
      </c>
      <c r="B1978" t="s">
        <v>27</v>
      </c>
      <c r="C1978" t="str">
        <f>"赵彗伶"</f>
        <v>赵彗伶</v>
      </c>
      <c r="D1978" t="str">
        <f>"女"</f>
        <v>女</v>
      </c>
    </row>
    <row r="1979" spans="1:4" ht="24" customHeight="1">
      <c r="A1979" t="str">
        <f>"10512020073011425430994"</f>
        <v>10512020073011425430994</v>
      </c>
      <c r="B1979" t="s">
        <v>20</v>
      </c>
      <c r="C1979" t="str">
        <f>"张雨娴"</f>
        <v>张雨娴</v>
      </c>
      <c r="D1979" t="str">
        <f>"女"</f>
        <v>女</v>
      </c>
    </row>
    <row r="1980" spans="1:4" ht="24" customHeight="1">
      <c r="A1980" t="str">
        <f>"10512020073011435530995"</f>
        <v>10512020073011435530995</v>
      </c>
      <c r="B1980" t="s">
        <v>18</v>
      </c>
      <c r="C1980" t="str">
        <f>"龚倩妮"</f>
        <v>龚倩妮</v>
      </c>
      <c r="D1980" t="str">
        <f>"女"</f>
        <v>女</v>
      </c>
    </row>
    <row r="1981" spans="1:4" ht="24" customHeight="1">
      <c r="A1981" t="str">
        <f>"10512020073011485330996"</f>
        <v>10512020073011485330996</v>
      </c>
      <c r="B1981" t="s">
        <v>6</v>
      </c>
      <c r="C1981" t="str">
        <f>"黄微希"</f>
        <v>黄微希</v>
      </c>
      <c r="D1981" t="str">
        <f>"女"</f>
        <v>女</v>
      </c>
    </row>
    <row r="1982" spans="1:4" ht="24" customHeight="1">
      <c r="A1982" t="str">
        <f>"10512020073011532030997"</f>
        <v>10512020073011532030997</v>
      </c>
      <c r="B1982" t="s">
        <v>15</v>
      </c>
      <c r="C1982" t="str">
        <f>"高聖林"</f>
        <v>高聖林</v>
      </c>
      <c r="D1982" t="str">
        <f>"男"</f>
        <v>男</v>
      </c>
    </row>
    <row r="1983" spans="1:4" ht="24" customHeight="1">
      <c r="A1983" t="str">
        <f>"10512020073011584930999"</f>
        <v>10512020073011584930999</v>
      </c>
      <c r="B1983" t="s">
        <v>18</v>
      </c>
      <c r="C1983" t="str">
        <f>"何汶键"</f>
        <v>何汶键</v>
      </c>
      <c r="D1983" t="str">
        <f>"男"</f>
        <v>男</v>
      </c>
    </row>
    <row r="1984" spans="1:4" ht="24" customHeight="1">
      <c r="A1984" t="str">
        <f>"10512020073012075831002"</f>
        <v>10512020073012075831002</v>
      </c>
      <c r="B1984" t="s">
        <v>38</v>
      </c>
      <c r="C1984" t="str">
        <f>"杜思敏"</f>
        <v>杜思敏</v>
      </c>
      <c r="D1984" t="str">
        <f>"女"</f>
        <v>女</v>
      </c>
    </row>
    <row r="1985" spans="1:4" ht="24" customHeight="1">
      <c r="A1985" t="str">
        <f>"10512020073012103231003"</f>
        <v>10512020073012103231003</v>
      </c>
      <c r="B1985" t="s">
        <v>6</v>
      </c>
      <c r="C1985" t="str">
        <f>"赵祥"</f>
        <v>赵祥</v>
      </c>
      <c r="D1985" t="str">
        <f>"男"</f>
        <v>男</v>
      </c>
    </row>
    <row r="1986" spans="1:4" ht="24" customHeight="1">
      <c r="A1986" t="str">
        <f>"10512020073012104931004"</f>
        <v>10512020073012104931004</v>
      </c>
      <c r="B1986" t="s">
        <v>28</v>
      </c>
      <c r="C1986" t="str">
        <f>"莫青青"</f>
        <v>莫青青</v>
      </c>
      <c r="D1986" t="str">
        <f>"女"</f>
        <v>女</v>
      </c>
    </row>
    <row r="1987" spans="1:4" ht="24" customHeight="1">
      <c r="A1987" t="str">
        <f>"10512020073012113131005"</f>
        <v>10512020073012113131005</v>
      </c>
      <c r="B1987" t="s">
        <v>13</v>
      </c>
      <c r="C1987" t="str">
        <f>"颜宇洋"</f>
        <v>颜宇洋</v>
      </c>
      <c r="D1987" t="str">
        <f>"男"</f>
        <v>男</v>
      </c>
    </row>
    <row r="1988" spans="1:4" ht="24" customHeight="1">
      <c r="A1988" t="str">
        <f>"10512020073012123431006"</f>
        <v>10512020073012123431006</v>
      </c>
      <c r="B1988" t="s">
        <v>30</v>
      </c>
      <c r="C1988" t="str">
        <f>"张司岱"</f>
        <v>张司岱</v>
      </c>
      <c r="D1988" t="str">
        <f>"男"</f>
        <v>男</v>
      </c>
    </row>
    <row r="1989" spans="1:4" ht="24" customHeight="1">
      <c r="A1989" t="str">
        <f>"10512020073012161131007"</f>
        <v>10512020073012161131007</v>
      </c>
      <c r="B1989" t="s">
        <v>41</v>
      </c>
      <c r="C1989" t="str">
        <f>"陈雪鑫"</f>
        <v>陈雪鑫</v>
      </c>
      <c r="D1989" t="str">
        <f>"女"</f>
        <v>女</v>
      </c>
    </row>
    <row r="1990" spans="1:4" ht="24" customHeight="1">
      <c r="A1990" t="str">
        <f>"10512020073012180331008"</f>
        <v>10512020073012180331008</v>
      </c>
      <c r="B1990" t="s">
        <v>12</v>
      </c>
      <c r="C1990" t="str">
        <f>"王细桃"</f>
        <v>王细桃</v>
      </c>
      <c r="D1990" t="str">
        <f>"女"</f>
        <v>女</v>
      </c>
    </row>
    <row r="1991" spans="1:4" ht="24" customHeight="1">
      <c r="A1991" t="str">
        <f>"10512020073012184331009"</f>
        <v>10512020073012184331009</v>
      </c>
      <c r="B1991" t="s">
        <v>28</v>
      </c>
      <c r="C1991" t="str">
        <f>"邓蕊"</f>
        <v>邓蕊</v>
      </c>
      <c r="D1991" t="str">
        <f>"女"</f>
        <v>女</v>
      </c>
    </row>
    <row r="1992" spans="1:4" ht="24" customHeight="1">
      <c r="A1992" t="str">
        <f>"10512020073012211031010"</f>
        <v>10512020073012211031010</v>
      </c>
      <c r="B1992" t="s">
        <v>41</v>
      </c>
      <c r="C1992" t="str">
        <f>"陈颖"</f>
        <v>陈颖</v>
      </c>
      <c r="D1992" t="str">
        <f>"女"</f>
        <v>女</v>
      </c>
    </row>
    <row r="1993" spans="1:4" ht="24" customHeight="1">
      <c r="A1993" t="str">
        <f>"10512020073012222531011"</f>
        <v>10512020073012222531011</v>
      </c>
      <c r="B1993" t="s">
        <v>53</v>
      </c>
      <c r="C1993" t="str">
        <f>"杜雅琴"</f>
        <v>杜雅琴</v>
      </c>
      <c r="D1993" t="str">
        <f>"女"</f>
        <v>女</v>
      </c>
    </row>
    <row r="1994" spans="1:4" ht="24" customHeight="1">
      <c r="A1994" t="str">
        <f>"10512020073012291931012"</f>
        <v>10512020073012291931012</v>
      </c>
      <c r="B1994" t="s">
        <v>11</v>
      </c>
      <c r="C1994" t="str">
        <f>"陈京"</f>
        <v>陈京</v>
      </c>
      <c r="D1994" t="str">
        <f t="shared" ref="D1994:D1999" si="39">"男"</f>
        <v>男</v>
      </c>
    </row>
    <row r="1995" spans="1:4" ht="24" customHeight="1">
      <c r="A1995" t="str">
        <f>"10512020073012301731013"</f>
        <v>10512020073012301731013</v>
      </c>
      <c r="B1995" t="s">
        <v>11</v>
      </c>
      <c r="C1995" t="str">
        <f>"唐凌志"</f>
        <v>唐凌志</v>
      </c>
      <c r="D1995" t="str">
        <f t="shared" si="39"/>
        <v>男</v>
      </c>
    </row>
    <row r="1996" spans="1:4" ht="24" customHeight="1">
      <c r="A1996" t="str">
        <f>"10512020073012313131014"</f>
        <v>10512020073012313131014</v>
      </c>
      <c r="B1996" t="s">
        <v>13</v>
      </c>
      <c r="C1996" t="str">
        <f>"刘洋"</f>
        <v>刘洋</v>
      </c>
      <c r="D1996" t="str">
        <f t="shared" si="39"/>
        <v>男</v>
      </c>
    </row>
    <row r="1997" spans="1:4" ht="24" customHeight="1">
      <c r="A1997" t="str">
        <f>"10512020073012325431015"</f>
        <v>10512020073012325431015</v>
      </c>
      <c r="B1997" t="s">
        <v>6</v>
      </c>
      <c r="C1997" t="str">
        <f>"伍辉"</f>
        <v>伍辉</v>
      </c>
      <c r="D1997" t="str">
        <f t="shared" si="39"/>
        <v>男</v>
      </c>
    </row>
    <row r="1998" spans="1:4" ht="24" customHeight="1">
      <c r="A1998" t="str">
        <f>"10512020073012352931016"</f>
        <v>10512020073012352931016</v>
      </c>
      <c r="B1998" t="s">
        <v>27</v>
      </c>
      <c r="C1998" t="str">
        <f>"胡浩"</f>
        <v>胡浩</v>
      </c>
      <c r="D1998" t="str">
        <f t="shared" si="39"/>
        <v>男</v>
      </c>
    </row>
    <row r="1999" spans="1:4" ht="24" customHeight="1">
      <c r="A1999" t="str">
        <f>"10512020073012383931017"</f>
        <v>10512020073012383931017</v>
      </c>
      <c r="B1999" t="s">
        <v>23</v>
      </c>
      <c r="C1999" t="str">
        <f>"程正"</f>
        <v>程正</v>
      </c>
      <c r="D1999" t="str">
        <f t="shared" si="39"/>
        <v>男</v>
      </c>
    </row>
    <row r="2000" spans="1:4" ht="24" customHeight="1">
      <c r="A2000" t="str">
        <f>"10512020073012404831018"</f>
        <v>10512020073012404831018</v>
      </c>
      <c r="B2000" t="s">
        <v>47</v>
      </c>
      <c r="C2000" t="str">
        <f>"赵菁暄"</f>
        <v>赵菁暄</v>
      </c>
      <c r="D2000" t="str">
        <f>"女"</f>
        <v>女</v>
      </c>
    </row>
    <row r="2001" spans="1:4" ht="24" customHeight="1">
      <c r="A2001" t="str">
        <f>"10512020073012430631019"</f>
        <v>10512020073012430631019</v>
      </c>
      <c r="B2001" t="s">
        <v>31</v>
      </c>
      <c r="C2001" t="str">
        <f>"王鑫"</f>
        <v>王鑫</v>
      </c>
      <c r="D2001" t="str">
        <f>"男"</f>
        <v>男</v>
      </c>
    </row>
    <row r="2002" spans="1:4" ht="24" customHeight="1">
      <c r="A2002" t="str">
        <f>"10512020073012440131020"</f>
        <v>10512020073012440131020</v>
      </c>
      <c r="B2002" t="s">
        <v>7</v>
      </c>
      <c r="C2002" t="str">
        <f>"刘佳淋"</f>
        <v>刘佳淋</v>
      </c>
      <c r="D2002" t="str">
        <f>"女"</f>
        <v>女</v>
      </c>
    </row>
    <row r="2003" spans="1:4" ht="24" customHeight="1">
      <c r="A2003" t="str">
        <f>"10512020073012461531021"</f>
        <v>10512020073012461531021</v>
      </c>
      <c r="B2003" t="s">
        <v>16</v>
      </c>
      <c r="C2003" t="str">
        <f>"熊子成"</f>
        <v>熊子成</v>
      </c>
      <c r="D2003" t="str">
        <f>"男"</f>
        <v>男</v>
      </c>
    </row>
    <row r="2004" spans="1:4" ht="24" customHeight="1">
      <c r="A2004" t="str">
        <f>"10512020073012464831022"</f>
        <v>10512020073012464831022</v>
      </c>
      <c r="B2004" t="s">
        <v>7</v>
      </c>
      <c r="C2004" t="str">
        <f>"石芷瑜"</f>
        <v>石芷瑜</v>
      </c>
      <c r="D2004" t="str">
        <f>"女"</f>
        <v>女</v>
      </c>
    </row>
    <row r="2005" spans="1:4" ht="24" customHeight="1">
      <c r="A2005" t="str">
        <f>"10512020073012475631023"</f>
        <v>10512020073012475631023</v>
      </c>
      <c r="B2005" t="s">
        <v>30</v>
      </c>
      <c r="C2005" t="str">
        <f>"苏童"</f>
        <v>苏童</v>
      </c>
      <c r="D2005" t="str">
        <f>"女"</f>
        <v>女</v>
      </c>
    </row>
    <row r="2006" spans="1:4" ht="24" customHeight="1">
      <c r="A2006" t="str">
        <f>"10512020073012523231025"</f>
        <v>10512020073012523231025</v>
      </c>
      <c r="B2006" t="s">
        <v>52</v>
      </c>
      <c r="C2006" t="str">
        <f>"王良成"</f>
        <v>王良成</v>
      </c>
      <c r="D2006" t="str">
        <f>"男"</f>
        <v>男</v>
      </c>
    </row>
    <row r="2007" spans="1:4" ht="24" customHeight="1">
      <c r="A2007" t="str">
        <f>"10512020073012553531026"</f>
        <v>10512020073012553531026</v>
      </c>
      <c r="B2007" t="s">
        <v>48</v>
      </c>
      <c r="C2007" t="str">
        <f>"徐伟"</f>
        <v>徐伟</v>
      </c>
      <c r="D2007" t="str">
        <f>"男"</f>
        <v>男</v>
      </c>
    </row>
    <row r="2008" spans="1:4" ht="24" customHeight="1">
      <c r="A2008" t="str">
        <f>"10512020073012553931027"</f>
        <v>10512020073012553931027</v>
      </c>
      <c r="B2008" t="s">
        <v>15</v>
      </c>
      <c r="C2008" t="str">
        <f>"黄声永"</f>
        <v>黄声永</v>
      </c>
      <c r="D2008" t="str">
        <f>"男"</f>
        <v>男</v>
      </c>
    </row>
    <row r="2009" spans="1:4" ht="24" customHeight="1">
      <c r="A2009" t="str">
        <f>"10512020073012574631028"</f>
        <v>10512020073012574631028</v>
      </c>
      <c r="B2009" t="s">
        <v>11</v>
      </c>
      <c r="C2009" t="str">
        <f>"黎珊珊"</f>
        <v>黎珊珊</v>
      </c>
      <c r="D2009" t="str">
        <f>"女"</f>
        <v>女</v>
      </c>
    </row>
    <row r="2010" spans="1:4" ht="24" customHeight="1">
      <c r="A2010" t="str">
        <f>"10512020073012581731029"</f>
        <v>10512020073012581731029</v>
      </c>
      <c r="B2010" t="s">
        <v>54</v>
      </c>
      <c r="C2010" t="str">
        <f>"张敏"</f>
        <v>张敏</v>
      </c>
      <c r="D2010" t="str">
        <f>"女"</f>
        <v>女</v>
      </c>
    </row>
    <row r="2011" spans="1:4" ht="24" customHeight="1">
      <c r="A2011" t="str">
        <f>"10512020073013001931031"</f>
        <v>10512020073013001931031</v>
      </c>
      <c r="B2011" t="s">
        <v>12</v>
      </c>
      <c r="C2011" t="str">
        <f>"庞湘岳"</f>
        <v>庞湘岳</v>
      </c>
      <c r="D2011" t="str">
        <f>"男"</f>
        <v>男</v>
      </c>
    </row>
    <row r="2012" spans="1:4" ht="24" customHeight="1">
      <c r="A2012" t="str">
        <f>"10512020073013024631032"</f>
        <v>10512020073013024631032</v>
      </c>
      <c r="B2012" t="s">
        <v>41</v>
      </c>
      <c r="C2012" t="str">
        <f>"赵岚"</f>
        <v>赵岚</v>
      </c>
      <c r="D2012" t="str">
        <f>"女"</f>
        <v>女</v>
      </c>
    </row>
    <row r="2013" spans="1:4" ht="24" customHeight="1">
      <c r="A2013" t="str">
        <f>"10512020073013033831033"</f>
        <v>10512020073013033831033</v>
      </c>
      <c r="B2013" t="s">
        <v>27</v>
      </c>
      <c r="C2013" t="str">
        <f>"龙昱林"</f>
        <v>龙昱林</v>
      </c>
      <c r="D2013" t="str">
        <f>"男"</f>
        <v>男</v>
      </c>
    </row>
    <row r="2014" spans="1:4" ht="24" customHeight="1">
      <c r="A2014" t="str">
        <f>"10512020073013074631034"</f>
        <v>10512020073013074631034</v>
      </c>
      <c r="B2014" t="s">
        <v>48</v>
      </c>
      <c r="C2014" t="str">
        <f>"毛奇智"</f>
        <v>毛奇智</v>
      </c>
      <c r="D2014" t="str">
        <f>"男"</f>
        <v>男</v>
      </c>
    </row>
    <row r="2015" spans="1:4" ht="24" customHeight="1">
      <c r="A2015" t="str">
        <f>"10512020073013131731035"</f>
        <v>10512020073013131731035</v>
      </c>
      <c r="B2015" t="s">
        <v>30</v>
      </c>
      <c r="C2015" t="str">
        <f>"黄宏"</f>
        <v>黄宏</v>
      </c>
      <c r="D2015" t="str">
        <f>"女"</f>
        <v>女</v>
      </c>
    </row>
    <row r="2016" spans="1:4" ht="24" customHeight="1">
      <c r="A2016" t="str">
        <f>"10512020073013141931036"</f>
        <v>10512020073013141931036</v>
      </c>
      <c r="B2016" t="s">
        <v>49</v>
      </c>
      <c r="C2016" t="str">
        <f>"曹助诚"</f>
        <v>曹助诚</v>
      </c>
      <c r="D2016" t="str">
        <f>"男"</f>
        <v>男</v>
      </c>
    </row>
    <row r="2017" spans="1:4" ht="24" customHeight="1">
      <c r="A2017" t="str">
        <f>"10512020073013233631037"</f>
        <v>10512020073013233631037</v>
      </c>
      <c r="B2017" t="s">
        <v>4</v>
      </c>
      <c r="C2017" t="str">
        <f>"吴奕柯"</f>
        <v>吴奕柯</v>
      </c>
      <c r="D2017" t="str">
        <f>"男"</f>
        <v>男</v>
      </c>
    </row>
    <row r="2018" spans="1:4" ht="24" customHeight="1">
      <c r="A2018" t="str">
        <f>"10512020073013245531038"</f>
        <v>10512020073013245531038</v>
      </c>
      <c r="B2018" t="s">
        <v>41</v>
      </c>
      <c r="C2018" t="str">
        <f>"董莞莹"</f>
        <v>董莞莹</v>
      </c>
      <c r="D2018" t="str">
        <f t="shared" ref="D2018:D2024" si="40">"女"</f>
        <v>女</v>
      </c>
    </row>
    <row r="2019" spans="1:4" ht="24" customHeight="1">
      <c r="A2019" t="str">
        <f>"10512020073013250231039"</f>
        <v>10512020073013250231039</v>
      </c>
      <c r="B2019" t="s">
        <v>38</v>
      </c>
      <c r="C2019" t="str">
        <f>"张蕾"</f>
        <v>张蕾</v>
      </c>
      <c r="D2019" t="str">
        <f t="shared" si="40"/>
        <v>女</v>
      </c>
    </row>
    <row r="2020" spans="1:4" ht="24" customHeight="1">
      <c r="A2020" t="str">
        <f>"10512020073013302931040"</f>
        <v>10512020073013302931040</v>
      </c>
      <c r="B2020" t="s">
        <v>21</v>
      </c>
      <c r="C2020" t="str">
        <f>"熊亚男"</f>
        <v>熊亚男</v>
      </c>
      <c r="D2020" t="str">
        <f t="shared" si="40"/>
        <v>女</v>
      </c>
    </row>
    <row r="2021" spans="1:4" ht="24" customHeight="1">
      <c r="A2021" t="str">
        <f>"10512020073013312231041"</f>
        <v>10512020073013312231041</v>
      </c>
      <c r="B2021" t="s">
        <v>7</v>
      </c>
      <c r="C2021" t="str">
        <f>"杨雨琪"</f>
        <v>杨雨琪</v>
      </c>
      <c r="D2021" t="str">
        <f t="shared" si="40"/>
        <v>女</v>
      </c>
    </row>
    <row r="2022" spans="1:4" ht="24" customHeight="1">
      <c r="A2022" t="str">
        <f>"10512020073013353631042"</f>
        <v>10512020073013353631042</v>
      </c>
      <c r="B2022" t="s">
        <v>6</v>
      </c>
      <c r="C2022" t="str">
        <f>"彭庆华"</f>
        <v>彭庆华</v>
      </c>
      <c r="D2022" t="str">
        <f t="shared" si="40"/>
        <v>女</v>
      </c>
    </row>
    <row r="2023" spans="1:4" ht="24" customHeight="1">
      <c r="A2023" t="str">
        <f>"10512020073013390031045"</f>
        <v>10512020073013390031045</v>
      </c>
      <c r="B2023" t="s">
        <v>7</v>
      </c>
      <c r="C2023" t="str">
        <f>"徐新君"</f>
        <v>徐新君</v>
      </c>
      <c r="D2023" t="str">
        <f t="shared" si="40"/>
        <v>女</v>
      </c>
    </row>
    <row r="2024" spans="1:4" ht="24" customHeight="1">
      <c r="A2024" t="str">
        <f>"10512020073013425831046"</f>
        <v>10512020073013425831046</v>
      </c>
      <c r="B2024" t="s">
        <v>25</v>
      </c>
      <c r="C2024" t="str">
        <f>"谭曌"</f>
        <v>谭曌</v>
      </c>
      <c r="D2024" t="str">
        <f t="shared" si="40"/>
        <v>女</v>
      </c>
    </row>
    <row r="2025" spans="1:4" ht="24" customHeight="1">
      <c r="A2025" t="str">
        <f>"10512020073013430131047"</f>
        <v>10512020073013430131047</v>
      </c>
      <c r="B2025" t="s">
        <v>16</v>
      </c>
      <c r="C2025" t="str">
        <f>"易明"</f>
        <v>易明</v>
      </c>
      <c r="D2025" t="str">
        <f>"男"</f>
        <v>男</v>
      </c>
    </row>
    <row r="2026" spans="1:4" ht="24" customHeight="1">
      <c r="A2026" t="str">
        <f>"10512020073013440431048"</f>
        <v>10512020073013440431048</v>
      </c>
      <c r="B2026" t="s">
        <v>6</v>
      </c>
      <c r="C2026" t="str">
        <f>"朱伦"</f>
        <v>朱伦</v>
      </c>
      <c r="D2026" t="str">
        <f>"男"</f>
        <v>男</v>
      </c>
    </row>
    <row r="2027" spans="1:4" ht="24" customHeight="1">
      <c r="A2027" t="str">
        <f>"10512020073013534031049"</f>
        <v>10512020073013534031049</v>
      </c>
      <c r="B2027" t="s">
        <v>30</v>
      </c>
      <c r="C2027" t="str">
        <f>"刘超"</f>
        <v>刘超</v>
      </c>
      <c r="D2027" t="str">
        <f>"男"</f>
        <v>男</v>
      </c>
    </row>
    <row r="2028" spans="1:4" ht="24" customHeight="1">
      <c r="A2028" t="str">
        <f>"10512020073013572431051"</f>
        <v>10512020073013572431051</v>
      </c>
      <c r="B2028" t="s">
        <v>13</v>
      </c>
      <c r="C2028" t="str">
        <f>"资志鹏"</f>
        <v>资志鹏</v>
      </c>
      <c r="D2028" t="str">
        <f>"男"</f>
        <v>男</v>
      </c>
    </row>
    <row r="2029" spans="1:4" ht="24" customHeight="1">
      <c r="A2029" t="str">
        <f>"10512020073014000531052"</f>
        <v>10512020073014000531052</v>
      </c>
      <c r="B2029" t="s">
        <v>19</v>
      </c>
      <c r="C2029" t="str">
        <f>"谷祥勇"</f>
        <v>谷祥勇</v>
      </c>
      <c r="D2029" t="str">
        <f>"男"</f>
        <v>男</v>
      </c>
    </row>
    <row r="2030" spans="1:4" ht="24" customHeight="1">
      <c r="A2030" t="str">
        <f>"10512020073014005731053"</f>
        <v>10512020073014005731053</v>
      </c>
      <c r="B2030" t="s">
        <v>16</v>
      </c>
      <c r="C2030" t="str">
        <f>"丁新好"</f>
        <v>丁新好</v>
      </c>
      <c r="D2030" t="str">
        <f>"女"</f>
        <v>女</v>
      </c>
    </row>
    <row r="2031" spans="1:4" ht="24" customHeight="1">
      <c r="A2031" t="str">
        <f>"10512020073014014831054"</f>
        <v>10512020073014014831054</v>
      </c>
      <c r="B2031" t="s">
        <v>21</v>
      </c>
      <c r="C2031" t="str">
        <f>"钟浩铭"</f>
        <v>钟浩铭</v>
      </c>
      <c r="D2031" t="str">
        <f>"男"</f>
        <v>男</v>
      </c>
    </row>
    <row r="2032" spans="1:4" ht="24" customHeight="1">
      <c r="A2032" t="str">
        <f>"10512020073014061231055"</f>
        <v>10512020073014061231055</v>
      </c>
      <c r="B2032" t="s">
        <v>30</v>
      </c>
      <c r="C2032" t="str">
        <f>"黄文"</f>
        <v>黄文</v>
      </c>
      <c r="D2032" t="str">
        <f>"男"</f>
        <v>男</v>
      </c>
    </row>
    <row r="2033" spans="1:4" ht="24" customHeight="1">
      <c r="A2033" t="str">
        <f>"10512020073014155031056"</f>
        <v>10512020073014155031056</v>
      </c>
      <c r="B2033" t="s">
        <v>5</v>
      </c>
      <c r="C2033" t="str">
        <f>"赵友芬"</f>
        <v>赵友芬</v>
      </c>
      <c r="D2033" t="str">
        <f>"女"</f>
        <v>女</v>
      </c>
    </row>
    <row r="2034" spans="1:4" ht="24" customHeight="1">
      <c r="A2034" t="str">
        <f>"10512020073014171731057"</f>
        <v>10512020073014171731057</v>
      </c>
      <c r="B2034" t="s">
        <v>6</v>
      </c>
      <c r="C2034" t="str">
        <f>"刘又玮"</f>
        <v>刘又玮</v>
      </c>
      <c r="D2034" t="str">
        <f>"女"</f>
        <v>女</v>
      </c>
    </row>
    <row r="2035" spans="1:4" ht="24" customHeight="1">
      <c r="A2035" t="str">
        <f>"10512020073014184731058"</f>
        <v>10512020073014184731058</v>
      </c>
      <c r="B2035" t="s">
        <v>15</v>
      </c>
      <c r="C2035" t="str">
        <f>"唐稳"</f>
        <v>唐稳</v>
      </c>
      <c r="D2035" t="str">
        <f>"男"</f>
        <v>男</v>
      </c>
    </row>
    <row r="2036" spans="1:4" ht="24" customHeight="1">
      <c r="A2036" t="str">
        <f>"10512020073014185431059"</f>
        <v>10512020073014185431059</v>
      </c>
      <c r="B2036" t="s">
        <v>19</v>
      </c>
      <c r="C2036" t="str">
        <f>"刘凯"</f>
        <v>刘凯</v>
      </c>
      <c r="D2036" t="str">
        <f>"男"</f>
        <v>男</v>
      </c>
    </row>
    <row r="2037" spans="1:4" ht="24" customHeight="1">
      <c r="A2037" t="str">
        <f>"10512020073014185631060"</f>
        <v>10512020073014185631060</v>
      </c>
      <c r="B2037" t="s">
        <v>23</v>
      </c>
      <c r="C2037" t="str">
        <f>"杨若晨"</f>
        <v>杨若晨</v>
      </c>
      <c r="D2037" t="str">
        <f>"女"</f>
        <v>女</v>
      </c>
    </row>
    <row r="2038" spans="1:4" ht="24" customHeight="1">
      <c r="A2038" t="str">
        <f>"10512020073014244631061"</f>
        <v>10512020073014244631061</v>
      </c>
      <c r="B2038" t="s">
        <v>32</v>
      </c>
      <c r="C2038" t="str">
        <f>"刘敏"</f>
        <v>刘敏</v>
      </c>
      <c r="D2038" t="str">
        <f>"女"</f>
        <v>女</v>
      </c>
    </row>
    <row r="2039" spans="1:4" ht="24" customHeight="1">
      <c r="A2039" t="str">
        <f>"10512020073014290631062"</f>
        <v>10512020073014290631062</v>
      </c>
      <c r="B2039" t="s">
        <v>13</v>
      </c>
      <c r="C2039" t="str">
        <f>"王森"</f>
        <v>王森</v>
      </c>
      <c r="D2039" t="str">
        <f>"男"</f>
        <v>男</v>
      </c>
    </row>
    <row r="2040" spans="1:4" ht="24" customHeight="1">
      <c r="A2040" t="str">
        <f>"10512020073014311631063"</f>
        <v>10512020073014311631063</v>
      </c>
      <c r="B2040" t="s">
        <v>11</v>
      </c>
      <c r="C2040" t="str">
        <f>"唐立早"</f>
        <v>唐立早</v>
      </c>
      <c r="D2040" t="str">
        <f>"男"</f>
        <v>男</v>
      </c>
    </row>
    <row r="2041" spans="1:4" ht="24" customHeight="1">
      <c r="A2041" t="str">
        <f>"10512020073014330831064"</f>
        <v>10512020073014330831064</v>
      </c>
      <c r="B2041" t="s">
        <v>28</v>
      </c>
      <c r="C2041" t="str">
        <f>"代玲"</f>
        <v>代玲</v>
      </c>
      <c r="D2041" t="str">
        <f>"女"</f>
        <v>女</v>
      </c>
    </row>
    <row r="2042" spans="1:4" ht="24" customHeight="1">
      <c r="A2042" t="str">
        <f>"10512020073014331731065"</f>
        <v>10512020073014331731065</v>
      </c>
      <c r="B2042" t="s">
        <v>45</v>
      </c>
      <c r="C2042" t="str">
        <f>"刘元安"</f>
        <v>刘元安</v>
      </c>
      <c r="D2042" t="str">
        <f>"男"</f>
        <v>男</v>
      </c>
    </row>
    <row r="2043" spans="1:4" ht="24" customHeight="1">
      <c r="A2043" t="str">
        <f>"10512020073014335731066"</f>
        <v>10512020073014335731066</v>
      </c>
      <c r="B2043" t="s">
        <v>6</v>
      </c>
      <c r="C2043" t="str">
        <f>"高长勤"</f>
        <v>高长勤</v>
      </c>
      <c r="D2043" t="str">
        <f>"男"</f>
        <v>男</v>
      </c>
    </row>
    <row r="2044" spans="1:4" ht="24" customHeight="1">
      <c r="A2044" t="str">
        <f>"10512020073014352831067"</f>
        <v>10512020073014352831067</v>
      </c>
      <c r="B2044" t="s">
        <v>37</v>
      </c>
      <c r="C2044" t="str">
        <f>"张纾菡"</f>
        <v>张纾菡</v>
      </c>
      <c r="D2044" t="str">
        <f>"女"</f>
        <v>女</v>
      </c>
    </row>
    <row r="2045" spans="1:4" ht="24" customHeight="1">
      <c r="A2045" t="str">
        <f>"10512020073014375131068"</f>
        <v>10512020073014375131068</v>
      </c>
      <c r="B2045" t="s">
        <v>18</v>
      </c>
      <c r="C2045" t="str">
        <f>"马富姣"</f>
        <v>马富姣</v>
      </c>
      <c r="D2045" t="str">
        <f>"女"</f>
        <v>女</v>
      </c>
    </row>
    <row r="2046" spans="1:4" ht="24" customHeight="1">
      <c r="A2046" t="str">
        <f>"10512020073014382531069"</f>
        <v>10512020073014382531069</v>
      </c>
      <c r="B2046" t="s">
        <v>52</v>
      </c>
      <c r="C2046" t="str">
        <f>"文枫玲"</f>
        <v>文枫玲</v>
      </c>
      <c r="D2046" t="str">
        <f>"女"</f>
        <v>女</v>
      </c>
    </row>
    <row r="2047" spans="1:4" ht="24" customHeight="1">
      <c r="A2047" t="str">
        <f>"10512020073014425931070"</f>
        <v>10512020073014425931070</v>
      </c>
      <c r="B2047" t="s">
        <v>48</v>
      </c>
      <c r="C2047" t="str">
        <f>"李峥"</f>
        <v>李峥</v>
      </c>
      <c r="D2047" t="str">
        <f>"男"</f>
        <v>男</v>
      </c>
    </row>
    <row r="2048" spans="1:4" ht="24" customHeight="1">
      <c r="A2048" t="str">
        <f>"10512020073014444931071"</f>
        <v>10512020073014444931071</v>
      </c>
      <c r="B2048" t="s">
        <v>6</v>
      </c>
      <c r="C2048" t="str">
        <f>"肖杨"</f>
        <v>肖杨</v>
      </c>
      <c r="D2048" t="str">
        <f>"男"</f>
        <v>男</v>
      </c>
    </row>
    <row r="2049" spans="1:4" ht="24" customHeight="1">
      <c r="A2049" t="str">
        <f>"10512020073014450831072"</f>
        <v>10512020073014450831072</v>
      </c>
      <c r="B2049" t="s">
        <v>20</v>
      </c>
      <c r="C2049" t="str">
        <f>"韩萍萍"</f>
        <v>韩萍萍</v>
      </c>
      <c r="D2049" t="str">
        <f>"女"</f>
        <v>女</v>
      </c>
    </row>
    <row r="2050" spans="1:4" ht="24" customHeight="1">
      <c r="A2050" t="str">
        <f>"10512020073014455831074"</f>
        <v>10512020073014455831074</v>
      </c>
      <c r="B2050" t="s">
        <v>13</v>
      </c>
      <c r="C2050" t="str">
        <f>"刘畅"</f>
        <v>刘畅</v>
      </c>
      <c r="D2050" t="str">
        <f>"女"</f>
        <v>女</v>
      </c>
    </row>
    <row r="2051" spans="1:4" ht="24" customHeight="1">
      <c r="A2051" t="str">
        <f>"10512020073014490731075"</f>
        <v>10512020073014490731075</v>
      </c>
      <c r="B2051" t="s">
        <v>20</v>
      </c>
      <c r="C2051" t="str">
        <f>"张孝磊"</f>
        <v>张孝磊</v>
      </c>
      <c r="D2051" t="str">
        <f>"男"</f>
        <v>男</v>
      </c>
    </row>
    <row r="2052" spans="1:4" ht="24" customHeight="1">
      <c r="A2052" t="str">
        <f>"10512020073014493131076"</f>
        <v>10512020073014493131076</v>
      </c>
      <c r="B2052" t="s">
        <v>11</v>
      </c>
      <c r="C2052" t="str">
        <f>"陈怡妗"</f>
        <v>陈怡妗</v>
      </c>
      <c r="D2052" t="str">
        <f>"女"</f>
        <v>女</v>
      </c>
    </row>
    <row r="2053" spans="1:4" ht="24" customHeight="1">
      <c r="A2053" t="str">
        <f>"10512020073014493231077"</f>
        <v>10512020073014493231077</v>
      </c>
      <c r="B2053" t="s">
        <v>21</v>
      </c>
      <c r="C2053" t="str">
        <f>"刘凯"</f>
        <v>刘凯</v>
      </c>
      <c r="D2053" t="str">
        <f>"男"</f>
        <v>男</v>
      </c>
    </row>
    <row r="2054" spans="1:4" ht="24" customHeight="1">
      <c r="A2054" t="str">
        <f>"10512020073014495831079"</f>
        <v>10512020073014495831079</v>
      </c>
      <c r="B2054" t="s">
        <v>10</v>
      </c>
      <c r="C2054" t="str">
        <f>"李哲文"</f>
        <v>李哲文</v>
      </c>
      <c r="D2054" t="str">
        <f>"男"</f>
        <v>男</v>
      </c>
    </row>
    <row r="2055" spans="1:4" ht="24" customHeight="1">
      <c r="A2055" t="str">
        <f>"10512020073014500431080"</f>
        <v>10512020073014500431080</v>
      </c>
      <c r="B2055" t="s">
        <v>5</v>
      </c>
      <c r="C2055" t="str">
        <f>"姜婷"</f>
        <v>姜婷</v>
      </c>
      <c r="D2055" t="str">
        <f>"女"</f>
        <v>女</v>
      </c>
    </row>
    <row r="2056" spans="1:4" ht="24" customHeight="1">
      <c r="A2056" t="str">
        <f>"10512020073014552131081"</f>
        <v>10512020073014552131081</v>
      </c>
      <c r="B2056" t="s">
        <v>21</v>
      </c>
      <c r="C2056" t="str">
        <f>"王译若"</f>
        <v>王译若</v>
      </c>
      <c r="D2056" t="str">
        <f>"女"</f>
        <v>女</v>
      </c>
    </row>
    <row r="2057" spans="1:4" ht="24" customHeight="1">
      <c r="A2057" t="str">
        <f>"10512020073014563731082"</f>
        <v>10512020073014563731082</v>
      </c>
      <c r="B2057" t="s">
        <v>35</v>
      </c>
      <c r="C2057" t="str">
        <f>"雷佳"</f>
        <v>雷佳</v>
      </c>
      <c r="D2057" t="str">
        <f>"女"</f>
        <v>女</v>
      </c>
    </row>
    <row r="2058" spans="1:4" ht="24" customHeight="1">
      <c r="A2058" t="str">
        <f>"10512020073014583331083"</f>
        <v>10512020073014583331083</v>
      </c>
      <c r="B2058" t="s">
        <v>20</v>
      </c>
      <c r="C2058" t="str">
        <f>"唐旭"</f>
        <v>唐旭</v>
      </c>
      <c r="D2058" t="str">
        <f>"男"</f>
        <v>男</v>
      </c>
    </row>
    <row r="2059" spans="1:4" ht="24" customHeight="1">
      <c r="A2059" t="str">
        <f>"10512020073015012531086"</f>
        <v>10512020073015012531086</v>
      </c>
      <c r="B2059" t="s">
        <v>41</v>
      </c>
      <c r="C2059" t="str">
        <f>"徐颖"</f>
        <v>徐颖</v>
      </c>
      <c r="D2059" t="str">
        <f>"女"</f>
        <v>女</v>
      </c>
    </row>
    <row r="2060" spans="1:4" ht="24" customHeight="1">
      <c r="A2060" t="str">
        <f>"10512020073015050731087"</f>
        <v>10512020073015050731087</v>
      </c>
      <c r="B2060" t="s">
        <v>7</v>
      </c>
      <c r="C2060" t="str">
        <f>"周明扬"</f>
        <v>周明扬</v>
      </c>
      <c r="D2060" t="str">
        <f>"男"</f>
        <v>男</v>
      </c>
    </row>
    <row r="2061" spans="1:4" ht="24" customHeight="1">
      <c r="A2061" t="str">
        <f>"10512020073015054431088"</f>
        <v>10512020073015054431088</v>
      </c>
      <c r="B2061" t="s">
        <v>21</v>
      </c>
      <c r="C2061" t="str">
        <f>"朱德芬"</f>
        <v>朱德芬</v>
      </c>
      <c r="D2061" t="str">
        <f t="shared" ref="D2061:D2066" si="41">"女"</f>
        <v>女</v>
      </c>
    </row>
    <row r="2062" spans="1:4" ht="24" customHeight="1">
      <c r="A2062" t="str">
        <f>"10512020073015063331089"</f>
        <v>10512020073015063331089</v>
      </c>
      <c r="B2062" t="s">
        <v>9</v>
      </c>
      <c r="C2062" t="str">
        <f>"孙雪玲"</f>
        <v>孙雪玲</v>
      </c>
      <c r="D2062" t="str">
        <f t="shared" si="41"/>
        <v>女</v>
      </c>
    </row>
    <row r="2063" spans="1:4" ht="24" customHeight="1">
      <c r="A2063" t="str">
        <f>"10512020073015074431090"</f>
        <v>10512020073015074431090</v>
      </c>
      <c r="B2063" t="s">
        <v>60</v>
      </c>
      <c r="C2063" t="str">
        <f>"肖艳"</f>
        <v>肖艳</v>
      </c>
      <c r="D2063" t="str">
        <f t="shared" si="41"/>
        <v>女</v>
      </c>
    </row>
    <row r="2064" spans="1:4" ht="24" customHeight="1">
      <c r="A2064" t="str">
        <f>"10512020073015080131091"</f>
        <v>10512020073015080131091</v>
      </c>
      <c r="B2064" t="s">
        <v>8</v>
      </c>
      <c r="C2064" t="str">
        <f>"张晓霞"</f>
        <v>张晓霞</v>
      </c>
      <c r="D2064" t="str">
        <f t="shared" si="41"/>
        <v>女</v>
      </c>
    </row>
    <row r="2065" spans="1:4" ht="24" customHeight="1">
      <c r="A2065" t="str">
        <f>"10512020073015083931092"</f>
        <v>10512020073015083931092</v>
      </c>
      <c r="B2065" t="s">
        <v>39</v>
      </c>
      <c r="C2065" t="str">
        <f>"李欢"</f>
        <v>李欢</v>
      </c>
      <c r="D2065" t="str">
        <f t="shared" si="41"/>
        <v>女</v>
      </c>
    </row>
    <row r="2066" spans="1:4" ht="24" customHeight="1">
      <c r="A2066" t="str">
        <f>"10512020073015122031093"</f>
        <v>10512020073015122031093</v>
      </c>
      <c r="B2066" t="s">
        <v>18</v>
      </c>
      <c r="C2066" t="str">
        <f>"刘娇"</f>
        <v>刘娇</v>
      </c>
      <c r="D2066" t="str">
        <f t="shared" si="41"/>
        <v>女</v>
      </c>
    </row>
    <row r="2067" spans="1:4" ht="24" customHeight="1">
      <c r="A2067" t="str">
        <f>"10512020073015163831095"</f>
        <v>10512020073015163831095</v>
      </c>
      <c r="B2067" t="s">
        <v>11</v>
      </c>
      <c r="C2067" t="str">
        <f>"李晶晶"</f>
        <v>李晶晶</v>
      </c>
      <c r="D2067" t="str">
        <f>"男"</f>
        <v>男</v>
      </c>
    </row>
    <row r="2068" spans="1:4" ht="24" customHeight="1">
      <c r="A2068" t="str">
        <f>"10512020073015165331096"</f>
        <v>10512020073015165331096</v>
      </c>
      <c r="B2068" t="s">
        <v>16</v>
      </c>
      <c r="C2068" t="str">
        <f>"邓小龙"</f>
        <v>邓小龙</v>
      </c>
      <c r="D2068" t="str">
        <f>"男"</f>
        <v>男</v>
      </c>
    </row>
    <row r="2069" spans="1:4" ht="24" customHeight="1">
      <c r="A2069" t="str">
        <f>"10512020073015175831097"</f>
        <v>10512020073015175831097</v>
      </c>
      <c r="B2069" t="s">
        <v>10</v>
      </c>
      <c r="C2069" t="str">
        <f>"熊晶晶"</f>
        <v>熊晶晶</v>
      </c>
      <c r="D2069" t="str">
        <f>"女"</f>
        <v>女</v>
      </c>
    </row>
    <row r="2070" spans="1:4" ht="24" customHeight="1">
      <c r="A2070" t="str">
        <f>"10512020073015184931098"</f>
        <v>10512020073015184931098</v>
      </c>
      <c r="B2070" t="s">
        <v>9</v>
      </c>
      <c r="C2070" t="str">
        <f>"邹芷馨"</f>
        <v>邹芷馨</v>
      </c>
      <c r="D2070" t="str">
        <f>"男"</f>
        <v>男</v>
      </c>
    </row>
    <row r="2071" spans="1:4" ht="24" customHeight="1">
      <c r="A2071" t="str">
        <f>"10512020073015203431099"</f>
        <v>10512020073015203431099</v>
      </c>
      <c r="B2071" t="s">
        <v>20</v>
      </c>
      <c r="C2071" t="str">
        <f>"雷小艺"</f>
        <v>雷小艺</v>
      </c>
      <c r="D2071" t="str">
        <f>"女"</f>
        <v>女</v>
      </c>
    </row>
    <row r="2072" spans="1:4" ht="24" customHeight="1">
      <c r="A2072" t="str">
        <f>"10512020073015220431100"</f>
        <v>10512020073015220431100</v>
      </c>
      <c r="B2072" t="s">
        <v>13</v>
      </c>
      <c r="C2072" t="str">
        <f>"李双双"</f>
        <v>李双双</v>
      </c>
      <c r="D2072" t="str">
        <f>"女"</f>
        <v>女</v>
      </c>
    </row>
    <row r="2073" spans="1:4" ht="24" customHeight="1">
      <c r="A2073" t="str">
        <f>"10512020073015223331101"</f>
        <v>10512020073015223331101</v>
      </c>
      <c r="B2073" t="s">
        <v>13</v>
      </c>
      <c r="C2073" t="str">
        <f>"伍孟瑶"</f>
        <v>伍孟瑶</v>
      </c>
      <c r="D2073" t="str">
        <f>"女"</f>
        <v>女</v>
      </c>
    </row>
    <row r="2074" spans="1:4" ht="24" customHeight="1">
      <c r="A2074" t="str">
        <f>"10512020073015235331102"</f>
        <v>10512020073015235331102</v>
      </c>
      <c r="B2074" t="s">
        <v>50</v>
      </c>
      <c r="C2074" t="str">
        <f>"姚泽宇"</f>
        <v>姚泽宇</v>
      </c>
      <c r="D2074" t="str">
        <f>"男"</f>
        <v>男</v>
      </c>
    </row>
    <row r="2075" spans="1:4" ht="24" customHeight="1">
      <c r="A2075" t="str">
        <f>"10512020073015241031103"</f>
        <v>10512020073015241031103</v>
      </c>
      <c r="B2075" t="s">
        <v>23</v>
      </c>
      <c r="C2075" t="str">
        <f>"廖屹帆"</f>
        <v>廖屹帆</v>
      </c>
      <c r="D2075" t="str">
        <f>"女"</f>
        <v>女</v>
      </c>
    </row>
    <row r="2076" spans="1:4" ht="24" customHeight="1">
      <c r="A2076" t="str">
        <f>"10512020073015241531104"</f>
        <v>10512020073015241531104</v>
      </c>
      <c r="B2076" t="s">
        <v>6</v>
      </c>
      <c r="C2076" t="str">
        <f>"吴东芹"</f>
        <v>吴东芹</v>
      </c>
      <c r="D2076" t="str">
        <f>"女"</f>
        <v>女</v>
      </c>
    </row>
    <row r="2077" spans="1:4" ht="24" customHeight="1">
      <c r="A2077" t="str">
        <f>"10512020073015244631105"</f>
        <v>10512020073015244631105</v>
      </c>
      <c r="B2077" t="s">
        <v>20</v>
      </c>
      <c r="C2077" t="str">
        <f>"曾洁"</f>
        <v>曾洁</v>
      </c>
      <c r="D2077" t="str">
        <f>"女"</f>
        <v>女</v>
      </c>
    </row>
    <row r="2078" spans="1:4" ht="24" customHeight="1">
      <c r="A2078" t="str">
        <f>"10512020073015254031106"</f>
        <v>10512020073015254031106</v>
      </c>
      <c r="B2078" t="s">
        <v>34</v>
      </c>
      <c r="C2078" t="str">
        <f>"唐皙雯"</f>
        <v>唐皙雯</v>
      </c>
      <c r="D2078" t="str">
        <f>"女"</f>
        <v>女</v>
      </c>
    </row>
    <row r="2079" spans="1:4" ht="24" customHeight="1">
      <c r="A2079" t="str">
        <f>"10512020073015261131107"</f>
        <v>10512020073015261131107</v>
      </c>
      <c r="B2079" t="s">
        <v>18</v>
      </c>
      <c r="C2079" t="str">
        <f>"钦芳云"</f>
        <v>钦芳云</v>
      </c>
      <c r="D2079" t="str">
        <f t="shared" ref="D2079:D2085" si="42">"男"</f>
        <v>男</v>
      </c>
    </row>
    <row r="2080" spans="1:4" ht="24" customHeight="1">
      <c r="A2080" t="str">
        <f>"10512020073015270531108"</f>
        <v>10512020073015270531108</v>
      </c>
      <c r="B2080" t="s">
        <v>12</v>
      </c>
      <c r="C2080" t="str">
        <f>"何飞鹏"</f>
        <v>何飞鹏</v>
      </c>
      <c r="D2080" t="str">
        <f t="shared" si="42"/>
        <v>男</v>
      </c>
    </row>
    <row r="2081" spans="1:4" ht="24" customHeight="1">
      <c r="A2081" t="str">
        <f>"10512020073015275631109"</f>
        <v>10512020073015275631109</v>
      </c>
      <c r="B2081" t="s">
        <v>14</v>
      </c>
      <c r="C2081" t="str">
        <f>"熊孟蓉"</f>
        <v>熊孟蓉</v>
      </c>
      <c r="D2081" t="str">
        <f t="shared" si="42"/>
        <v>男</v>
      </c>
    </row>
    <row r="2082" spans="1:4" ht="24" customHeight="1">
      <c r="A2082" t="str">
        <f>"10512020073015283631111"</f>
        <v>10512020073015283631111</v>
      </c>
      <c r="B2082" t="s">
        <v>12</v>
      </c>
      <c r="C2082" t="str">
        <f>"马先桂"</f>
        <v>马先桂</v>
      </c>
      <c r="D2082" t="str">
        <f t="shared" si="42"/>
        <v>男</v>
      </c>
    </row>
    <row r="2083" spans="1:4" ht="24" customHeight="1">
      <c r="A2083" t="str">
        <f>"10512020073015283931112"</f>
        <v>10512020073015283931112</v>
      </c>
      <c r="B2083" t="s">
        <v>5</v>
      </c>
      <c r="C2083" t="str">
        <f>"梁绪成"</f>
        <v>梁绪成</v>
      </c>
      <c r="D2083" t="str">
        <f t="shared" si="42"/>
        <v>男</v>
      </c>
    </row>
    <row r="2084" spans="1:4" ht="24" customHeight="1">
      <c r="A2084" t="str">
        <f>"10512020073015285931113"</f>
        <v>10512020073015285931113</v>
      </c>
      <c r="B2084" t="s">
        <v>30</v>
      </c>
      <c r="C2084" t="str">
        <f>"李保林"</f>
        <v>李保林</v>
      </c>
      <c r="D2084" t="str">
        <f t="shared" si="42"/>
        <v>男</v>
      </c>
    </row>
    <row r="2085" spans="1:4" ht="24" customHeight="1">
      <c r="A2085" t="str">
        <f>"10512020073015290631114"</f>
        <v>10512020073015290631114</v>
      </c>
      <c r="B2085" t="s">
        <v>32</v>
      </c>
      <c r="C2085" t="str">
        <f>"张明礼"</f>
        <v>张明礼</v>
      </c>
      <c r="D2085" t="str">
        <f t="shared" si="42"/>
        <v>男</v>
      </c>
    </row>
    <row r="2086" spans="1:4" ht="24" customHeight="1">
      <c r="A2086" t="str">
        <f>"10512020073015293131115"</f>
        <v>10512020073015293131115</v>
      </c>
      <c r="B2086" t="s">
        <v>16</v>
      </c>
      <c r="C2086" t="str">
        <f>"郭景洁"</f>
        <v>郭景洁</v>
      </c>
      <c r="D2086" t="str">
        <f>"女"</f>
        <v>女</v>
      </c>
    </row>
    <row r="2087" spans="1:4" ht="24" customHeight="1">
      <c r="A2087" t="str">
        <f>"10512020073015300731116"</f>
        <v>10512020073015300731116</v>
      </c>
      <c r="B2087" t="s">
        <v>16</v>
      </c>
      <c r="C2087" t="str">
        <f>"陈海林"</f>
        <v>陈海林</v>
      </c>
      <c r="D2087" t="str">
        <f>"男"</f>
        <v>男</v>
      </c>
    </row>
    <row r="2088" spans="1:4" ht="24" customHeight="1">
      <c r="A2088" t="str">
        <f>"10512020073015315731117"</f>
        <v>10512020073015315731117</v>
      </c>
      <c r="B2088" t="s">
        <v>11</v>
      </c>
      <c r="C2088" t="str">
        <f>"谢婵"</f>
        <v>谢婵</v>
      </c>
      <c r="D2088" t="str">
        <f t="shared" ref="D2088:D2095" si="43">"女"</f>
        <v>女</v>
      </c>
    </row>
    <row r="2089" spans="1:4" ht="24" customHeight="1">
      <c r="A2089" t="str">
        <f>"10512020073015322131118"</f>
        <v>10512020073015322131118</v>
      </c>
      <c r="B2089" t="s">
        <v>26</v>
      </c>
      <c r="C2089" t="str">
        <f>"刘烨"</f>
        <v>刘烨</v>
      </c>
      <c r="D2089" t="str">
        <f t="shared" si="43"/>
        <v>女</v>
      </c>
    </row>
    <row r="2090" spans="1:4" ht="24" customHeight="1">
      <c r="A2090" t="str">
        <f>"10512020073015323031119"</f>
        <v>10512020073015323031119</v>
      </c>
      <c r="B2090" t="s">
        <v>60</v>
      </c>
      <c r="C2090" t="str">
        <f>"郑妍"</f>
        <v>郑妍</v>
      </c>
      <c r="D2090" t="str">
        <f t="shared" si="43"/>
        <v>女</v>
      </c>
    </row>
    <row r="2091" spans="1:4" ht="24" customHeight="1">
      <c r="A2091" t="str">
        <f>"10512020073015332531120"</f>
        <v>10512020073015332531120</v>
      </c>
      <c r="B2091" t="s">
        <v>5</v>
      </c>
      <c r="C2091" t="str">
        <f>"刘蓓"</f>
        <v>刘蓓</v>
      </c>
      <c r="D2091" t="str">
        <f t="shared" si="43"/>
        <v>女</v>
      </c>
    </row>
    <row r="2092" spans="1:4" ht="24" customHeight="1">
      <c r="A2092" t="str">
        <f>"10512020073015350531122"</f>
        <v>10512020073015350531122</v>
      </c>
      <c r="B2092" t="s">
        <v>14</v>
      </c>
      <c r="C2092" t="str">
        <f>"聂玲"</f>
        <v>聂玲</v>
      </c>
      <c r="D2092" t="str">
        <f t="shared" si="43"/>
        <v>女</v>
      </c>
    </row>
    <row r="2093" spans="1:4" ht="24" customHeight="1">
      <c r="A2093" t="str">
        <f>"10512020073015362431124"</f>
        <v>10512020073015362431124</v>
      </c>
      <c r="B2093" t="s">
        <v>7</v>
      </c>
      <c r="C2093" t="str">
        <f>"全慧芳"</f>
        <v>全慧芳</v>
      </c>
      <c r="D2093" t="str">
        <f t="shared" si="43"/>
        <v>女</v>
      </c>
    </row>
    <row r="2094" spans="1:4" ht="24" customHeight="1">
      <c r="A2094" t="str">
        <f>"10512020073015364631125"</f>
        <v>10512020073015364631125</v>
      </c>
      <c r="B2094" t="s">
        <v>54</v>
      </c>
      <c r="C2094" t="str">
        <f>"王钰婷"</f>
        <v>王钰婷</v>
      </c>
      <c r="D2094" t="str">
        <f t="shared" si="43"/>
        <v>女</v>
      </c>
    </row>
    <row r="2095" spans="1:4" ht="24" customHeight="1">
      <c r="A2095" t="str">
        <f>"10512020073015391331126"</f>
        <v>10512020073015391331126</v>
      </c>
      <c r="B2095" t="s">
        <v>7</v>
      </c>
      <c r="C2095" t="str">
        <f>"薛军"</f>
        <v>薛军</v>
      </c>
      <c r="D2095" t="str">
        <f t="shared" si="43"/>
        <v>女</v>
      </c>
    </row>
    <row r="2096" spans="1:4" ht="24" customHeight="1">
      <c r="A2096" t="str">
        <f>"10512020073015392831127"</f>
        <v>10512020073015392831127</v>
      </c>
      <c r="B2096" t="s">
        <v>5</v>
      </c>
      <c r="C2096" t="str">
        <f>"唐伟"</f>
        <v>唐伟</v>
      </c>
      <c r="D2096" t="str">
        <f>"男"</f>
        <v>男</v>
      </c>
    </row>
    <row r="2097" spans="1:4" ht="24" customHeight="1">
      <c r="A2097" t="str">
        <f>"10512020073015393231128"</f>
        <v>10512020073015393231128</v>
      </c>
      <c r="B2097" t="s">
        <v>53</v>
      </c>
      <c r="C2097" t="str">
        <f>"夏敏"</f>
        <v>夏敏</v>
      </c>
      <c r="D2097" t="str">
        <f>"女"</f>
        <v>女</v>
      </c>
    </row>
    <row r="2098" spans="1:4" ht="24" customHeight="1">
      <c r="A2098" t="str">
        <f>"10512020073015403831129"</f>
        <v>10512020073015403831129</v>
      </c>
      <c r="B2098" t="s">
        <v>60</v>
      </c>
      <c r="C2098" t="str">
        <f>"王旺"</f>
        <v>王旺</v>
      </c>
      <c r="D2098" t="str">
        <f>"女"</f>
        <v>女</v>
      </c>
    </row>
    <row r="2099" spans="1:4" ht="24" customHeight="1">
      <c r="A2099" t="str">
        <f>"10512020073015420531131"</f>
        <v>10512020073015420531131</v>
      </c>
      <c r="B2099" t="s">
        <v>10</v>
      </c>
      <c r="C2099" t="str">
        <f>"谭金铭"</f>
        <v>谭金铭</v>
      </c>
      <c r="D2099" t="str">
        <f>"男"</f>
        <v>男</v>
      </c>
    </row>
    <row r="2100" spans="1:4" ht="24" customHeight="1">
      <c r="A2100" t="str">
        <f>"10512020073015440431132"</f>
        <v>10512020073015440431132</v>
      </c>
      <c r="B2100" t="s">
        <v>12</v>
      </c>
      <c r="C2100" t="str">
        <f>"封晓彬"</f>
        <v>封晓彬</v>
      </c>
      <c r="D2100" t="str">
        <f>"女"</f>
        <v>女</v>
      </c>
    </row>
    <row r="2101" spans="1:4" ht="24" customHeight="1">
      <c r="A2101" t="str">
        <f>"10512020073015440831133"</f>
        <v>10512020073015440831133</v>
      </c>
      <c r="B2101" t="s">
        <v>32</v>
      </c>
      <c r="C2101" t="str">
        <f>"袁雅琴"</f>
        <v>袁雅琴</v>
      </c>
      <c r="D2101" t="str">
        <f>"女"</f>
        <v>女</v>
      </c>
    </row>
    <row r="2102" spans="1:4" ht="24" customHeight="1">
      <c r="A2102" t="str">
        <f>"10512020073015450131134"</f>
        <v>10512020073015450131134</v>
      </c>
      <c r="B2102" t="s">
        <v>13</v>
      </c>
      <c r="C2102" t="str">
        <f>"曾歆然"</f>
        <v>曾歆然</v>
      </c>
      <c r="D2102" t="str">
        <f>"女"</f>
        <v>女</v>
      </c>
    </row>
    <row r="2103" spans="1:4" ht="24" customHeight="1">
      <c r="A2103" t="str">
        <f>"10512020073015453131136"</f>
        <v>10512020073015453131136</v>
      </c>
      <c r="B2103" t="s">
        <v>6</v>
      </c>
      <c r="C2103" t="str">
        <f>"张广君"</f>
        <v>张广君</v>
      </c>
      <c r="D2103" t="str">
        <f>"男"</f>
        <v>男</v>
      </c>
    </row>
    <row r="2104" spans="1:4" ht="24" customHeight="1">
      <c r="A2104" t="str">
        <f>"10512020073015455331137"</f>
        <v>10512020073015455331137</v>
      </c>
      <c r="B2104" t="s">
        <v>20</v>
      </c>
      <c r="C2104" t="str">
        <f>"郭萌梦"</f>
        <v>郭萌梦</v>
      </c>
      <c r="D2104" t="str">
        <f>"女"</f>
        <v>女</v>
      </c>
    </row>
    <row r="2105" spans="1:4" ht="24" customHeight="1">
      <c r="A2105" t="str">
        <f>"10512020073015461031138"</f>
        <v>10512020073015461031138</v>
      </c>
      <c r="B2105" t="s">
        <v>13</v>
      </c>
      <c r="C2105" t="str">
        <f>"欧阳自强"</f>
        <v>欧阳自强</v>
      </c>
      <c r="D2105" t="str">
        <f>"男"</f>
        <v>男</v>
      </c>
    </row>
    <row r="2106" spans="1:4" ht="24" customHeight="1">
      <c r="A2106" t="str">
        <f>"10512020073015474031139"</f>
        <v>10512020073015474031139</v>
      </c>
      <c r="B2106" t="s">
        <v>19</v>
      </c>
      <c r="C2106" t="str">
        <f>"周逸婷"</f>
        <v>周逸婷</v>
      </c>
      <c r="D2106" t="str">
        <f>"女"</f>
        <v>女</v>
      </c>
    </row>
    <row r="2107" spans="1:4" ht="24" customHeight="1">
      <c r="A2107" t="str">
        <f>"10512020073015485231140"</f>
        <v>10512020073015485231140</v>
      </c>
      <c r="B2107" t="s">
        <v>20</v>
      </c>
      <c r="C2107" t="str">
        <f>"王伟平"</f>
        <v>王伟平</v>
      </c>
      <c r="D2107" t="str">
        <f>"男"</f>
        <v>男</v>
      </c>
    </row>
    <row r="2108" spans="1:4" ht="24" customHeight="1">
      <c r="A2108" t="str">
        <f>"10512020073015491631141"</f>
        <v>10512020073015491631141</v>
      </c>
      <c r="B2108" t="s">
        <v>13</v>
      </c>
      <c r="C2108" t="str">
        <f>"刘亮亮"</f>
        <v>刘亮亮</v>
      </c>
      <c r="D2108" t="str">
        <f>"男"</f>
        <v>男</v>
      </c>
    </row>
    <row r="2109" spans="1:4" ht="24" customHeight="1">
      <c r="A2109" t="str">
        <f>"10512020073015515331143"</f>
        <v>10512020073015515331143</v>
      </c>
      <c r="B2109" t="s">
        <v>13</v>
      </c>
      <c r="C2109" t="str">
        <f>"黄超然"</f>
        <v>黄超然</v>
      </c>
      <c r="D2109" t="str">
        <f>"男"</f>
        <v>男</v>
      </c>
    </row>
    <row r="2110" spans="1:4" ht="24" customHeight="1">
      <c r="A2110" t="str">
        <f>"10512020073015530331144"</f>
        <v>10512020073015530331144</v>
      </c>
      <c r="B2110" t="s">
        <v>21</v>
      </c>
      <c r="C2110" t="str">
        <f>"丁麟淳"</f>
        <v>丁麟淳</v>
      </c>
      <c r="D2110" t="str">
        <f>"女"</f>
        <v>女</v>
      </c>
    </row>
    <row r="2111" spans="1:4" ht="24" customHeight="1">
      <c r="A2111" t="str">
        <f>"10512020073015530931145"</f>
        <v>10512020073015530931145</v>
      </c>
      <c r="B2111" t="s">
        <v>13</v>
      </c>
      <c r="C2111" t="str">
        <f>"傅洪洋"</f>
        <v>傅洪洋</v>
      </c>
      <c r="D2111" t="str">
        <f>"女"</f>
        <v>女</v>
      </c>
    </row>
    <row r="2112" spans="1:4" ht="24" customHeight="1">
      <c r="A2112" t="str">
        <f>"10512020073015554931146"</f>
        <v>10512020073015554931146</v>
      </c>
      <c r="B2112" t="s">
        <v>38</v>
      </c>
      <c r="C2112" t="str">
        <f>"刘芳"</f>
        <v>刘芳</v>
      </c>
      <c r="D2112" t="str">
        <f>"女"</f>
        <v>女</v>
      </c>
    </row>
    <row r="2113" spans="1:4" ht="24" customHeight="1">
      <c r="A2113" t="str">
        <f>"10512020073015572431147"</f>
        <v>10512020073015572431147</v>
      </c>
      <c r="B2113" t="s">
        <v>17</v>
      </c>
      <c r="C2113" t="str">
        <f>"王肖"</f>
        <v>王肖</v>
      </c>
      <c r="D2113" t="str">
        <f>"女"</f>
        <v>女</v>
      </c>
    </row>
    <row r="2114" spans="1:4" ht="24" customHeight="1">
      <c r="A2114" t="str">
        <f>"10512020073015574631148"</f>
        <v>10512020073015574631148</v>
      </c>
      <c r="B2114" t="s">
        <v>23</v>
      </c>
      <c r="C2114" t="str">
        <f>"周诗睿"</f>
        <v>周诗睿</v>
      </c>
      <c r="D2114" t="str">
        <f>"男"</f>
        <v>男</v>
      </c>
    </row>
    <row r="2115" spans="1:4" ht="24" customHeight="1">
      <c r="A2115" t="str">
        <f>"10512020073015581231149"</f>
        <v>10512020073015581231149</v>
      </c>
      <c r="B2115" t="s">
        <v>16</v>
      </c>
      <c r="C2115" t="str">
        <f>"黄李龙"</f>
        <v>黄李龙</v>
      </c>
      <c r="D2115" t="str">
        <f>"男"</f>
        <v>男</v>
      </c>
    </row>
  </sheetData>
  <autoFilter ref="A1:D2115"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XT365</cp:lastModifiedBy>
  <cp:lastPrinted>2020-07-31T00:50:53Z</cp:lastPrinted>
  <dcterms:created xsi:type="dcterms:W3CDTF">2020-07-31T00:20:42Z</dcterms:created>
  <dcterms:modified xsi:type="dcterms:W3CDTF">2020-07-31T03:46:49Z</dcterms:modified>
</cp:coreProperties>
</file>