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840"/>
  </bookViews>
  <sheets>
    <sheet name="面试人员名单" sheetId="5" r:id="rId1"/>
  </sheets>
  <definedNames>
    <definedName name="_xlnm.Print_Titles" localSheetId="0">面试人员名单!$2:$2</definedName>
  </definedNames>
  <calcPr calcId="125725"/>
</workbook>
</file>

<file path=xl/calcChain.xml><?xml version="1.0" encoding="utf-8"?>
<calcChain xmlns="http://schemas.openxmlformats.org/spreadsheetml/2006/main">
  <c r="D545" i="5"/>
  <c r="C545"/>
  <c r="D238"/>
  <c r="C238"/>
  <c r="D50"/>
  <c r="C50"/>
  <c r="D49"/>
  <c r="C49"/>
  <c r="D573"/>
  <c r="C573"/>
  <c r="D572"/>
  <c r="C572"/>
  <c r="D611"/>
  <c r="C611"/>
  <c r="D154"/>
  <c r="C154"/>
  <c r="D491"/>
  <c r="C491"/>
  <c r="D544"/>
  <c r="C544"/>
  <c r="D543"/>
  <c r="C543"/>
  <c r="D474"/>
  <c r="C474"/>
  <c r="D473"/>
  <c r="C473"/>
  <c r="D472"/>
  <c r="C472"/>
  <c r="D434"/>
  <c r="C434"/>
  <c r="D378"/>
  <c r="C378"/>
  <c r="D377"/>
  <c r="C377"/>
  <c r="D376"/>
  <c r="C376"/>
  <c r="D237"/>
  <c r="C237"/>
  <c r="D236"/>
  <c r="C236"/>
  <c r="D218"/>
  <c r="C218"/>
  <c r="D217"/>
  <c r="C217"/>
  <c r="D216"/>
  <c r="C216"/>
  <c r="D215"/>
  <c r="C215"/>
  <c r="D214"/>
  <c r="C214"/>
  <c r="D157"/>
  <c r="C157"/>
  <c r="D158"/>
  <c r="C158"/>
  <c r="D156"/>
  <c r="C156"/>
  <c r="D155"/>
  <c r="C155"/>
  <c r="D153"/>
  <c r="C153"/>
  <c r="D152"/>
  <c r="C152"/>
  <c r="D100"/>
  <c r="C100"/>
  <c r="D99"/>
  <c r="C99"/>
  <c r="D98"/>
  <c r="C98"/>
  <c r="D48"/>
  <c r="C48"/>
  <c r="D47"/>
  <c r="C47"/>
  <c r="D46"/>
  <c r="C46"/>
  <c r="D45"/>
  <c r="C45"/>
  <c r="D44"/>
  <c r="C44"/>
  <c r="D610"/>
  <c r="C610"/>
  <c r="D571"/>
  <c r="C571"/>
  <c r="D554"/>
  <c r="C554"/>
  <c r="C94"/>
  <c r="D94"/>
  <c r="C598"/>
  <c r="D598"/>
  <c r="C24"/>
  <c r="D24"/>
  <c r="C33"/>
  <c r="D33"/>
  <c r="C477"/>
  <c r="D477"/>
  <c r="C475"/>
  <c r="D475"/>
  <c r="C476"/>
  <c r="D476"/>
  <c r="C502"/>
  <c r="D502"/>
  <c r="C522"/>
  <c r="D522"/>
  <c r="C514"/>
  <c r="D514"/>
  <c r="C518"/>
  <c r="D518"/>
  <c r="C492"/>
  <c r="D492"/>
  <c r="C525"/>
  <c r="D525"/>
  <c r="C530"/>
  <c r="D530"/>
  <c r="C505"/>
  <c r="D505"/>
  <c r="C542"/>
  <c r="D542"/>
  <c r="C455"/>
  <c r="D455"/>
  <c r="C467"/>
  <c r="D467"/>
  <c r="C311"/>
  <c r="D311"/>
  <c r="C430"/>
  <c r="D430"/>
  <c r="C404"/>
  <c r="D404"/>
  <c r="C418"/>
  <c r="D418"/>
  <c r="C431"/>
  <c r="D431"/>
  <c r="C419"/>
  <c r="D419"/>
  <c r="C373"/>
  <c r="D373"/>
  <c r="C375"/>
  <c r="D375"/>
  <c r="C365"/>
  <c r="D365"/>
  <c r="C368"/>
  <c r="D368"/>
  <c r="C290"/>
  <c r="D290"/>
  <c r="C297"/>
  <c r="D297"/>
  <c r="C300"/>
  <c r="D300"/>
  <c r="C301"/>
  <c r="D301"/>
  <c r="C283"/>
  <c r="D283"/>
  <c r="C251"/>
  <c r="D251"/>
  <c r="C270"/>
  <c r="D270"/>
  <c r="C266"/>
  <c r="D266"/>
  <c r="C267"/>
  <c r="D267"/>
  <c r="C547"/>
  <c r="D547"/>
  <c r="C225"/>
  <c r="D225"/>
  <c r="C220"/>
  <c r="D220"/>
  <c r="C230"/>
  <c r="D230"/>
  <c r="C226"/>
  <c r="D226"/>
  <c r="C221"/>
  <c r="D221"/>
  <c r="C200"/>
  <c r="D200"/>
  <c r="C212"/>
  <c r="D212"/>
  <c r="C195"/>
  <c r="D195"/>
  <c r="C185"/>
  <c r="D185"/>
  <c r="C190"/>
  <c r="D190"/>
  <c r="C209"/>
  <c r="D209"/>
  <c r="C196"/>
  <c r="D196"/>
  <c r="C146"/>
  <c r="D146"/>
  <c r="C118"/>
  <c r="D118"/>
  <c r="C142"/>
  <c r="D142"/>
  <c r="C148"/>
  <c r="D148"/>
  <c r="C53"/>
  <c r="D53"/>
  <c r="C55"/>
  <c r="D55"/>
  <c r="C92"/>
  <c r="D92"/>
  <c r="C80"/>
  <c r="D80"/>
  <c r="C79"/>
  <c r="D79"/>
  <c r="C69"/>
  <c r="D69"/>
  <c r="C72"/>
  <c r="D72"/>
  <c r="C21"/>
  <c r="D21"/>
  <c r="C38"/>
  <c r="D38"/>
  <c r="C35"/>
  <c r="D35"/>
  <c r="C29"/>
  <c r="D29"/>
  <c r="C31"/>
  <c r="D31"/>
  <c r="C10"/>
  <c r="D10"/>
  <c r="C609"/>
  <c r="D609"/>
  <c r="C608"/>
  <c r="D608"/>
  <c r="C607"/>
  <c r="D607"/>
  <c r="C570"/>
  <c r="D570"/>
  <c r="C603"/>
  <c r="D603"/>
  <c r="C560"/>
  <c r="D560"/>
  <c r="C559"/>
  <c r="D559"/>
  <c r="C596"/>
  <c r="D596"/>
  <c r="C587"/>
  <c r="D587"/>
  <c r="C583"/>
  <c r="D583"/>
  <c r="C582"/>
  <c r="D582"/>
  <c r="C564"/>
  <c r="D564"/>
  <c r="C553"/>
  <c r="D553"/>
  <c r="C584"/>
  <c r="D584"/>
  <c r="D483"/>
  <c r="C483"/>
  <c r="D482"/>
  <c r="C482"/>
  <c r="D481"/>
  <c r="C481"/>
  <c r="D480"/>
  <c r="C480"/>
  <c r="D479"/>
  <c r="C479"/>
  <c r="D478"/>
  <c r="C478"/>
  <c r="D541"/>
  <c r="C541"/>
  <c r="D540"/>
  <c r="C540"/>
  <c r="D539"/>
  <c r="C539"/>
  <c r="D538"/>
  <c r="C538"/>
  <c r="D537"/>
  <c r="C537"/>
  <c r="D536"/>
  <c r="C536"/>
  <c r="D535"/>
  <c r="C535"/>
  <c r="D534"/>
  <c r="C534"/>
  <c r="D533"/>
  <c r="C533"/>
  <c r="D532"/>
  <c r="C532"/>
  <c r="D531"/>
  <c r="C531"/>
  <c r="D529"/>
  <c r="C529"/>
  <c r="D528"/>
  <c r="C528"/>
  <c r="D527"/>
  <c r="C527"/>
  <c r="D526"/>
  <c r="C526"/>
  <c r="D524"/>
  <c r="C524"/>
  <c r="D523"/>
  <c r="C523"/>
  <c r="D521"/>
  <c r="C521"/>
  <c r="D520"/>
  <c r="C520"/>
  <c r="D519"/>
  <c r="C519"/>
  <c r="D517"/>
  <c r="C517"/>
  <c r="D516"/>
  <c r="C516"/>
  <c r="D515"/>
  <c r="C515"/>
  <c r="D513"/>
  <c r="C513"/>
  <c r="D512"/>
  <c r="C512"/>
  <c r="D511"/>
  <c r="C511"/>
  <c r="D510"/>
  <c r="C510"/>
  <c r="D509"/>
  <c r="C509"/>
  <c r="D508"/>
  <c r="C508"/>
  <c r="D507"/>
  <c r="C507"/>
  <c r="D506"/>
  <c r="C506"/>
  <c r="D504"/>
  <c r="C504"/>
  <c r="D503"/>
  <c r="C503"/>
  <c r="D501"/>
  <c r="C501"/>
  <c r="D500"/>
  <c r="C500"/>
  <c r="D499"/>
  <c r="C499"/>
  <c r="D498"/>
  <c r="C498"/>
  <c r="D497"/>
  <c r="C497"/>
  <c r="D496"/>
  <c r="C496"/>
  <c r="D495"/>
  <c r="C495"/>
  <c r="D494"/>
  <c r="C494"/>
  <c r="D493"/>
  <c r="C493"/>
  <c r="D471"/>
  <c r="C471"/>
  <c r="D470"/>
  <c r="C470"/>
  <c r="D469"/>
  <c r="C469"/>
  <c r="D468"/>
  <c r="C468"/>
  <c r="D466"/>
  <c r="C466"/>
  <c r="D465"/>
  <c r="C465"/>
  <c r="D464"/>
  <c r="C464"/>
  <c r="D463"/>
  <c r="C463"/>
  <c r="D462"/>
  <c r="C462"/>
  <c r="D461"/>
  <c r="C461"/>
  <c r="D460"/>
  <c r="C460"/>
  <c r="D459"/>
  <c r="C459"/>
  <c r="D458"/>
  <c r="C458"/>
  <c r="D457"/>
  <c r="C457"/>
  <c r="D456"/>
  <c r="C456"/>
  <c r="D454"/>
  <c r="C454"/>
  <c r="D453"/>
  <c r="C453"/>
  <c r="D452"/>
  <c r="C452"/>
  <c r="D451"/>
  <c r="C451"/>
  <c r="D450"/>
  <c r="C450"/>
  <c r="D449"/>
  <c r="C449"/>
  <c r="D448"/>
  <c r="C448"/>
  <c r="D447"/>
  <c r="C447"/>
  <c r="D446"/>
  <c r="C446"/>
  <c r="D445"/>
  <c r="C445"/>
  <c r="D444"/>
  <c r="C444"/>
  <c r="D443"/>
  <c r="C443"/>
  <c r="D442"/>
  <c r="C442"/>
  <c r="D441"/>
  <c r="C441"/>
  <c r="D440"/>
  <c r="C440"/>
  <c r="D439"/>
  <c r="C439"/>
  <c r="D438"/>
  <c r="C438"/>
  <c r="D437"/>
  <c r="C437"/>
  <c r="D436"/>
  <c r="C436"/>
  <c r="D435"/>
  <c r="C435"/>
  <c r="D322"/>
  <c r="C322"/>
  <c r="D321"/>
  <c r="C321"/>
  <c r="D320"/>
  <c r="C320"/>
  <c r="D319"/>
  <c r="C319"/>
  <c r="D318"/>
  <c r="C318"/>
  <c r="D317"/>
  <c r="C317"/>
  <c r="D316"/>
  <c r="C316"/>
  <c r="D315"/>
  <c r="C315"/>
  <c r="D314"/>
  <c r="C314"/>
  <c r="D313"/>
  <c r="C313"/>
  <c r="D312"/>
  <c r="C312"/>
  <c r="D309"/>
  <c r="C309"/>
  <c r="D308"/>
  <c r="C308"/>
  <c r="D307"/>
  <c r="C307"/>
  <c r="D306"/>
  <c r="C306"/>
  <c r="D305"/>
  <c r="C305"/>
  <c r="D433"/>
  <c r="C433"/>
  <c r="D432"/>
  <c r="C432"/>
  <c r="D429"/>
  <c r="C429"/>
  <c r="D428"/>
  <c r="C428"/>
  <c r="D427"/>
  <c r="C427"/>
  <c r="D426"/>
  <c r="C426"/>
  <c r="D425"/>
  <c r="C425"/>
  <c r="D424"/>
  <c r="C424"/>
  <c r="D423"/>
  <c r="C423"/>
  <c r="D422"/>
  <c r="C422"/>
  <c r="D421"/>
  <c r="C421"/>
  <c r="D420"/>
  <c r="C420"/>
  <c r="D417"/>
  <c r="C417"/>
  <c r="D416"/>
  <c r="C416"/>
  <c r="D415"/>
  <c r="C415"/>
  <c r="D414"/>
  <c r="C414"/>
  <c r="D413"/>
  <c r="C413"/>
  <c r="D412"/>
  <c r="C412"/>
  <c r="D411"/>
  <c r="C411"/>
  <c r="D410"/>
  <c r="C410"/>
  <c r="D409"/>
  <c r="C409"/>
  <c r="D408"/>
  <c r="C408"/>
  <c r="D407"/>
  <c r="C407"/>
  <c r="D406"/>
  <c r="C406"/>
  <c r="D405"/>
  <c r="C405"/>
  <c r="D403"/>
  <c r="C403"/>
  <c r="D402"/>
  <c r="C402"/>
  <c r="D401"/>
  <c r="C401"/>
  <c r="D400"/>
  <c r="C400"/>
  <c r="D399"/>
  <c r="C399"/>
  <c r="D398"/>
  <c r="C398"/>
  <c r="D397"/>
  <c r="C397"/>
  <c r="D396"/>
  <c r="C396"/>
  <c r="D395"/>
  <c r="C395"/>
  <c r="D394"/>
  <c r="C394"/>
  <c r="D393"/>
  <c r="C393"/>
  <c r="D392"/>
  <c r="C392"/>
  <c r="D391"/>
  <c r="C391"/>
  <c r="D390"/>
  <c r="C390"/>
  <c r="D389"/>
  <c r="C389"/>
  <c r="D388"/>
  <c r="C388"/>
  <c r="D387"/>
  <c r="C387"/>
  <c r="D386"/>
  <c r="C386"/>
  <c r="D385"/>
  <c r="C385"/>
  <c r="D384"/>
  <c r="C384"/>
  <c r="D383"/>
  <c r="C383"/>
  <c r="D382"/>
  <c r="C382"/>
  <c r="D381"/>
  <c r="C381"/>
  <c r="D380"/>
  <c r="C380"/>
  <c r="D379"/>
  <c r="C379"/>
  <c r="D374"/>
  <c r="C374"/>
  <c r="D372"/>
  <c r="C372"/>
  <c r="D371"/>
  <c r="C371"/>
  <c r="D370"/>
  <c r="C370"/>
  <c r="D369"/>
  <c r="C369"/>
  <c r="D367"/>
  <c r="C367"/>
  <c r="D366"/>
  <c r="C366"/>
  <c r="D364"/>
  <c r="C364"/>
  <c r="D363"/>
  <c r="C363"/>
  <c r="D362"/>
  <c r="C362"/>
  <c r="D361"/>
  <c r="C361"/>
  <c r="D360"/>
  <c r="C360"/>
  <c r="D359"/>
  <c r="C359"/>
  <c r="D358"/>
  <c r="C358"/>
  <c r="D357"/>
  <c r="C357"/>
  <c r="D356"/>
  <c r="C356"/>
  <c r="D355"/>
  <c r="C355"/>
  <c r="D354"/>
  <c r="C354"/>
  <c r="D353"/>
  <c r="C353"/>
  <c r="D352"/>
  <c r="C352"/>
  <c r="D351"/>
  <c r="C351"/>
  <c r="D350"/>
  <c r="C350"/>
  <c r="D349"/>
  <c r="C349"/>
  <c r="D348"/>
  <c r="C348"/>
  <c r="D347"/>
  <c r="C347"/>
  <c r="D346"/>
  <c r="C346"/>
  <c r="D345"/>
  <c r="C345"/>
  <c r="D344"/>
  <c r="C344"/>
  <c r="D343"/>
  <c r="C343"/>
  <c r="D342"/>
  <c r="C342"/>
  <c r="D341"/>
  <c r="C341"/>
  <c r="D340"/>
  <c r="C340"/>
  <c r="D339"/>
  <c r="C339"/>
  <c r="D338"/>
  <c r="C338"/>
  <c r="D337"/>
  <c r="C337"/>
  <c r="D336"/>
  <c r="C336"/>
  <c r="D335"/>
  <c r="C335"/>
  <c r="D334"/>
  <c r="C334"/>
  <c r="D333"/>
  <c r="C333"/>
  <c r="D332"/>
  <c r="C332"/>
  <c r="D331"/>
  <c r="C331"/>
  <c r="D330"/>
  <c r="C330"/>
  <c r="D329"/>
  <c r="C329"/>
  <c r="D328"/>
  <c r="C328"/>
  <c r="D327"/>
  <c r="C327"/>
  <c r="D326"/>
  <c r="C326"/>
  <c r="D325"/>
  <c r="C325"/>
  <c r="D324"/>
  <c r="C324"/>
  <c r="D323"/>
  <c r="C323"/>
  <c r="D304"/>
  <c r="C304"/>
  <c r="D303"/>
  <c r="C303"/>
  <c r="D302"/>
  <c r="C302"/>
  <c r="D299"/>
  <c r="C299"/>
  <c r="D298"/>
  <c r="C298"/>
  <c r="D296"/>
  <c r="C296"/>
  <c r="D295"/>
  <c r="C295"/>
  <c r="D294"/>
  <c r="C294"/>
  <c r="D293"/>
  <c r="C293"/>
  <c r="D292"/>
  <c r="C292"/>
  <c r="D291"/>
  <c r="C291"/>
  <c r="D289"/>
  <c r="C289"/>
  <c r="D288"/>
  <c r="C288"/>
  <c r="D287"/>
  <c r="C287"/>
  <c r="D286"/>
  <c r="C286"/>
  <c r="D285"/>
  <c r="C285"/>
  <c r="D284"/>
  <c r="C284"/>
  <c r="D282"/>
  <c r="C282"/>
  <c r="D281"/>
  <c r="C281"/>
  <c r="D280"/>
  <c r="C280"/>
  <c r="D279"/>
  <c r="C279"/>
  <c r="D278"/>
  <c r="C278"/>
  <c r="D277"/>
  <c r="C277"/>
  <c r="D276"/>
  <c r="C276"/>
  <c r="D275"/>
  <c r="C275"/>
  <c r="D274"/>
  <c r="C274"/>
  <c r="D273"/>
  <c r="C273"/>
  <c r="D272"/>
  <c r="C272"/>
  <c r="D271"/>
  <c r="C271"/>
  <c r="D269"/>
  <c r="C269"/>
  <c r="D268"/>
  <c r="C268"/>
  <c r="D265"/>
  <c r="C265"/>
  <c r="D264"/>
  <c r="C264"/>
  <c r="D263"/>
  <c r="C263"/>
  <c r="D262"/>
  <c r="C262"/>
  <c r="D261"/>
  <c r="C261"/>
  <c r="D260"/>
  <c r="C260"/>
  <c r="D259"/>
  <c r="C259"/>
  <c r="D258"/>
  <c r="C258"/>
  <c r="D257"/>
  <c r="C257"/>
  <c r="D256"/>
  <c r="C256"/>
  <c r="D255"/>
  <c r="C255"/>
  <c r="D254"/>
  <c r="C254"/>
  <c r="D253"/>
  <c r="C253"/>
  <c r="D252"/>
  <c r="C252"/>
  <c r="D250"/>
  <c r="C250"/>
  <c r="D249"/>
  <c r="C249"/>
  <c r="D248"/>
  <c r="C248"/>
  <c r="D247"/>
  <c r="C247"/>
  <c r="D246"/>
  <c r="C246"/>
  <c r="D245"/>
  <c r="C245"/>
  <c r="D244"/>
  <c r="C244"/>
  <c r="D243"/>
  <c r="C243"/>
  <c r="D242"/>
  <c r="C242"/>
  <c r="D241"/>
  <c r="C241"/>
  <c r="D240"/>
  <c r="C240"/>
  <c r="D239"/>
  <c r="C239"/>
  <c r="D235"/>
  <c r="C235"/>
  <c r="D234"/>
  <c r="C234"/>
  <c r="D233"/>
  <c r="C233"/>
  <c r="D232"/>
  <c r="C232"/>
  <c r="D231"/>
  <c r="C231"/>
  <c r="D229"/>
  <c r="C229"/>
  <c r="D228"/>
  <c r="C228"/>
  <c r="D227"/>
  <c r="C227"/>
  <c r="D224"/>
  <c r="C224"/>
  <c r="D223"/>
  <c r="C223"/>
  <c r="D222"/>
  <c r="C222"/>
  <c r="D219"/>
  <c r="C219"/>
  <c r="D213"/>
  <c r="C213"/>
  <c r="D211"/>
  <c r="C211"/>
  <c r="D210"/>
  <c r="C210"/>
  <c r="D208"/>
  <c r="C208"/>
  <c r="D207"/>
  <c r="C207"/>
  <c r="D206"/>
  <c r="C206"/>
  <c r="D205"/>
  <c r="C205"/>
  <c r="D204"/>
  <c r="C204"/>
  <c r="D203"/>
  <c r="C203"/>
  <c r="D202"/>
  <c r="C202"/>
  <c r="D201"/>
  <c r="C201"/>
  <c r="D199"/>
  <c r="C199"/>
  <c r="D198"/>
  <c r="C198"/>
  <c r="D197"/>
  <c r="C197"/>
  <c r="D194"/>
  <c r="C194"/>
  <c r="D193"/>
  <c r="C193"/>
  <c r="D192"/>
  <c r="C192"/>
  <c r="D191"/>
  <c r="C191"/>
  <c r="D189"/>
  <c r="C189"/>
  <c r="D188"/>
  <c r="C188"/>
  <c r="D187"/>
  <c r="C187"/>
  <c r="D186"/>
  <c r="C186"/>
  <c r="D184"/>
  <c r="C184"/>
  <c r="D183"/>
  <c r="C183"/>
  <c r="D182"/>
  <c r="C182"/>
  <c r="D181"/>
  <c r="C181"/>
  <c r="D180"/>
  <c r="C180"/>
  <c r="D179"/>
  <c r="C179"/>
  <c r="D178"/>
  <c r="C178"/>
  <c r="D177"/>
  <c r="C177"/>
  <c r="D176"/>
  <c r="C176"/>
  <c r="D175"/>
  <c r="C175"/>
  <c r="D174"/>
  <c r="C174"/>
  <c r="D173"/>
  <c r="C173"/>
  <c r="D172"/>
  <c r="C172"/>
  <c r="D171"/>
  <c r="C171"/>
  <c r="D170"/>
  <c r="C170"/>
  <c r="D169"/>
  <c r="C169"/>
  <c r="D168"/>
  <c r="C168"/>
  <c r="D167"/>
  <c r="C167"/>
  <c r="D166"/>
  <c r="C166"/>
  <c r="D165"/>
  <c r="C165"/>
  <c r="D164"/>
  <c r="C164"/>
  <c r="D163"/>
  <c r="C163"/>
  <c r="D162"/>
  <c r="C162"/>
  <c r="D161"/>
  <c r="C161"/>
  <c r="D160"/>
  <c r="C160"/>
  <c r="C159"/>
  <c r="D151"/>
  <c r="C151"/>
  <c r="D150"/>
  <c r="C150"/>
  <c r="D149"/>
  <c r="C149"/>
  <c r="D147"/>
  <c r="C147"/>
  <c r="D145"/>
  <c r="C145"/>
  <c r="D144"/>
  <c r="C144"/>
  <c r="D143"/>
  <c r="C143"/>
  <c r="D141"/>
  <c r="C141"/>
  <c r="D140"/>
  <c r="C140"/>
  <c r="D139"/>
  <c r="C139"/>
  <c r="D138"/>
  <c r="C138"/>
  <c r="D137"/>
  <c r="C137"/>
  <c r="D136"/>
  <c r="C136"/>
  <c r="D135"/>
  <c r="C135"/>
  <c r="D134"/>
  <c r="C134"/>
  <c r="D133"/>
  <c r="C133"/>
  <c r="D132"/>
  <c r="C132"/>
  <c r="D131"/>
  <c r="C131"/>
  <c r="D130"/>
  <c r="C130"/>
  <c r="D129"/>
  <c r="C129"/>
  <c r="D128"/>
  <c r="C128"/>
  <c r="D127"/>
  <c r="C127"/>
  <c r="D126"/>
  <c r="C126"/>
  <c r="D125"/>
  <c r="C125"/>
  <c r="D124"/>
  <c r="C124"/>
  <c r="D123"/>
  <c r="C123"/>
  <c r="D122"/>
  <c r="C122"/>
  <c r="D121"/>
  <c r="C121"/>
  <c r="D120"/>
  <c r="C120"/>
  <c r="D119"/>
  <c r="C119"/>
  <c r="D117"/>
  <c r="C117"/>
  <c r="D116"/>
  <c r="C116"/>
  <c r="D115"/>
  <c r="C115"/>
  <c r="D114"/>
  <c r="C114"/>
  <c r="D113"/>
  <c r="C113"/>
  <c r="D112"/>
  <c r="C112"/>
  <c r="D111"/>
  <c r="C111"/>
  <c r="D110"/>
  <c r="C110"/>
  <c r="D109"/>
  <c r="C109"/>
  <c r="D108"/>
  <c r="C108"/>
  <c r="D107"/>
  <c r="C107"/>
  <c r="D106"/>
  <c r="C106"/>
  <c r="D105"/>
  <c r="C105"/>
  <c r="D104"/>
  <c r="C104"/>
  <c r="D103"/>
  <c r="C103"/>
  <c r="D102"/>
  <c r="C102"/>
  <c r="C101"/>
  <c r="D97"/>
  <c r="C97"/>
  <c r="D96"/>
  <c r="C96"/>
  <c r="D95"/>
  <c r="C95"/>
  <c r="D93"/>
  <c r="C93"/>
  <c r="D91"/>
  <c r="C91"/>
  <c r="D90"/>
  <c r="C90"/>
  <c r="D89"/>
  <c r="C89"/>
  <c r="D88"/>
  <c r="C88"/>
  <c r="D87"/>
  <c r="C87"/>
  <c r="D86"/>
  <c r="C86"/>
  <c r="D85"/>
  <c r="C85"/>
  <c r="D84"/>
  <c r="C84"/>
  <c r="D83"/>
  <c r="C83"/>
  <c r="D82"/>
  <c r="C82"/>
  <c r="D81"/>
  <c r="C81"/>
  <c r="D78"/>
  <c r="C78"/>
  <c r="D77"/>
  <c r="C77"/>
  <c r="D76"/>
  <c r="C76"/>
  <c r="D75"/>
  <c r="C75"/>
  <c r="D74"/>
  <c r="C74"/>
  <c r="D73"/>
  <c r="C73"/>
  <c r="D71"/>
  <c r="C71"/>
  <c r="D70"/>
  <c r="C70"/>
  <c r="D68"/>
  <c r="C68"/>
  <c r="D67"/>
  <c r="C67"/>
  <c r="D66"/>
  <c r="C66"/>
  <c r="D65"/>
  <c r="C65"/>
  <c r="D64"/>
  <c r="C64"/>
  <c r="D63"/>
  <c r="C63"/>
  <c r="D62"/>
  <c r="C62"/>
  <c r="D61"/>
  <c r="C61"/>
  <c r="D60"/>
  <c r="C60"/>
  <c r="D59"/>
  <c r="C59"/>
  <c r="D58"/>
  <c r="C58"/>
  <c r="D57"/>
  <c r="C57"/>
  <c r="D56"/>
  <c r="C56"/>
  <c r="D54"/>
  <c r="C54"/>
  <c r="D52"/>
  <c r="C52"/>
  <c r="D51"/>
  <c r="C51"/>
  <c r="D43"/>
  <c r="C43"/>
  <c r="D42"/>
  <c r="C42"/>
  <c r="D41"/>
  <c r="C41"/>
  <c r="D40"/>
  <c r="C40"/>
  <c r="D39"/>
  <c r="C39"/>
  <c r="D37"/>
  <c r="C37"/>
  <c r="D36"/>
  <c r="C36"/>
  <c r="D34"/>
  <c r="C34"/>
  <c r="D32"/>
  <c r="C32"/>
  <c r="D30"/>
  <c r="C30"/>
  <c r="D28"/>
  <c r="C28"/>
  <c r="D27"/>
  <c r="C27"/>
  <c r="D26"/>
  <c r="C26"/>
  <c r="D25"/>
  <c r="C25"/>
  <c r="D23"/>
  <c r="C23"/>
  <c r="D22"/>
  <c r="C22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9"/>
  <c r="C9"/>
  <c r="D8"/>
  <c r="C8"/>
  <c r="D7"/>
  <c r="C7"/>
  <c r="D6"/>
  <c r="C6"/>
  <c r="D5"/>
  <c r="C5"/>
  <c r="D4"/>
  <c r="C4"/>
  <c r="D3"/>
  <c r="C3"/>
  <c r="D577"/>
  <c r="C577"/>
  <c r="D576"/>
  <c r="C576"/>
  <c r="D606"/>
  <c r="C606"/>
  <c r="D605"/>
  <c r="C605"/>
  <c r="D569"/>
  <c r="C569"/>
  <c r="D568"/>
  <c r="C568"/>
  <c r="D567"/>
  <c r="C567"/>
  <c r="D604"/>
  <c r="C604"/>
  <c r="D602"/>
  <c r="C602"/>
  <c r="D601"/>
  <c r="C601"/>
  <c r="D600"/>
  <c r="C600"/>
  <c r="D599"/>
  <c r="C599"/>
  <c r="D558"/>
  <c r="C558"/>
  <c r="D557"/>
  <c r="C557"/>
  <c r="D556"/>
  <c r="C556"/>
  <c r="D555"/>
  <c r="C555"/>
  <c r="D552"/>
  <c r="C552"/>
  <c r="D593"/>
  <c r="C593"/>
  <c r="D590"/>
  <c r="C590"/>
  <c r="D589"/>
  <c r="C589"/>
  <c r="D588"/>
  <c r="C588"/>
  <c r="D586"/>
  <c r="C586"/>
  <c r="D490"/>
  <c r="C490"/>
  <c r="D489"/>
  <c r="C489"/>
  <c r="D488"/>
  <c r="C488"/>
  <c r="D487"/>
  <c r="C487"/>
  <c r="D486"/>
  <c r="C486"/>
  <c r="D485"/>
  <c r="C485"/>
  <c r="D484"/>
  <c r="C484"/>
  <c r="D549"/>
  <c r="C549"/>
  <c r="D548"/>
  <c r="C548"/>
  <c r="D581"/>
  <c r="C581"/>
  <c r="D580"/>
  <c r="C580"/>
  <c r="D579"/>
  <c r="C579"/>
  <c r="D578"/>
  <c r="C578"/>
  <c r="D575"/>
  <c r="C575"/>
  <c r="D574"/>
  <c r="C574"/>
  <c r="D566"/>
  <c r="C566"/>
  <c r="D565"/>
  <c r="C565"/>
  <c r="D597"/>
  <c r="C597"/>
  <c r="D563"/>
  <c r="C563"/>
  <c r="D562"/>
  <c r="C562"/>
  <c r="D561"/>
  <c r="C561"/>
  <c r="D551"/>
  <c r="C551"/>
  <c r="D550"/>
  <c r="C550"/>
  <c r="D595"/>
  <c r="C595"/>
  <c r="D594"/>
  <c r="C594"/>
  <c r="D592"/>
  <c r="C592"/>
  <c r="D591"/>
  <c r="C591"/>
  <c r="D585"/>
  <c r="C585"/>
  <c r="D546"/>
  <c r="C546"/>
</calcChain>
</file>

<file path=xl/sharedStrings.xml><?xml version="1.0" encoding="utf-8"?>
<sst xmlns="http://schemas.openxmlformats.org/spreadsheetml/2006/main" count="3058" uniqueCount="80">
  <si>
    <t>序号</t>
  </si>
  <si>
    <t>准考证号</t>
  </si>
  <si>
    <t>姓名</t>
  </si>
  <si>
    <t>岗位1_初中数学教师</t>
  </si>
  <si>
    <t>合格</t>
  </si>
  <si>
    <t>岗位2_初中政治教师</t>
  </si>
  <si>
    <t>岗位3_初中历史教师</t>
  </si>
  <si>
    <t>岗位4_初中地理教师</t>
  </si>
  <si>
    <t>岗位5_初中物理教师</t>
  </si>
  <si>
    <t>岗位6_初中化学教师</t>
  </si>
  <si>
    <t>岗位7_初中生物教师</t>
  </si>
  <si>
    <t>岗位8_初中音乐教师</t>
  </si>
  <si>
    <t>岗位9_初中体育教师</t>
  </si>
  <si>
    <t>岗位10_初中信息教师</t>
  </si>
  <si>
    <t>岗位11_初中语文教师</t>
  </si>
  <si>
    <t>岗位12_初中数学教师</t>
  </si>
  <si>
    <t>岗位13_初中英语教师</t>
  </si>
  <si>
    <t>岗位14_初中政治教师</t>
  </si>
  <si>
    <t>岗位15_初中历史教师</t>
  </si>
  <si>
    <t>岗位16_初中地理教师</t>
  </si>
  <si>
    <t>岗位17_初中物理教师</t>
  </si>
  <si>
    <t>岗位18_初中化学教师</t>
  </si>
  <si>
    <t>岗位20_初中音乐教师</t>
  </si>
  <si>
    <t>岗位21_初中体育教师</t>
  </si>
  <si>
    <t>岗位22_初中美术教师</t>
  </si>
  <si>
    <t>岗位23_初中信息教师</t>
  </si>
  <si>
    <t>岗位24_小学语文教师A</t>
  </si>
  <si>
    <t>岗位25_小学语文教师B</t>
  </si>
  <si>
    <t>岗位26_小学语文教师C</t>
  </si>
  <si>
    <t>岗位27_小学语文教师D</t>
  </si>
  <si>
    <t>岗位28_小学语文教师E</t>
  </si>
  <si>
    <t>岗位29_小学数学教师A</t>
  </si>
  <si>
    <t>岗位30_小学数学教师B</t>
  </si>
  <si>
    <t>岗位31_小学数学教师C</t>
  </si>
  <si>
    <t>岗位32_小学数学教师D</t>
  </si>
  <si>
    <t xml:space="preserve">合格 </t>
  </si>
  <si>
    <t>岗位33_小学数学教师E</t>
  </si>
  <si>
    <t>岗位34_小学英语教师A</t>
  </si>
  <si>
    <t>岗位35_小学英语教师B</t>
  </si>
  <si>
    <t>岗位36_小学英语教师C</t>
  </si>
  <si>
    <t>谭艳艳</t>
  </si>
  <si>
    <t>龙文蓉</t>
  </si>
  <si>
    <t>合格</t>
    <phoneticPr fontId="3" type="noConversion"/>
  </si>
  <si>
    <t>资格复核结果</t>
    <phoneticPr fontId="3" type="noConversion"/>
  </si>
  <si>
    <t>面试考场</t>
    <phoneticPr fontId="3" type="noConversion"/>
  </si>
  <si>
    <t>面试时间</t>
    <phoneticPr fontId="3" type="noConversion"/>
  </si>
  <si>
    <t>面试候考室</t>
    <phoneticPr fontId="3" type="noConversion"/>
  </si>
  <si>
    <t>7月22日</t>
    <phoneticPr fontId="3" type="noConversion"/>
  </si>
  <si>
    <t xml:space="preserve">面 试 人 员 名 单 </t>
    <phoneticPr fontId="3" type="noConversion"/>
  </si>
  <si>
    <t>7月22日</t>
    <phoneticPr fontId="3" type="noConversion"/>
  </si>
  <si>
    <t>合格</t>
    <phoneticPr fontId="3" type="noConversion"/>
  </si>
  <si>
    <t>7月22日</t>
    <phoneticPr fontId="3" type="noConversion"/>
  </si>
  <si>
    <t>合格</t>
    <phoneticPr fontId="3" type="noConversion"/>
  </si>
  <si>
    <t>7月22日</t>
    <phoneticPr fontId="3" type="noConversion"/>
  </si>
  <si>
    <t>7月23日</t>
    <phoneticPr fontId="3" type="noConversion"/>
  </si>
  <si>
    <t>合格</t>
    <phoneticPr fontId="3" type="noConversion"/>
  </si>
  <si>
    <t>合格</t>
    <phoneticPr fontId="3" type="noConversion"/>
  </si>
  <si>
    <t>报考岗位</t>
    <phoneticPr fontId="3" type="noConversion"/>
  </si>
  <si>
    <t>200620111911</t>
  </si>
  <si>
    <t>赵芊芊</t>
  </si>
  <si>
    <t>合格</t>
    <phoneticPr fontId="3" type="noConversion"/>
  </si>
  <si>
    <t>岗位33_小学数学教师E</t>
    <phoneticPr fontId="3" type="noConversion"/>
  </si>
  <si>
    <t>第一面试场</t>
    <phoneticPr fontId="3" type="noConversion"/>
  </si>
  <si>
    <t>第一候考室</t>
    <phoneticPr fontId="3" type="noConversion"/>
  </si>
  <si>
    <t>第二面试场</t>
    <phoneticPr fontId="3" type="noConversion"/>
  </si>
  <si>
    <t>第二候考室</t>
    <phoneticPr fontId="3" type="noConversion"/>
  </si>
  <si>
    <t>第三面试场</t>
    <phoneticPr fontId="3" type="noConversion"/>
  </si>
  <si>
    <t>第三候考室</t>
    <phoneticPr fontId="3" type="noConversion"/>
  </si>
  <si>
    <t>第三面试场</t>
    <phoneticPr fontId="3" type="noConversion"/>
  </si>
  <si>
    <t>第四面试场</t>
    <phoneticPr fontId="3" type="noConversion"/>
  </si>
  <si>
    <t>第四候考室</t>
    <phoneticPr fontId="3" type="noConversion"/>
  </si>
  <si>
    <t>第五面试场</t>
    <phoneticPr fontId="3" type="noConversion"/>
  </si>
  <si>
    <t>第五候考室</t>
    <phoneticPr fontId="3" type="noConversion"/>
  </si>
  <si>
    <t>第六面试场</t>
    <phoneticPr fontId="3" type="noConversion"/>
  </si>
  <si>
    <t>第六候考室</t>
    <phoneticPr fontId="3" type="noConversion"/>
  </si>
  <si>
    <t>第七面试场</t>
    <phoneticPr fontId="3" type="noConversion"/>
  </si>
  <si>
    <t>第七候考室</t>
    <phoneticPr fontId="3" type="noConversion"/>
  </si>
  <si>
    <t>第八面试场</t>
    <phoneticPr fontId="3" type="noConversion"/>
  </si>
  <si>
    <t>第八候考室</t>
    <phoneticPr fontId="3" type="noConversion"/>
  </si>
  <si>
    <t>7月23日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</si>
</sst>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等线"/>
      <charset val="134"/>
      <scheme val="minor"/>
    </font>
    <font>
      <sz val="9"/>
      <color rgb="FFFF0000"/>
      <name val="仿宋"/>
      <family val="3"/>
      <charset val="134"/>
    </font>
    <font>
      <sz val="9"/>
      <color theme="1"/>
      <name val="仿宋"/>
      <family val="3"/>
      <charset val="134"/>
    </font>
    <font>
      <sz val="9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22"/>
      <color theme="1"/>
      <name val="黑体"/>
      <family val="3"/>
      <charset val="134"/>
    </font>
    <font>
      <sz val="22"/>
      <color theme="1"/>
      <name val="黑体"/>
      <family val="3"/>
      <charset val="134"/>
    </font>
    <font>
      <b/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31" fontId="8" fillId="0" borderId="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31" fontId="8" fillId="0" borderId="3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2"/>
  <sheetViews>
    <sheetView tabSelected="1" workbookViewId="0">
      <selection activeCell="B3" sqref="B3"/>
    </sheetView>
  </sheetViews>
  <sheetFormatPr defaultColWidth="9" defaultRowHeight="30" customHeight="1"/>
  <cols>
    <col min="1" max="1" width="6" style="3" customWidth="1"/>
    <col min="2" max="2" width="20.25" style="4" customWidth="1"/>
    <col min="3" max="3" width="13.125" style="4" customWidth="1"/>
    <col min="4" max="4" width="8.625" style="4" customWidth="1"/>
    <col min="5" max="5" width="13" style="3" customWidth="1"/>
    <col min="6" max="6" width="12" style="6" customWidth="1"/>
    <col min="7" max="7" width="12.25" style="3" customWidth="1"/>
    <col min="8" max="8" width="12.375" style="3" customWidth="1"/>
    <col min="9" max="16384" width="9" style="3"/>
  </cols>
  <sheetData>
    <row r="1" spans="1:10" ht="53.25" customHeight="1">
      <c r="A1" s="30" t="s">
        <v>48</v>
      </c>
      <c r="B1" s="30"/>
      <c r="C1" s="30"/>
      <c r="D1" s="30"/>
      <c r="E1" s="31"/>
      <c r="F1" s="31"/>
      <c r="G1" s="31"/>
      <c r="H1" s="31"/>
    </row>
    <row r="2" spans="1:10" ht="42" customHeight="1">
      <c r="A2" s="7" t="s">
        <v>0</v>
      </c>
      <c r="B2" s="7" t="s">
        <v>57</v>
      </c>
      <c r="C2" s="7" t="s">
        <v>1</v>
      </c>
      <c r="D2" s="7" t="s">
        <v>2</v>
      </c>
      <c r="E2" s="7" t="s">
        <v>43</v>
      </c>
      <c r="F2" s="8" t="s">
        <v>45</v>
      </c>
      <c r="G2" s="7" t="s">
        <v>44</v>
      </c>
      <c r="H2" s="7" t="s">
        <v>46</v>
      </c>
    </row>
    <row r="3" spans="1:10" ht="45" customHeight="1">
      <c r="A3" s="9">
        <v>1</v>
      </c>
      <c r="B3" s="10" t="s">
        <v>26</v>
      </c>
      <c r="C3" s="10" t="str">
        <f>"200620120631"</f>
        <v>200620120631</v>
      </c>
      <c r="D3" s="10" t="str">
        <f>"洪娟"</f>
        <v>洪娟</v>
      </c>
      <c r="E3" s="11" t="s">
        <v>4</v>
      </c>
      <c r="F3" s="12" t="s">
        <v>47</v>
      </c>
      <c r="G3" s="13" t="s">
        <v>62</v>
      </c>
      <c r="H3" s="13" t="s">
        <v>63</v>
      </c>
    </row>
    <row r="4" spans="1:10" s="1" customFormat="1" ht="45" customHeight="1">
      <c r="A4" s="9">
        <v>2</v>
      </c>
      <c r="B4" s="14" t="s">
        <v>26</v>
      </c>
      <c r="C4" s="14" t="str">
        <f>"200620120612"</f>
        <v>200620120612</v>
      </c>
      <c r="D4" s="14" t="str">
        <f>"刘雷煜"</f>
        <v>刘雷煜</v>
      </c>
      <c r="E4" s="11" t="s">
        <v>4</v>
      </c>
      <c r="F4" s="12" t="s">
        <v>47</v>
      </c>
      <c r="G4" s="13" t="s">
        <v>62</v>
      </c>
      <c r="H4" s="13" t="s">
        <v>63</v>
      </c>
      <c r="J4" s="3"/>
    </row>
    <row r="5" spans="1:10" s="1" customFormat="1" ht="45" customHeight="1">
      <c r="A5" s="9">
        <v>3</v>
      </c>
      <c r="B5" s="14" t="s">
        <v>26</v>
      </c>
      <c r="C5" s="14" t="str">
        <f>"200620120103"</f>
        <v>200620120103</v>
      </c>
      <c r="D5" s="14" t="str">
        <f>"董丹丹"</f>
        <v>董丹丹</v>
      </c>
      <c r="E5" s="11" t="s">
        <v>4</v>
      </c>
      <c r="F5" s="12" t="s">
        <v>47</v>
      </c>
      <c r="G5" s="13" t="s">
        <v>62</v>
      </c>
      <c r="H5" s="13" t="s">
        <v>63</v>
      </c>
      <c r="J5" s="3"/>
    </row>
    <row r="6" spans="1:10" s="1" customFormat="1" ht="45" customHeight="1">
      <c r="A6" s="9">
        <v>4</v>
      </c>
      <c r="B6" s="14" t="s">
        <v>26</v>
      </c>
      <c r="C6" s="14" t="str">
        <f>"200620120102"</f>
        <v>200620120102</v>
      </c>
      <c r="D6" s="14" t="str">
        <f>"曾文娟"</f>
        <v>曾文娟</v>
      </c>
      <c r="E6" s="9" t="s">
        <v>4</v>
      </c>
      <c r="F6" s="12" t="s">
        <v>47</v>
      </c>
      <c r="G6" s="13" t="s">
        <v>62</v>
      </c>
      <c r="H6" s="13" t="s">
        <v>63</v>
      </c>
      <c r="J6" s="3"/>
    </row>
    <row r="7" spans="1:10" s="1" customFormat="1" ht="45" customHeight="1">
      <c r="A7" s="9">
        <v>5</v>
      </c>
      <c r="B7" s="14" t="s">
        <v>26</v>
      </c>
      <c r="C7" s="14" t="str">
        <f>"200620120126"</f>
        <v>200620120126</v>
      </c>
      <c r="D7" s="14" t="str">
        <f>"王双姣"</f>
        <v>王双姣</v>
      </c>
      <c r="E7" s="9" t="s">
        <v>4</v>
      </c>
      <c r="F7" s="12" t="s">
        <v>47</v>
      </c>
      <c r="G7" s="13" t="s">
        <v>62</v>
      </c>
      <c r="H7" s="13" t="s">
        <v>63</v>
      </c>
      <c r="J7" s="3"/>
    </row>
    <row r="8" spans="1:10" s="1" customFormat="1" ht="45" customHeight="1">
      <c r="A8" s="9">
        <v>6</v>
      </c>
      <c r="B8" s="14" t="s">
        <v>26</v>
      </c>
      <c r="C8" s="14" t="str">
        <f>"200620120219"</f>
        <v>200620120219</v>
      </c>
      <c r="D8" s="14" t="str">
        <f>"周芳"</f>
        <v>周芳</v>
      </c>
      <c r="E8" s="9" t="s">
        <v>4</v>
      </c>
      <c r="F8" s="12" t="s">
        <v>47</v>
      </c>
      <c r="G8" s="13" t="s">
        <v>62</v>
      </c>
      <c r="H8" s="13" t="s">
        <v>63</v>
      </c>
      <c r="J8" s="3"/>
    </row>
    <row r="9" spans="1:10" s="1" customFormat="1" ht="45" customHeight="1">
      <c r="A9" s="9">
        <v>7</v>
      </c>
      <c r="B9" s="14" t="s">
        <v>26</v>
      </c>
      <c r="C9" s="14" t="str">
        <f>"200620120215"</f>
        <v>200620120215</v>
      </c>
      <c r="D9" s="14" t="str">
        <f>"谭慧"</f>
        <v>谭慧</v>
      </c>
      <c r="E9" s="9" t="s">
        <v>4</v>
      </c>
      <c r="F9" s="12" t="s">
        <v>47</v>
      </c>
      <c r="G9" s="13" t="s">
        <v>62</v>
      </c>
      <c r="H9" s="13" t="s">
        <v>63</v>
      </c>
      <c r="J9" s="3"/>
    </row>
    <row r="10" spans="1:10" s="1" customFormat="1" ht="45" customHeight="1">
      <c r="A10" s="9">
        <v>8</v>
      </c>
      <c r="B10" s="14" t="s">
        <v>26</v>
      </c>
      <c r="C10" s="14" t="str">
        <f>"200620120530"</f>
        <v>200620120530</v>
      </c>
      <c r="D10" s="14" t="str">
        <f>"雷子薇"</f>
        <v>雷子薇</v>
      </c>
      <c r="E10" s="9" t="s">
        <v>4</v>
      </c>
      <c r="F10" s="12" t="s">
        <v>47</v>
      </c>
      <c r="G10" s="13" t="s">
        <v>62</v>
      </c>
      <c r="H10" s="13" t="s">
        <v>63</v>
      </c>
      <c r="J10" s="3"/>
    </row>
    <row r="11" spans="1:10" s="1" customFormat="1" ht="45" customHeight="1">
      <c r="A11" s="9">
        <v>9</v>
      </c>
      <c r="B11" s="14" t="s">
        <v>26</v>
      </c>
      <c r="C11" s="14" t="str">
        <f>"200620120332"</f>
        <v>200620120332</v>
      </c>
      <c r="D11" s="14" t="str">
        <f>"李优"</f>
        <v>李优</v>
      </c>
      <c r="E11" s="9" t="s">
        <v>4</v>
      </c>
      <c r="F11" s="12" t="s">
        <v>47</v>
      </c>
      <c r="G11" s="13" t="s">
        <v>62</v>
      </c>
      <c r="H11" s="13" t="s">
        <v>63</v>
      </c>
      <c r="J11" s="3"/>
    </row>
    <row r="12" spans="1:10" s="1" customFormat="1" ht="45" customHeight="1">
      <c r="A12" s="9">
        <v>10</v>
      </c>
      <c r="B12" s="14" t="s">
        <v>26</v>
      </c>
      <c r="C12" s="14" t="str">
        <f>"200620120619"</f>
        <v>200620120619</v>
      </c>
      <c r="D12" s="14" t="str">
        <f>"袁雅婷"</f>
        <v>袁雅婷</v>
      </c>
      <c r="E12" s="9" t="s">
        <v>4</v>
      </c>
      <c r="F12" s="12" t="s">
        <v>47</v>
      </c>
      <c r="G12" s="13" t="s">
        <v>62</v>
      </c>
      <c r="H12" s="13" t="s">
        <v>63</v>
      </c>
      <c r="J12" s="3"/>
    </row>
    <row r="13" spans="1:10" s="1" customFormat="1" ht="45" customHeight="1">
      <c r="A13" s="9">
        <v>11</v>
      </c>
      <c r="B13" s="14" t="s">
        <v>26</v>
      </c>
      <c r="C13" s="14" t="str">
        <f>"200620120415"</f>
        <v>200620120415</v>
      </c>
      <c r="D13" s="14" t="str">
        <f>"何娇丽"</f>
        <v>何娇丽</v>
      </c>
      <c r="E13" s="9" t="s">
        <v>4</v>
      </c>
      <c r="F13" s="12" t="s">
        <v>47</v>
      </c>
      <c r="G13" s="13" t="s">
        <v>62</v>
      </c>
      <c r="H13" s="13" t="s">
        <v>63</v>
      </c>
      <c r="J13" s="3"/>
    </row>
    <row r="14" spans="1:10" s="1" customFormat="1" ht="45" customHeight="1">
      <c r="A14" s="9">
        <v>12</v>
      </c>
      <c r="B14" s="14" t="s">
        <v>26</v>
      </c>
      <c r="C14" s="14" t="str">
        <f>"200620120609"</f>
        <v>200620120609</v>
      </c>
      <c r="D14" s="14" t="str">
        <f>"贺露平"</f>
        <v>贺露平</v>
      </c>
      <c r="E14" s="9" t="s">
        <v>4</v>
      </c>
      <c r="F14" s="12" t="s">
        <v>47</v>
      </c>
      <c r="G14" s="13" t="s">
        <v>62</v>
      </c>
      <c r="H14" s="13" t="s">
        <v>63</v>
      </c>
      <c r="J14" s="3"/>
    </row>
    <row r="15" spans="1:10" s="1" customFormat="1" ht="45" customHeight="1">
      <c r="A15" s="9">
        <v>13</v>
      </c>
      <c r="B15" s="14" t="s">
        <v>26</v>
      </c>
      <c r="C15" s="14" t="str">
        <f>"200620120605"</f>
        <v>200620120605</v>
      </c>
      <c r="D15" s="14" t="str">
        <f>"朱江婷"</f>
        <v>朱江婷</v>
      </c>
      <c r="E15" s="9" t="s">
        <v>4</v>
      </c>
      <c r="F15" s="12" t="s">
        <v>47</v>
      </c>
      <c r="G15" s="13" t="s">
        <v>62</v>
      </c>
      <c r="H15" s="13" t="s">
        <v>63</v>
      </c>
      <c r="J15" s="3"/>
    </row>
    <row r="16" spans="1:10" s="1" customFormat="1" ht="45" customHeight="1">
      <c r="A16" s="9">
        <v>14</v>
      </c>
      <c r="B16" s="14" t="s">
        <v>26</v>
      </c>
      <c r="C16" s="14" t="str">
        <f>"200620120303"</f>
        <v>200620120303</v>
      </c>
      <c r="D16" s="14" t="str">
        <f>"刘婧莹"</f>
        <v>刘婧莹</v>
      </c>
      <c r="E16" s="9" t="s">
        <v>4</v>
      </c>
      <c r="F16" s="12" t="s">
        <v>47</v>
      </c>
      <c r="G16" s="13" t="s">
        <v>62</v>
      </c>
      <c r="H16" s="13" t="s">
        <v>63</v>
      </c>
      <c r="J16" s="3"/>
    </row>
    <row r="17" spans="1:10" s="1" customFormat="1" ht="45" customHeight="1">
      <c r="A17" s="9">
        <v>15</v>
      </c>
      <c r="B17" s="14" t="s">
        <v>26</v>
      </c>
      <c r="C17" s="14" t="str">
        <f>"200620120229"</f>
        <v>200620120229</v>
      </c>
      <c r="D17" s="14" t="str">
        <f>"欧阳芬"</f>
        <v>欧阳芬</v>
      </c>
      <c r="E17" s="9" t="s">
        <v>4</v>
      </c>
      <c r="F17" s="12" t="s">
        <v>47</v>
      </c>
      <c r="G17" s="13" t="s">
        <v>62</v>
      </c>
      <c r="H17" s="13" t="s">
        <v>63</v>
      </c>
      <c r="J17" s="3"/>
    </row>
    <row r="18" spans="1:10" s="1" customFormat="1" ht="45" customHeight="1">
      <c r="A18" s="9">
        <v>16</v>
      </c>
      <c r="B18" s="14" t="s">
        <v>26</v>
      </c>
      <c r="C18" s="14" t="str">
        <f>"200620120516"</f>
        <v>200620120516</v>
      </c>
      <c r="D18" s="14" t="str">
        <f>"谢香"</f>
        <v>谢香</v>
      </c>
      <c r="E18" s="11" t="s">
        <v>4</v>
      </c>
      <c r="F18" s="12" t="s">
        <v>47</v>
      </c>
      <c r="G18" s="13" t="s">
        <v>62</v>
      </c>
      <c r="H18" s="13" t="s">
        <v>63</v>
      </c>
      <c r="J18" s="3"/>
    </row>
    <row r="19" spans="1:10" s="1" customFormat="1" ht="45" customHeight="1">
      <c r="A19" s="9">
        <v>17</v>
      </c>
      <c r="B19" s="14" t="s">
        <v>26</v>
      </c>
      <c r="C19" s="14" t="str">
        <f>"200620120614"</f>
        <v>200620120614</v>
      </c>
      <c r="D19" s="14" t="str">
        <f>"周斯旗"</f>
        <v>周斯旗</v>
      </c>
      <c r="E19" s="9" t="s">
        <v>4</v>
      </c>
      <c r="F19" s="12" t="s">
        <v>47</v>
      </c>
      <c r="G19" s="13" t="s">
        <v>62</v>
      </c>
      <c r="H19" s="13" t="s">
        <v>63</v>
      </c>
      <c r="J19" s="3"/>
    </row>
    <row r="20" spans="1:10" s="1" customFormat="1" ht="45" customHeight="1">
      <c r="A20" s="9">
        <v>18</v>
      </c>
      <c r="B20" s="14" t="s">
        <v>26</v>
      </c>
      <c r="C20" s="14" t="str">
        <f>"200620120603"</f>
        <v>200620120603</v>
      </c>
      <c r="D20" s="14" t="str">
        <f>"田梅"</f>
        <v>田梅</v>
      </c>
      <c r="E20" s="11" t="s">
        <v>4</v>
      </c>
      <c r="F20" s="12" t="s">
        <v>47</v>
      </c>
      <c r="G20" s="13" t="s">
        <v>62</v>
      </c>
      <c r="H20" s="13" t="s">
        <v>63</v>
      </c>
      <c r="J20" s="3"/>
    </row>
    <row r="21" spans="1:10" s="1" customFormat="1" ht="45" customHeight="1">
      <c r="A21" s="9">
        <v>19</v>
      </c>
      <c r="B21" s="14" t="s">
        <v>26</v>
      </c>
      <c r="C21" s="14" t="str">
        <f>"200620120514"</f>
        <v>200620120514</v>
      </c>
      <c r="D21" s="14" t="str">
        <f>"吴梦凡"</f>
        <v>吴梦凡</v>
      </c>
      <c r="E21" s="11" t="s">
        <v>4</v>
      </c>
      <c r="F21" s="12" t="s">
        <v>47</v>
      </c>
      <c r="G21" s="13" t="s">
        <v>62</v>
      </c>
      <c r="H21" s="13" t="s">
        <v>63</v>
      </c>
      <c r="J21" s="3"/>
    </row>
    <row r="22" spans="1:10" s="1" customFormat="1" ht="45" customHeight="1">
      <c r="A22" s="9">
        <v>20</v>
      </c>
      <c r="B22" s="14" t="s">
        <v>26</v>
      </c>
      <c r="C22" s="14" t="str">
        <f>"200620120213"</f>
        <v>200620120213</v>
      </c>
      <c r="D22" s="14" t="str">
        <f>"凌栗红"</f>
        <v>凌栗红</v>
      </c>
      <c r="E22" s="11" t="s">
        <v>4</v>
      </c>
      <c r="F22" s="12" t="s">
        <v>47</v>
      </c>
      <c r="G22" s="13" t="s">
        <v>62</v>
      </c>
      <c r="H22" s="13" t="s">
        <v>63</v>
      </c>
      <c r="J22" s="3"/>
    </row>
    <row r="23" spans="1:10" s="1" customFormat="1" ht="45" customHeight="1">
      <c r="A23" s="9">
        <v>21</v>
      </c>
      <c r="B23" s="14" t="s">
        <v>26</v>
      </c>
      <c r="C23" s="14" t="str">
        <f>"200620120208"</f>
        <v>200620120208</v>
      </c>
      <c r="D23" s="14" t="str">
        <f>"何芬"</f>
        <v>何芬</v>
      </c>
      <c r="E23" s="11" t="s">
        <v>4</v>
      </c>
      <c r="F23" s="12" t="s">
        <v>47</v>
      </c>
      <c r="G23" s="13" t="s">
        <v>62</v>
      </c>
      <c r="H23" s="13" t="s">
        <v>63</v>
      </c>
      <c r="J23" s="3"/>
    </row>
    <row r="24" spans="1:10" s="1" customFormat="1" ht="45" customHeight="1">
      <c r="A24" s="9">
        <v>22</v>
      </c>
      <c r="B24" s="14" t="s">
        <v>26</v>
      </c>
      <c r="C24" s="14" t="str">
        <f>"200620120312"</f>
        <v>200620120312</v>
      </c>
      <c r="D24" s="14" t="str">
        <f>"卢玥玥"</f>
        <v>卢玥玥</v>
      </c>
      <c r="E24" s="11" t="s">
        <v>4</v>
      </c>
      <c r="F24" s="12" t="s">
        <v>47</v>
      </c>
      <c r="G24" s="13" t="s">
        <v>62</v>
      </c>
      <c r="H24" s="13" t="s">
        <v>63</v>
      </c>
      <c r="J24" s="3"/>
    </row>
    <row r="25" spans="1:10" s="1" customFormat="1" ht="45" customHeight="1">
      <c r="A25" s="9">
        <v>23</v>
      </c>
      <c r="B25" s="14" t="s">
        <v>26</v>
      </c>
      <c r="C25" s="14" t="str">
        <f>"200620120406"</f>
        <v>200620120406</v>
      </c>
      <c r="D25" s="14" t="str">
        <f>"刘芬芬"</f>
        <v>刘芬芬</v>
      </c>
      <c r="E25" s="11" t="s">
        <v>4</v>
      </c>
      <c r="F25" s="12" t="s">
        <v>47</v>
      </c>
      <c r="G25" s="13" t="s">
        <v>62</v>
      </c>
      <c r="H25" s="13" t="s">
        <v>63</v>
      </c>
      <c r="J25" s="3"/>
    </row>
    <row r="26" spans="1:10" s="1" customFormat="1" ht="45" customHeight="1">
      <c r="A26" s="9">
        <v>24</v>
      </c>
      <c r="B26" s="14" t="s">
        <v>26</v>
      </c>
      <c r="C26" s="14" t="str">
        <f>"200620120130"</f>
        <v>200620120130</v>
      </c>
      <c r="D26" s="14" t="str">
        <f>"刘风"</f>
        <v>刘风</v>
      </c>
      <c r="E26" s="11" t="s">
        <v>4</v>
      </c>
      <c r="F26" s="12" t="s">
        <v>47</v>
      </c>
      <c r="G26" s="13" t="s">
        <v>62</v>
      </c>
      <c r="H26" s="13" t="s">
        <v>63</v>
      </c>
      <c r="J26" s="3"/>
    </row>
    <row r="27" spans="1:10" s="1" customFormat="1" ht="45" customHeight="1">
      <c r="A27" s="9">
        <v>25</v>
      </c>
      <c r="B27" s="14" t="s">
        <v>26</v>
      </c>
      <c r="C27" s="14" t="str">
        <f>"200620120424"</f>
        <v>200620120424</v>
      </c>
      <c r="D27" s="14" t="str">
        <f>"张凤娇"</f>
        <v>张凤娇</v>
      </c>
      <c r="E27" s="11" t="s">
        <v>4</v>
      </c>
      <c r="F27" s="12" t="s">
        <v>47</v>
      </c>
      <c r="G27" s="13" t="s">
        <v>62</v>
      </c>
      <c r="H27" s="13" t="s">
        <v>63</v>
      </c>
      <c r="J27" s="3"/>
    </row>
    <row r="28" spans="1:10" s="1" customFormat="1" ht="45" customHeight="1">
      <c r="A28" s="9">
        <v>26</v>
      </c>
      <c r="B28" s="14" t="s">
        <v>26</v>
      </c>
      <c r="C28" s="14" t="str">
        <f>"200620120325"</f>
        <v>200620120325</v>
      </c>
      <c r="D28" s="14" t="str">
        <f>"王梦婷"</f>
        <v>王梦婷</v>
      </c>
      <c r="E28" s="11" t="s">
        <v>4</v>
      </c>
      <c r="F28" s="12" t="s">
        <v>47</v>
      </c>
      <c r="G28" s="13" t="s">
        <v>62</v>
      </c>
      <c r="H28" s="13" t="s">
        <v>63</v>
      </c>
      <c r="J28" s="3"/>
    </row>
    <row r="29" spans="1:10" s="1" customFormat="1" ht="45" customHeight="1">
      <c r="A29" s="9">
        <v>27</v>
      </c>
      <c r="B29" s="14" t="s">
        <v>26</v>
      </c>
      <c r="C29" s="14" t="str">
        <f>"200620120506"</f>
        <v>200620120506</v>
      </c>
      <c r="D29" s="14" t="str">
        <f>"李琳"</f>
        <v>李琳</v>
      </c>
      <c r="E29" s="11" t="s">
        <v>4</v>
      </c>
      <c r="F29" s="12" t="s">
        <v>47</v>
      </c>
      <c r="G29" s="13" t="s">
        <v>62</v>
      </c>
      <c r="H29" s="13" t="s">
        <v>63</v>
      </c>
      <c r="J29" s="3"/>
    </row>
    <row r="30" spans="1:10" s="1" customFormat="1" ht="45" customHeight="1">
      <c r="A30" s="9">
        <v>28</v>
      </c>
      <c r="B30" s="14" t="s">
        <v>26</v>
      </c>
      <c r="C30" s="14" t="str">
        <f>"200620120214"</f>
        <v>200620120214</v>
      </c>
      <c r="D30" s="14" t="str">
        <f>"向楠"</f>
        <v>向楠</v>
      </c>
      <c r="E30" s="11" t="s">
        <v>4</v>
      </c>
      <c r="F30" s="12" t="s">
        <v>47</v>
      </c>
      <c r="G30" s="13" t="s">
        <v>62</v>
      </c>
      <c r="H30" s="13" t="s">
        <v>63</v>
      </c>
      <c r="J30" s="3"/>
    </row>
    <row r="31" spans="1:10" s="1" customFormat="1" ht="45" customHeight="1">
      <c r="A31" s="9">
        <v>29</v>
      </c>
      <c r="B31" s="14" t="s">
        <v>26</v>
      </c>
      <c r="C31" s="14" t="str">
        <f>"200620120119"</f>
        <v>200620120119</v>
      </c>
      <c r="D31" s="14" t="str">
        <f>"黄艳妮"</f>
        <v>黄艳妮</v>
      </c>
      <c r="E31" s="11" t="s">
        <v>4</v>
      </c>
      <c r="F31" s="12" t="s">
        <v>47</v>
      </c>
      <c r="G31" s="13" t="s">
        <v>62</v>
      </c>
      <c r="H31" s="13" t="s">
        <v>63</v>
      </c>
      <c r="J31" s="3"/>
    </row>
    <row r="32" spans="1:10" s="1" customFormat="1" ht="45" customHeight="1">
      <c r="A32" s="9">
        <v>30</v>
      </c>
      <c r="B32" s="14" t="s">
        <v>26</v>
      </c>
      <c r="C32" s="14" t="str">
        <f>"200620120310"</f>
        <v>200620120310</v>
      </c>
      <c r="D32" s="14" t="str">
        <f>"蔡昕玲"</f>
        <v>蔡昕玲</v>
      </c>
      <c r="E32" s="11" t="s">
        <v>4</v>
      </c>
      <c r="F32" s="12" t="s">
        <v>47</v>
      </c>
      <c r="G32" s="13" t="s">
        <v>62</v>
      </c>
      <c r="H32" s="13" t="s">
        <v>63</v>
      </c>
      <c r="J32" s="3"/>
    </row>
    <row r="33" spans="1:10" s="1" customFormat="1" ht="45" customHeight="1">
      <c r="A33" s="9">
        <v>31</v>
      </c>
      <c r="B33" s="14" t="s">
        <v>26</v>
      </c>
      <c r="C33" s="14" t="str">
        <f>"200620120114"</f>
        <v>200620120114</v>
      </c>
      <c r="D33" s="14" t="str">
        <f>"欧阳海艳"</f>
        <v>欧阳海艳</v>
      </c>
      <c r="E33" s="11" t="s">
        <v>4</v>
      </c>
      <c r="F33" s="12" t="s">
        <v>47</v>
      </c>
      <c r="G33" s="13" t="s">
        <v>62</v>
      </c>
      <c r="H33" s="13" t="s">
        <v>63</v>
      </c>
      <c r="J33" s="3"/>
    </row>
    <row r="34" spans="1:10" s="1" customFormat="1" ht="45" customHeight="1">
      <c r="A34" s="9">
        <v>32</v>
      </c>
      <c r="B34" s="14" t="s">
        <v>26</v>
      </c>
      <c r="C34" s="14" t="str">
        <f>"200620120519"</f>
        <v>200620120519</v>
      </c>
      <c r="D34" s="14" t="str">
        <f>"陈王鹏"</f>
        <v>陈王鹏</v>
      </c>
      <c r="E34" s="11" t="s">
        <v>4</v>
      </c>
      <c r="F34" s="12" t="s">
        <v>47</v>
      </c>
      <c r="G34" s="13" t="s">
        <v>62</v>
      </c>
      <c r="H34" s="13" t="s">
        <v>63</v>
      </c>
      <c r="J34" s="3"/>
    </row>
    <row r="35" spans="1:10" s="1" customFormat="1" ht="45" customHeight="1">
      <c r="A35" s="9">
        <v>33</v>
      </c>
      <c r="B35" s="14" t="s">
        <v>26</v>
      </c>
      <c r="C35" s="14" t="str">
        <f>"200620120226"</f>
        <v>200620120226</v>
      </c>
      <c r="D35" s="14" t="str">
        <f>"李瑞芬"</f>
        <v>李瑞芬</v>
      </c>
      <c r="E35" s="11" t="s">
        <v>4</v>
      </c>
      <c r="F35" s="12" t="s">
        <v>47</v>
      </c>
      <c r="G35" s="13" t="s">
        <v>62</v>
      </c>
      <c r="H35" s="13" t="s">
        <v>63</v>
      </c>
      <c r="J35" s="3"/>
    </row>
    <row r="36" spans="1:10" s="1" customFormat="1" ht="45" customHeight="1">
      <c r="A36" s="9">
        <v>34</v>
      </c>
      <c r="B36" s="14" t="s">
        <v>26</v>
      </c>
      <c r="C36" s="14" t="str">
        <f>"200620120613"</f>
        <v>200620120613</v>
      </c>
      <c r="D36" s="14" t="str">
        <f>"罗炜臻"</f>
        <v>罗炜臻</v>
      </c>
      <c r="E36" s="11" t="s">
        <v>4</v>
      </c>
      <c r="F36" s="12" t="s">
        <v>47</v>
      </c>
      <c r="G36" s="13" t="s">
        <v>62</v>
      </c>
      <c r="H36" s="13" t="s">
        <v>63</v>
      </c>
      <c r="J36" s="3"/>
    </row>
    <row r="37" spans="1:10" s="1" customFormat="1" ht="45" customHeight="1">
      <c r="A37" s="9">
        <v>35</v>
      </c>
      <c r="B37" s="14" t="s">
        <v>26</v>
      </c>
      <c r="C37" s="14" t="str">
        <f>"200620120626"</f>
        <v>200620120626</v>
      </c>
      <c r="D37" s="14" t="str">
        <f>"李秀方"</f>
        <v>李秀方</v>
      </c>
      <c r="E37" s="11" t="s">
        <v>4</v>
      </c>
      <c r="F37" s="12" t="s">
        <v>47</v>
      </c>
      <c r="G37" s="13" t="s">
        <v>62</v>
      </c>
      <c r="H37" s="13" t="s">
        <v>63</v>
      </c>
      <c r="J37" s="3"/>
    </row>
    <row r="38" spans="1:10" s="1" customFormat="1" ht="45" customHeight="1">
      <c r="A38" s="9">
        <v>36</v>
      </c>
      <c r="B38" s="14" t="s">
        <v>26</v>
      </c>
      <c r="C38" s="14" t="str">
        <f>"200620120532"</f>
        <v>200620120532</v>
      </c>
      <c r="D38" s="14" t="str">
        <f>"龙丽娜"</f>
        <v>龙丽娜</v>
      </c>
      <c r="E38" s="11" t="s">
        <v>4</v>
      </c>
      <c r="F38" s="12" t="s">
        <v>47</v>
      </c>
      <c r="G38" s="13" t="s">
        <v>62</v>
      </c>
      <c r="H38" s="13" t="s">
        <v>63</v>
      </c>
      <c r="J38" s="3"/>
    </row>
    <row r="39" spans="1:10" s="1" customFormat="1" ht="45" customHeight="1">
      <c r="A39" s="9">
        <v>37</v>
      </c>
      <c r="B39" s="14" t="s">
        <v>26</v>
      </c>
      <c r="C39" s="14" t="str">
        <f>"200620120225"</f>
        <v>200620120225</v>
      </c>
      <c r="D39" s="14" t="str">
        <f>"杨琼"</f>
        <v>杨琼</v>
      </c>
      <c r="E39" s="11" t="s">
        <v>4</v>
      </c>
      <c r="F39" s="12" t="s">
        <v>47</v>
      </c>
      <c r="G39" s="13" t="s">
        <v>62</v>
      </c>
      <c r="H39" s="13" t="s">
        <v>63</v>
      </c>
      <c r="J39" s="3"/>
    </row>
    <row r="40" spans="1:10" s="1" customFormat="1" ht="45" customHeight="1">
      <c r="A40" s="9">
        <v>38</v>
      </c>
      <c r="B40" s="14" t="s">
        <v>26</v>
      </c>
      <c r="C40" s="14" t="str">
        <f>"200620120531"</f>
        <v>200620120531</v>
      </c>
      <c r="D40" s="14" t="str">
        <f>"胡静"</f>
        <v>胡静</v>
      </c>
      <c r="E40" s="9" t="s">
        <v>4</v>
      </c>
      <c r="F40" s="12" t="s">
        <v>47</v>
      </c>
      <c r="G40" s="13" t="s">
        <v>62</v>
      </c>
      <c r="H40" s="13" t="s">
        <v>63</v>
      </c>
      <c r="J40" s="3"/>
    </row>
    <row r="41" spans="1:10" s="1" customFormat="1" ht="45" customHeight="1">
      <c r="A41" s="9">
        <v>39</v>
      </c>
      <c r="B41" s="14" t="s">
        <v>26</v>
      </c>
      <c r="C41" s="14" t="str">
        <f>"200620120426"</f>
        <v>200620120426</v>
      </c>
      <c r="D41" s="14" t="str">
        <f>"谭玲霞"</f>
        <v>谭玲霞</v>
      </c>
      <c r="E41" s="11" t="s">
        <v>4</v>
      </c>
      <c r="F41" s="12" t="s">
        <v>47</v>
      </c>
      <c r="G41" s="13" t="s">
        <v>62</v>
      </c>
      <c r="H41" s="13" t="s">
        <v>63</v>
      </c>
      <c r="J41" s="3"/>
    </row>
    <row r="42" spans="1:10" s="1" customFormat="1" ht="45" customHeight="1">
      <c r="A42" s="9">
        <v>40</v>
      </c>
      <c r="B42" s="14" t="s">
        <v>26</v>
      </c>
      <c r="C42" s="14" t="str">
        <f>"200620120301"</f>
        <v>200620120301</v>
      </c>
      <c r="D42" s="14" t="str">
        <f>"朱春艳"</f>
        <v>朱春艳</v>
      </c>
      <c r="E42" s="9" t="s">
        <v>4</v>
      </c>
      <c r="F42" s="12" t="s">
        <v>47</v>
      </c>
      <c r="G42" s="13" t="s">
        <v>62</v>
      </c>
      <c r="H42" s="13" t="s">
        <v>63</v>
      </c>
      <c r="J42" s="3"/>
    </row>
    <row r="43" spans="1:10" s="1" customFormat="1" ht="45" customHeight="1">
      <c r="A43" s="9">
        <v>41</v>
      </c>
      <c r="B43" s="14" t="s">
        <v>26</v>
      </c>
      <c r="C43" s="14" t="str">
        <f>"200620120109"</f>
        <v>200620120109</v>
      </c>
      <c r="D43" s="14" t="str">
        <f>"唐丹"</f>
        <v>唐丹</v>
      </c>
      <c r="E43" s="9" t="s">
        <v>4</v>
      </c>
      <c r="F43" s="12" t="s">
        <v>47</v>
      </c>
      <c r="G43" s="13" t="s">
        <v>62</v>
      </c>
      <c r="H43" s="13" t="s">
        <v>63</v>
      </c>
      <c r="J43" s="3"/>
    </row>
    <row r="44" spans="1:10" s="1" customFormat="1" ht="45" customHeight="1">
      <c r="A44" s="9">
        <v>42</v>
      </c>
      <c r="B44" s="10" t="s">
        <v>26</v>
      </c>
      <c r="C44" s="10" t="str">
        <f>"200620120327"</f>
        <v>200620120327</v>
      </c>
      <c r="D44" s="10" t="str">
        <f>"吴锋"</f>
        <v>吴锋</v>
      </c>
      <c r="E44" s="9" t="s">
        <v>4</v>
      </c>
      <c r="F44" s="12" t="s">
        <v>47</v>
      </c>
      <c r="G44" s="13" t="s">
        <v>62</v>
      </c>
      <c r="H44" s="13" t="s">
        <v>63</v>
      </c>
      <c r="J44" s="3"/>
    </row>
    <row r="45" spans="1:10" s="1" customFormat="1" ht="45" customHeight="1">
      <c r="A45" s="9">
        <v>43</v>
      </c>
      <c r="B45" s="14" t="s">
        <v>26</v>
      </c>
      <c r="C45" s="14" t="str">
        <f>"200620120512"</f>
        <v>200620120512</v>
      </c>
      <c r="D45" s="14" t="str">
        <f>"侯任"</f>
        <v>侯任</v>
      </c>
      <c r="E45" s="9" t="s">
        <v>4</v>
      </c>
      <c r="F45" s="12" t="s">
        <v>47</v>
      </c>
      <c r="G45" s="13" t="s">
        <v>62</v>
      </c>
      <c r="H45" s="13" t="s">
        <v>63</v>
      </c>
      <c r="J45" s="3"/>
    </row>
    <row r="46" spans="1:10" s="1" customFormat="1" ht="45" customHeight="1">
      <c r="A46" s="9">
        <v>44</v>
      </c>
      <c r="B46" s="14" t="s">
        <v>26</v>
      </c>
      <c r="C46" s="14" t="str">
        <f>"200620120305"</f>
        <v>200620120305</v>
      </c>
      <c r="D46" s="14" t="str">
        <f>"刘蓓"</f>
        <v>刘蓓</v>
      </c>
      <c r="E46" s="9" t="s">
        <v>4</v>
      </c>
      <c r="F46" s="12" t="s">
        <v>47</v>
      </c>
      <c r="G46" s="13" t="s">
        <v>62</v>
      </c>
      <c r="H46" s="13" t="s">
        <v>63</v>
      </c>
      <c r="J46" s="3"/>
    </row>
    <row r="47" spans="1:10" s="1" customFormat="1" ht="45" customHeight="1">
      <c r="A47" s="9">
        <v>45</v>
      </c>
      <c r="B47" s="14" t="s">
        <v>26</v>
      </c>
      <c r="C47" s="14" t="str">
        <f>"200620120509"</f>
        <v>200620120509</v>
      </c>
      <c r="D47" s="14" t="str">
        <f>"陈思宇"</f>
        <v>陈思宇</v>
      </c>
      <c r="E47" s="9" t="s">
        <v>4</v>
      </c>
      <c r="F47" s="12" t="s">
        <v>47</v>
      </c>
      <c r="G47" s="13" t="s">
        <v>62</v>
      </c>
      <c r="H47" s="13" t="s">
        <v>63</v>
      </c>
      <c r="J47" s="3"/>
    </row>
    <row r="48" spans="1:10" s="1" customFormat="1" ht="45" customHeight="1">
      <c r="A48" s="9">
        <v>46</v>
      </c>
      <c r="B48" s="14" t="s">
        <v>26</v>
      </c>
      <c r="C48" s="14" t="str">
        <f>"200620120529"</f>
        <v>200620120529</v>
      </c>
      <c r="D48" s="14" t="str">
        <f>"李韩"</f>
        <v>李韩</v>
      </c>
      <c r="E48" s="9" t="s">
        <v>4</v>
      </c>
      <c r="F48" s="12" t="s">
        <v>47</v>
      </c>
      <c r="G48" s="13" t="s">
        <v>62</v>
      </c>
      <c r="H48" s="13" t="s">
        <v>63</v>
      </c>
      <c r="J48" s="3"/>
    </row>
    <row r="49" spans="1:10" s="1" customFormat="1" ht="45" customHeight="1">
      <c r="A49" s="9">
        <v>47</v>
      </c>
      <c r="B49" s="15" t="s">
        <v>26</v>
      </c>
      <c r="C49" s="15" t="str">
        <f>"200620120420"</f>
        <v>200620120420</v>
      </c>
      <c r="D49" s="15" t="str">
        <f>"曹娜"</f>
        <v>曹娜</v>
      </c>
      <c r="E49" s="16" t="s">
        <v>42</v>
      </c>
      <c r="F49" s="12" t="s">
        <v>47</v>
      </c>
      <c r="G49" s="13" t="s">
        <v>62</v>
      </c>
      <c r="H49" s="13" t="s">
        <v>63</v>
      </c>
      <c r="J49" s="3"/>
    </row>
    <row r="50" spans="1:10" s="1" customFormat="1" ht="45" customHeight="1" thickBot="1">
      <c r="A50" s="25">
        <v>48</v>
      </c>
      <c r="B50" s="17" t="s">
        <v>26</v>
      </c>
      <c r="C50" s="17" t="str">
        <f>"200620120523"</f>
        <v>200620120523</v>
      </c>
      <c r="D50" s="17" t="str">
        <f>"郑涵宇"</f>
        <v>郑涵宇</v>
      </c>
      <c r="E50" s="18" t="s">
        <v>42</v>
      </c>
      <c r="F50" s="19" t="s">
        <v>47</v>
      </c>
      <c r="G50" s="20" t="s">
        <v>62</v>
      </c>
      <c r="H50" s="20" t="s">
        <v>63</v>
      </c>
      <c r="J50" s="3"/>
    </row>
    <row r="51" spans="1:10" s="1" customFormat="1" ht="45" customHeight="1" thickTop="1">
      <c r="A51" s="11">
        <v>49</v>
      </c>
      <c r="B51" s="10" t="s">
        <v>27</v>
      </c>
      <c r="C51" s="10" t="str">
        <f>"200620121111"</f>
        <v>200620121111</v>
      </c>
      <c r="D51" s="10" t="str">
        <f>"陈紫芳"</f>
        <v>陈紫芳</v>
      </c>
      <c r="E51" s="11" t="s">
        <v>4</v>
      </c>
      <c r="F51" s="12" t="s">
        <v>47</v>
      </c>
      <c r="G51" s="12" t="s">
        <v>64</v>
      </c>
      <c r="H51" s="12" t="s">
        <v>65</v>
      </c>
    </row>
    <row r="52" spans="1:10" s="1" customFormat="1" ht="45" customHeight="1">
      <c r="A52" s="9">
        <v>50</v>
      </c>
      <c r="B52" s="14" t="s">
        <v>27</v>
      </c>
      <c r="C52" s="14" t="str">
        <f>"200620120831"</f>
        <v>200620120831</v>
      </c>
      <c r="D52" s="14" t="str">
        <f>"费梓怡"</f>
        <v>费梓怡</v>
      </c>
      <c r="E52" s="9" t="s">
        <v>4</v>
      </c>
      <c r="F52" s="12" t="s">
        <v>47</v>
      </c>
      <c r="G52" s="12" t="s">
        <v>64</v>
      </c>
      <c r="H52" s="12" t="s">
        <v>65</v>
      </c>
    </row>
    <row r="53" spans="1:10" s="1" customFormat="1" ht="45" customHeight="1">
      <c r="A53" s="9">
        <v>51</v>
      </c>
      <c r="B53" s="14" t="s">
        <v>27</v>
      </c>
      <c r="C53" s="14" t="str">
        <f>"200620120812"</f>
        <v>200620120812</v>
      </c>
      <c r="D53" s="14" t="str">
        <f>"阳画画"</f>
        <v>阳画画</v>
      </c>
      <c r="E53" s="9" t="s">
        <v>4</v>
      </c>
      <c r="F53" s="12" t="s">
        <v>47</v>
      </c>
      <c r="G53" s="12" t="s">
        <v>64</v>
      </c>
      <c r="H53" s="12" t="s">
        <v>65</v>
      </c>
    </row>
    <row r="54" spans="1:10" s="1" customFormat="1" ht="45" customHeight="1">
      <c r="A54" s="9">
        <v>52</v>
      </c>
      <c r="B54" s="14" t="s">
        <v>27</v>
      </c>
      <c r="C54" s="14" t="str">
        <f>"200620120903"</f>
        <v>200620120903</v>
      </c>
      <c r="D54" s="14" t="str">
        <f>"朱鑫"</f>
        <v>朱鑫</v>
      </c>
      <c r="E54" s="9" t="s">
        <v>4</v>
      </c>
      <c r="F54" s="12" t="s">
        <v>47</v>
      </c>
      <c r="G54" s="12" t="s">
        <v>64</v>
      </c>
      <c r="H54" s="12" t="s">
        <v>65</v>
      </c>
    </row>
    <row r="55" spans="1:10" s="1" customFormat="1" ht="45" customHeight="1">
      <c r="A55" s="9">
        <v>53</v>
      </c>
      <c r="B55" s="14" t="s">
        <v>27</v>
      </c>
      <c r="C55" s="14" t="str">
        <f>"200620121223"</f>
        <v>200620121223</v>
      </c>
      <c r="D55" s="14" t="str">
        <f>"邓小飞"</f>
        <v>邓小飞</v>
      </c>
      <c r="E55" s="9" t="s">
        <v>4</v>
      </c>
      <c r="F55" s="12" t="s">
        <v>47</v>
      </c>
      <c r="G55" s="12" t="s">
        <v>64</v>
      </c>
      <c r="H55" s="12" t="s">
        <v>65</v>
      </c>
    </row>
    <row r="56" spans="1:10" s="1" customFormat="1" ht="45" customHeight="1">
      <c r="A56" s="9">
        <v>54</v>
      </c>
      <c r="B56" s="14" t="s">
        <v>27</v>
      </c>
      <c r="C56" s="14" t="str">
        <f>"200620121218"</f>
        <v>200620121218</v>
      </c>
      <c r="D56" s="14" t="str">
        <f>"曾解兰"</f>
        <v>曾解兰</v>
      </c>
      <c r="E56" s="9" t="s">
        <v>4</v>
      </c>
      <c r="F56" s="12" t="s">
        <v>47</v>
      </c>
      <c r="G56" s="12" t="s">
        <v>64</v>
      </c>
      <c r="H56" s="12" t="s">
        <v>65</v>
      </c>
    </row>
    <row r="57" spans="1:10" s="1" customFormat="1" ht="45" customHeight="1">
      <c r="A57" s="9">
        <v>55</v>
      </c>
      <c r="B57" s="14" t="s">
        <v>27</v>
      </c>
      <c r="C57" s="14" t="str">
        <f>"200620121016"</f>
        <v>200620121016</v>
      </c>
      <c r="D57" s="14" t="str">
        <f>"潘艳"</f>
        <v>潘艳</v>
      </c>
      <c r="E57" s="9" t="s">
        <v>4</v>
      </c>
      <c r="F57" s="12" t="s">
        <v>47</v>
      </c>
      <c r="G57" s="12" t="s">
        <v>64</v>
      </c>
      <c r="H57" s="12" t="s">
        <v>65</v>
      </c>
    </row>
    <row r="58" spans="1:10" s="1" customFormat="1" ht="45" customHeight="1">
      <c r="A58" s="9">
        <v>56</v>
      </c>
      <c r="B58" s="14" t="s">
        <v>27</v>
      </c>
      <c r="C58" s="14" t="str">
        <f>"200620120910"</f>
        <v>200620120910</v>
      </c>
      <c r="D58" s="14" t="str">
        <f>"李加加"</f>
        <v>李加加</v>
      </c>
      <c r="E58" s="9" t="s">
        <v>4</v>
      </c>
      <c r="F58" s="12" t="s">
        <v>47</v>
      </c>
      <c r="G58" s="12" t="s">
        <v>64</v>
      </c>
      <c r="H58" s="12" t="s">
        <v>65</v>
      </c>
    </row>
    <row r="59" spans="1:10" s="1" customFormat="1" ht="45" customHeight="1">
      <c r="A59" s="9">
        <v>57</v>
      </c>
      <c r="B59" s="14" t="s">
        <v>27</v>
      </c>
      <c r="C59" s="14" t="str">
        <f>"200620121026"</f>
        <v>200620121026</v>
      </c>
      <c r="D59" s="14" t="str">
        <f>"蔡智敏"</f>
        <v>蔡智敏</v>
      </c>
      <c r="E59" s="9" t="s">
        <v>4</v>
      </c>
      <c r="F59" s="12" t="s">
        <v>47</v>
      </c>
      <c r="G59" s="12" t="s">
        <v>64</v>
      </c>
      <c r="H59" s="12" t="s">
        <v>65</v>
      </c>
    </row>
    <row r="60" spans="1:10" s="1" customFormat="1" ht="45" customHeight="1">
      <c r="A60" s="9">
        <v>58</v>
      </c>
      <c r="B60" s="14" t="s">
        <v>27</v>
      </c>
      <c r="C60" s="14" t="str">
        <f>"200620120730"</f>
        <v>200620120730</v>
      </c>
      <c r="D60" s="14" t="str">
        <f>"龙慧娟"</f>
        <v>龙慧娟</v>
      </c>
      <c r="E60" s="9" t="s">
        <v>4</v>
      </c>
      <c r="F60" s="12" t="s">
        <v>47</v>
      </c>
      <c r="G60" s="12" t="s">
        <v>64</v>
      </c>
      <c r="H60" s="12" t="s">
        <v>65</v>
      </c>
    </row>
    <row r="61" spans="1:10" s="1" customFormat="1" ht="45" customHeight="1">
      <c r="A61" s="9">
        <v>59</v>
      </c>
      <c r="B61" s="14" t="s">
        <v>27</v>
      </c>
      <c r="C61" s="14" t="str">
        <f>"200620120721"</f>
        <v>200620120721</v>
      </c>
      <c r="D61" s="14" t="str">
        <f>"韦巍"</f>
        <v>韦巍</v>
      </c>
      <c r="E61" s="9" t="s">
        <v>4</v>
      </c>
      <c r="F61" s="12" t="s">
        <v>47</v>
      </c>
      <c r="G61" s="12" t="s">
        <v>64</v>
      </c>
      <c r="H61" s="12" t="s">
        <v>65</v>
      </c>
    </row>
    <row r="62" spans="1:10" s="1" customFormat="1" ht="45" customHeight="1">
      <c r="A62" s="9">
        <v>60</v>
      </c>
      <c r="B62" s="14" t="s">
        <v>27</v>
      </c>
      <c r="C62" s="14" t="str">
        <f>"200620120713"</f>
        <v>200620120713</v>
      </c>
      <c r="D62" s="14" t="str">
        <f>"张佳薇"</f>
        <v>张佳薇</v>
      </c>
      <c r="E62" s="9" t="s">
        <v>4</v>
      </c>
      <c r="F62" s="12" t="s">
        <v>47</v>
      </c>
      <c r="G62" s="12" t="s">
        <v>64</v>
      </c>
      <c r="H62" s="12" t="s">
        <v>65</v>
      </c>
    </row>
    <row r="63" spans="1:10" s="1" customFormat="1" ht="45" customHeight="1">
      <c r="A63" s="9">
        <v>61</v>
      </c>
      <c r="B63" s="14" t="s">
        <v>27</v>
      </c>
      <c r="C63" s="14" t="str">
        <f>"200620121010"</f>
        <v>200620121010</v>
      </c>
      <c r="D63" s="14" t="str">
        <f>"李学清"</f>
        <v>李学清</v>
      </c>
      <c r="E63" s="9" t="s">
        <v>4</v>
      </c>
      <c r="F63" s="12" t="s">
        <v>47</v>
      </c>
      <c r="G63" s="12" t="s">
        <v>64</v>
      </c>
      <c r="H63" s="12" t="s">
        <v>65</v>
      </c>
    </row>
    <row r="64" spans="1:10" s="1" customFormat="1" ht="45" customHeight="1">
      <c r="A64" s="9">
        <v>62</v>
      </c>
      <c r="B64" s="14" t="s">
        <v>27</v>
      </c>
      <c r="C64" s="14" t="str">
        <f>"200620121113"</f>
        <v>200620121113</v>
      </c>
      <c r="D64" s="14" t="str">
        <f>"彭洁"</f>
        <v>彭洁</v>
      </c>
      <c r="E64" s="9" t="s">
        <v>4</v>
      </c>
      <c r="F64" s="12" t="s">
        <v>47</v>
      </c>
      <c r="G64" s="12" t="s">
        <v>64</v>
      </c>
      <c r="H64" s="12" t="s">
        <v>65</v>
      </c>
    </row>
    <row r="65" spans="1:10" s="1" customFormat="1" ht="45" customHeight="1">
      <c r="A65" s="9">
        <v>63</v>
      </c>
      <c r="B65" s="14" t="s">
        <v>27</v>
      </c>
      <c r="C65" s="14" t="str">
        <f>"200620121202"</f>
        <v>200620121202</v>
      </c>
      <c r="D65" s="14" t="str">
        <f>"汪娇"</f>
        <v>汪娇</v>
      </c>
      <c r="E65" s="9" t="s">
        <v>4</v>
      </c>
      <c r="F65" s="12" t="s">
        <v>47</v>
      </c>
      <c r="G65" s="12" t="s">
        <v>64</v>
      </c>
      <c r="H65" s="12" t="s">
        <v>65</v>
      </c>
    </row>
    <row r="66" spans="1:10" s="1" customFormat="1" ht="45" customHeight="1">
      <c r="A66" s="9">
        <v>64</v>
      </c>
      <c r="B66" s="14" t="s">
        <v>27</v>
      </c>
      <c r="C66" s="14" t="str">
        <f>"200620121115"</f>
        <v>200620121115</v>
      </c>
      <c r="D66" s="14" t="str">
        <f>"刘映君"</f>
        <v>刘映君</v>
      </c>
      <c r="E66" s="9" t="s">
        <v>4</v>
      </c>
      <c r="F66" s="12" t="s">
        <v>47</v>
      </c>
      <c r="G66" s="12" t="s">
        <v>64</v>
      </c>
      <c r="H66" s="12" t="s">
        <v>65</v>
      </c>
    </row>
    <row r="67" spans="1:10" s="1" customFormat="1" ht="45" customHeight="1">
      <c r="A67" s="9">
        <v>65</v>
      </c>
      <c r="B67" s="14" t="s">
        <v>27</v>
      </c>
      <c r="C67" s="14" t="str">
        <f>"200620121105"</f>
        <v>200620121105</v>
      </c>
      <c r="D67" s="14" t="str">
        <f>"刘一棋"</f>
        <v>刘一棋</v>
      </c>
      <c r="E67" s="9" t="s">
        <v>4</v>
      </c>
      <c r="F67" s="12" t="s">
        <v>47</v>
      </c>
      <c r="G67" s="12" t="s">
        <v>64</v>
      </c>
      <c r="H67" s="12" t="s">
        <v>65</v>
      </c>
    </row>
    <row r="68" spans="1:10" s="1" customFormat="1" ht="45" customHeight="1">
      <c r="A68" s="9">
        <v>66</v>
      </c>
      <c r="B68" s="14" t="s">
        <v>27</v>
      </c>
      <c r="C68" s="14" t="str">
        <f>"200620120801"</f>
        <v>200620120801</v>
      </c>
      <c r="D68" s="14" t="str">
        <f>"吴飞"</f>
        <v>吴飞</v>
      </c>
      <c r="E68" s="9" t="s">
        <v>4</v>
      </c>
      <c r="F68" s="12" t="s">
        <v>47</v>
      </c>
      <c r="G68" s="12" t="s">
        <v>64</v>
      </c>
      <c r="H68" s="12" t="s">
        <v>65</v>
      </c>
    </row>
    <row r="69" spans="1:10" s="2" customFormat="1" ht="45" customHeight="1">
      <c r="A69" s="9">
        <v>67</v>
      </c>
      <c r="B69" s="14" t="s">
        <v>27</v>
      </c>
      <c r="C69" s="14" t="str">
        <f>"200620120716"</f>
        <v>200620120716</v>
      </c>
      <c r="D69" s="14" t="str">
        <f>"苏意涵"</f>
        <v>苏意涵</v>
      </c>
      <c r="E69" s="9" t="s">
        <v>4</v>
      </c>
      <c r="F69" s="12" t="s">
        <v>47</v>
      </c>
      <c r="G69" s="12" t="s">
        <v>64</v>
      </c>
      <c r="H69" s="12" t="s">
        <v>65</v>
      </c>
      <c r="J69" s="1"/>
    </row>
    <row r="70" spans="1:10" s="1" customFormat="1" ht="45" customHeight="1">
      <c r="A70" s="9">
        <v>68</v>
      </c>
      <c r="B70" s="14" t="s">
        <v>27</v>
      </c>
      <c r="C70" s="14" t="str">
        <f>"200620121019"</f>
        <v>200620121019</v>
      </c>
      <c r="D70" s="14" t="str">
        <f>"叫娟丽"</f>
        <v>叫娟丽</v>
      </c>
      <c r="E70" s="9" t="s">
        <v>4</v>
      </c>
      <c r="F70" s="12" t="s">
        <v>47</v>
      </c>
      <c r="G70" s="12" t="s">
        <v>64</v>
      </c>
      <c r="H70" s="12" t="s">
        <v>65</v>
      </c>
    </row>
    <row r="71" spans="1:10" s="1" customFormat="1" ht="45" customHeight="1">
      <c r="A71" s="9">
        <v>69</v>
      </c>
      <c r="B71" s="14" t="s">
        <v>27</v>
      </c>
      <c r="C71" s="14" t="str">
        <f>"200620121021"</f>
        <v>200620121021</v>
      </c>
      <c r="D71" s="14" t="str">
        <f>"唐娟"</f>
        <v>唐娟</v>
      </c>
      <c r="E71" s="9" t="s">
        <v>4</v>
      </c>
      <c r="F71" s="12" t="s">
        <v>47</v>
      </c>
      <c r="G71" s="12" t="s">
        <v>64</v>
      </c>
      <c r="H71" s="12" t="s">
        <v>65</v>
      </c>
    </row>
    <row r="72" spans="1:10" s="1" customFormat="1" ht="45" customHeight="1">
      <c r="A72" s="9">
        <v>70</v>
      </c>
      <c r="B72" s="14" t="s">
        <v>27</v>
      </c>
      <c r="C72" s="14" t="str">
        <f>"200620120706"</f>
        <v>200620120706</v>
      </c>
      <c r="D72" s="14" t="str">
        <f>"彭娟娟"</f>
        <v>彭娟娟</v>
      </c>
      <c r="E72" s="9" t="s">
        <v>4</v>
      </c>
      <c r="F72" s="12" t="s">
        <v>47</v>
      </c>
      <c r="G72" s="12" t="s">
        <v>64</v>
      </c>
      <c r="H72" s="12" t="s">
        <v>65</v>
      </c>
    </row>
    <row r="73" spans="1:10" s="1" customFormat="1" ht="45" customHeight="1">
      <c r="A73" s="9">
        <v>71</v>
      </c>
      <c r="B73" s="14" t="s">
        <v>27</v>
      </c>
      <c r="C73" s="14" t="str">
        <f>"200620121005"</f>
        <v>200620121005</v>
      </c>
      <c r="D73" s="14" t="str">
        <f>"彭玲芬"</f>
        <v>彭玲芬</v>
      </c>
      <c r="E73" s="9" t="s">
        <v>4</v>
      </c>
      <c r="F73" s="12" t="s">
        <v>47</v>
      </c>
      <c r="G73" s="12" t="s">
        <v>64</v>
      </c>
      <c r="H73" s="12" t="s">
        <v>65</v>
      </c>
    </row>
    <row r="74" spans="1:10" s="1" customFormat="1" ht="45" customHeight="1">
      <c r="A74" s="9">
        <v>72</v>
      </c>
      <c r="B74" s="14" t="s">
        <v>27</v>
      </c>
      <c r="C74" s="14" t="str">
        <f>"200620120707"</f>
        <v>200620120707</v>
      </c>
      <c r="D74" s="14" t="str">
        <f>"朱欣"</f>
        <v>朱欣</v>
      </c>
      <c r="E74" s="9" t="s">
        <v>4</v>
      </c>
      <c r="F74" s="12" t="s">
        <v>47</v>
      </c>
      <c r="G74" s="12" t="s">
        <v>64</v>
      </c>
      <c r="H74" s="12" t="s">
        <v>65</v>
      </c>
    </row>
    <row r="75" spans="1:10" s="1" customFormat="1" ht="45" customHeight="1">
      <c r="A75" s="9">
        <v>73</v>
      </c>
      <c r="B75" s="14" t="s">
        <v>27</v>
      </c>
      <c r="C75" s="14" t="str">
        <f>"200620120711"</f>
        <v>200620120711</v>
      </c>
      <c r="D75" s="14" t="str">
        <f>"文静"</f>
        <v>文静</v>
      </c>
      <c r="E75" s="9" t="s">
        <v>4</v>
      </c>
      <c r="F75" s="12" t="s">
        <v>47</v>
      </c>
      <c r="G75" s="12" t="s">
        <v>64</v>
      </c>
      <c r="H75" s="12" t="s">
        <v>65</v>
      </c>
    </row>
    <row r="76" spans="1:10" s="1" customFormat="1" ht="45" customHeight="1">
      <c r="A76" s="9">
        <v>74</v>
      </c>
      <c r="B76" s="14" t="s">
        <v>27</v>
      </c>
      <c r="C76" s="14" t="str">
        <f>"200620121107"</f>
        <v>200620121107</v>
      </c>
      <c r="D76" s="14" t="str">
        <f>"蔡智红"</f>
        <v>蔡智红</v>
      </c>
      <c r="E76" s="9" t="s">
        <v>4</v>
      </c>
      <c r="F76" s="12" t="s">
        <v>47</v>
      </c>
      <c r="G76" s="12" t="s">
        <v>64</v>
      </c>
      <c r="H76" s="12" t="s">
        <v>65</v>
      </c>
    </row>
    <row r="77" spans="1:10" s="1" customFormat="1" ht="45" customHeight="1">
      <c r="A77" s="9">
        <v>75</v>
      </c>
      <c r="B77" s="14" t="s">
        <v>27</v>
      </c>
      <c r="C77" s="14" t="str">
        <f>"200620121208"</f>
        <v>200620121208</v>
      </c>
      <c r="D77" s="14" t="str">
        <f>"王冰"</f>
        <v>王冰</v>
      </c>
      <c r="E77" s="9" t="s">
        <v>4</v>
      </c>
      <c r="F77" s="12" t="s">
        <v>47</v>
      </c>
      <c r="G77" s="12" t="s">
        <v>64</v>
      </c>
      <c r="H77" s="12" t="s">
        <v>65</v>
      </c>
    </row>
    <row r="78" spans="1:10" s="1" customFormat="1" ht="45" customHeight="1">
      <c r="A78" s="9">
        <v>76</v>
      </c>
      <c r="B78" s="14" t="s">
        <v>27</v>
      </c>
      <c r="C78" s="14" t="str">
        <f>"200620121029"</f>
        <v>200620121029</v>
      </c>
      <c r="D78" s="14" t="str">
        <f>"陈桑妮"</f>
        <v>陈桑妮</v>
      </c>
      <c r="E78" s="9" t="s">
        <v>4</v>
      </c>
      <c r="F78" s="12" t="s">
        <v>47</v>
      </c>
      <c r="G78" s="12" t="s">
        <v>64</v>
      </c>
      <c r="H78" s="12" t="s">
        <v>65</v>
      </c>
    </row>
    <row r="79" spans="1:10" s="1" customFormat="1" ht="45" customHeight="1">
      <c r="A79" s="9">
        <v>77</v>
      </c>
      <c r="B79" s="14" t="s">
        <v>27</v>
      </c>
      <c r="C79" s="14" t="str">
        <f>"200620121203"</f>
        <v>200620121203</v>
      </c>
      <c r="D79" s="14" t="str">
        <f>"唐诗秋"</f>
        <v>唐诗秋</v>
      </c>
      <c r="E79" s="9" t="s">
        <v>4</v>
      </c>
      <c r="F79" s="12" t="s">
        <v>47</v>
      </c>
      <c r="G79" s="12" t="s">
        <v>64</v>
      </c>
      <c r="H79" s="12" t="s">
        <v>65</v>
      </c>
    </row>
    <row r="80" spans="1:10" s="1" customFormat="1" ht="45" customHeight="1">
      <c r="A80" s="9">
        <v>78</v>
      </c>
      <c r="B80" s="14" t="s">
        <v>27</v>
      </c>
      <c r="C80" s="14" t="str">
        <f>"200620120717"</f>
        <v>200620120717</v>
      </c>
      <c r="D80" s="14" t="str">
        <f>"胡孟玉"</f>
        <v>胡孟玉</v>
      </c>
      <c r="E80" s="9" t="s">
        <v>4</v>
      </c>
      <c r="F80" s="12" t="s">
        <v>47</v>
      </c>
      <c r="G80" s="12" t="s">
        <v>64</v>
      </c>
      <c r="H80" s="12" t="s">
        <v>65</v>
      </c>
    </row>
    <row r="81" spans="1:8" s="1" customFormat="1" ht="45" customHeight="1">
      <c r="A81" s="9">
        <v>79</v>
      </c>
      <c r="B81" s="14" t="s">
        <v>27</v>
      </c>
      <c r="C81" s="14" t="str">
        <f>"200620121127"</f>
        <v>200620121127</v>
      </c>
      <c r="D81" s="14" t="str">
        <f>"刘璐琦"</f>
        <v>刘璐琦</v>
      </c>
      <c r="E81" s="9" t="s">
        <v>4</v>
      </c>
      <c r="F81" s="12" t="s">
        <v>47</v>
      </c>
      <c r="G81" s="12" t="s">
        <v>64</v>
      </c>
      <c r="H81" s="12" t="s">
        <v>65</v>
      </c>
    </row>
    <row r="82" spans="1:8" s="1" customFormat="1" ht="45" customHeight="1">
      <c r="A82" s="9">
        <v>80</v>
      </c>
      <c r="B82" s="14" t="s">
        <v>27</v>
      </c>
      <c r="C82" s="14" t="str">
        <f>"200620120907"</f>
        <v>200620120907</v>
      </c>
      <c r="D82" s="14" t="str">
        <f>"李雪晴"</f>
        <v>李雪晴</v>
      </c>
      <c r="E82" s="9" t="s">
        <v>4</v>
      </c>
      <c r="F82" s="12" t="s">
        <v>47</v>
      </c>
      <c r="G82" s="12" t="s">
        <v>64</v>
      </c>
      <c r="H82" s="12" t="s">
        <v>65</v>
      </c>
    </row>
    <row r="83" spans="1:8" s="1" customFormat="1" ht="45" customHeight="1">
      <c r="A83" s="9">
        <v>81</v>
      </c>
      <c r="B83" s="14" t="s">
        <v>27</v>
      </c>
      <c r="C83" s="14" t="str">
        <f>"200620120709"</f>
        <v>200620120709</v>
      </c>
      <c r="D83" s="14" t="str">
        <f>"蓝文佳"</f>
        <v>蓝文佳</v>
      </c>
      <c r="E83" s="9" t="s">
        <v>4</v>
      </c>
      <c r="F83" s="12" t="s">
        <v>47</v>
      </c>
      <c r="G83" s="12" t="s">
        <v>64</v>
      </c>
      <c r="H83" s="12" t="s">
        <v>65</v>
      </c>
    </row>
    <row r="84" spans="1:8" s="1" customFormat="1" ht="45" customHeight="1">
      <c r="A84" s="9">
        <v>82</v>
      </c>
      <c r="B84" s="14" t="s">
        <v>27</v>
      </c>
      <c r="C84" s="14" t="str">
        <f>"200620120911"</f>
        <v>200620120911</v>
      </c>
      <c r="D84" s="14" t="str">
        <f>"周瑶"</f>
        <v>周瑶</v>
      </c>
      <c r="E84" s="9" t="s">
        <v>4</v>
      </c>
      <c r="F84" s="12" t="s">
        <v>47</v>
      </c>
      <c r="G84" s="12" t="s">
        <v>64</v>
      </c>
      <c r="H84" s="12" t="s">
        <v>65</v>
      </c>
    </row>
    <row r="85" spans="1:8" s="1" customFormat="1" ht="45" customHeight="1">
      <c r="A85" s="9">
        <v>83</v>
      </c>
      <c r="B85" s="14" t="s">
        <v>27</v>
      </c>
      <c r="C85" s="14" t="str">
        <f>"200620120708"</f>
        <v>200620120708</v>
      </c>
      <c r="D85" s="14" t="str">
        <f>"戴杜冰"</f>
        <v>戴杜冰</v>
      </c>
      <c r="E85" s="9" t="s">
        <v>4</v>
      </c>
      <c r="F85" s="12" t="s">
        <v>47</v>
      </c>
      <c r="G85" s="12" t="s">
        <v>64</v>
      </c>
      <c r="H85" s="12" t="s">
        <v>65</v>
      </c>
    </row>
    <row r="86" spans="1:8" s="1" customFormat="1" ht="45" customHeight="1">
      <c r="A86" s="9">
        <v>84</v>
      </c>
      <c r="B86" s="14" t="s">
        <v>27</v>
      </c>
      <c r="C86" s="14" t="str">
        <f>"200620120920"</f>
        <v>200620120920</v>
      </c>
      <c r="D86" s="14" t="str">
        <f>"刘琳"</f>
        <v>刘琳</v>
      </c>
      <c r="E86" s="21" t="s">
        <v>42</v>
      </c>
      <c r="F86" s="12" t="s">
        <v>47</v>
      </c>
      <c r="G86" s="12" t="s">
        <v>64</v>
      </c>
      <c r="H86" s="12" t="s">
        <v>65</v>
      </c>
    </row>
    <row r="87" spans="1:8" s="1" customFormat="1" ht="45" customHeight="1">
      <c r="A87" s="9">
        <v>85</v>
      </c>
      <c r="B87" s="14" t="s">
        <v>27</v>
      </c>
      <c r="C87" s="14" t="str">
        <f>"200620120815"</f>
        <v>200620120815</v>
      </c>
      <c r="D87" s="14" t="str">
        <f>"陈果"</f>
        <v>陈果</v>
      </c>
      <c r="E87" s="9" t="s">
        <v>4</v>
      </c>
      <c r="F87" s="12" t="s">
        <v>47</v>
      </c>
      <c r="G87" s="12" t="s">
        <v>64</v>
      </c>
      <c r="H87" s="12" t="s">
        <v>65</v>
      </c>
    </row>
    <row r="88" spans="1:8" s="1" customFormat="1" ht="45" customHeight="1">
      <c r="A88" s="9">
        <v>86</v>
      </c>
      <c r="B88" s="14" t="s">
        <v>27</v>
      </c>
      <c r="C88" s="14" t="str">
        <f>"200620121126"</f>
        <v>200620121126</v>
      </c>
      <c r="D88" s="14" t="str">
        <f>"杨璐"</f>
        <v>杨璐</v>
      </c>
      <c r="E88" s="9" t="s">
        <v>4</v>
      </c>
      <c r="F88" s="12" t="s">
        <v>47</v>
      </c>
      <c r="G88" s="12" t="s">
        <v>64</v>
      </c>
      <c r="H88" s="12" t="s">
        <v>65</v>
      </c>
    </row>
    <row r="89" spans="1:8" s="1" customFormat="1" ht="45" customHeight="1">
      <c r="A89" s="9">
        <v>87</v>
      </c>
      <c r="B89" s="14" t="s">
        <v>27</v>
      </c>
      <c r="C89" s="14" t="str">
        <f>"200620121003"</f>
        <v>200620121003</v>
      </c>
      <c r="D89" s="14" t="str">
        <f>"罗兴换"</f>
        <v>罗兴换</v>
      </c>
      <c r="E89" s="9" t="s">
        <v>4</v>
      </c>
      <c r="F89" s="12" t="s">
        <v>47</v>
      </c>
      <c r="G89" s="12" t="s">
        <v>64</v>
      </c>
      <c r="H89" s="12" t="s">
        <v>65</v>
      </c>
    </row>
    <row r="90" spans="1:8" s="1" customFormat="1" ht="45" customHeight="1">
      <c r="A90" s="9">
        <v>88</v>
      </c>
      <c r="B90" s="14" t="s">
        <v>27</v>
      </c>
      <c r="C90" s="14" t="str">
        <f>"200620120931"</f>
        <v>200620120931</v>
      </c>
      <c r="D90" s="14" t="str">
        <f>"胡茜敏"</f>
        <v>胡茜敏</v>
      </c>
      <c r="E90" s="9" t="s">
        <v>4</v>
      </c>
      <c r="F90" s="12" t="s">
        <v>47</v>
      </c>
      <c r="G90" s="12" t="s">
        <v>64</v>
      </c>
      <c r="H90" s="12" t="s">
        <v>65</v>
      </c>
    </row>
    <row r="91" spans="1:8" s="1" customFormat="1" ht="45" customHeight="1">
      <c r="A91" s="9">
        <v>89</v>
      </c>
      <c r="B91" s="14" t="s">
        <v>27</v>
      </c>
      <c r="C91" s="14" t="str">
        <f>"200620120728"</f>
        <v>200620120728</v>
      </c>
      <c r="D91" s="14" t="str">
        <f>"黄晨"</f>
        <v>黄晨</v>
      </c>
      <c r="E91" s="9" t="s">
        <v>4</v>
      </c>
      <c r="F91" s="12" t="s">
        <v>47</v>
      </c>
      <c r="G91" s="12" t="s">
        <v>64</v>
      </c>
      <c r="H91" s="12" t="s">
        <v>65</v>
      </c>
    </row>
    <row r="92" spans="1:8" s="1" customFormat="1" ht="45" customHeight="1">
      <c r="A92" s="9">
        <v>90</v>
      </c>
      <c r="B92" s="14" t="s">
        <v>27</v>
      </c>
      <c r="C92" s="14" t="str">
        <f>"200620121219"</f>
        <v>200620121219</v>
      </c>
      <c r="D92" s="14" t="str">
        <f>"尹孝容"</f>
        <v>尹孝容</v>
      </c>
      <c r="E92" s="9" t="s">
        <v>4</v>
      </c>
      <c r="F92" s="12" t="s">
        <v>47</v>
      </c>
      <c r="G92" s="12" t="s">
        <v>64</v>
      </c>
      <c r="H92" s="12" t="s">
        <v>65</v>
      </c>
    </row>
    <row r="93" spans="1:8" s="1" customFormat="1" ht="45" customHeight="1">
      <c r="A93" s="9">
        <v>91</v>
      </c>
      <c r="B93" s="14" t="s">
        <v>27</v>
      </c>
      <c r="C93" s="14" t="str">
        <f>"200620120819"</f>
        <v>200620120819</v>
      </c>
      <c r="D93" s="14" t="str">
        <f>"欧明明"</f>
        <v>欧明明</v>
      </c>
      <c r="E93" s="9" t="s">
        <v>4</v>
      </c>
      <c r="F93" s="12" t="s">
        <v>47</v>
      </c>
      <c r="G93" s="12" t="s">
        <v>64</v>
      </c>
      <c r="H93" s="12" t="s">
        <v>65</v>
      </c>
    </row>
    <row r="94" spans="1:8" s="1" customFormat="1" ht="45" customHeight="1">
      <c r="A94" s="9">
        <v>92</v>
      </c>
      <c r="B94" s="14" t="s">
        <v>27</v>
      </c>
      <c r="C94" s="14" t="str">
        <f>"200620120919"</f>
        <v>200620120919</v>
      </c>
      <c r="D94" s="14" t="str">
        <f>"李霞"</f>
        <v>李霞</v>
      </c>
      <c r="E94" s="9" t="s">
        <v>4</v>
      </c>
      <c r="F94" s="12" t="s">
        <v>47</v>
      </c>
      <c r="G94" s="12" t="s">
        <v>64</v>
      </c>
      <c r="H94" s="12" t="s">
        <v>65</v>
      </c>
    </row>
    <row r="95" spans="1:8" s="1" customFormat="1" ht="45" customHeight="1">
      <c r="A95" s="9">
        <v>93</v>
      </c>
      <c r="B95" s="10" t="s">
        <v>27</v>
      </c>
      <c r="C95" s="10" t="str">
        <f>"200620120809"</f>
        <v>200620120809</v>
      </c>
      <c r="D95" s="10" t="str">
        <f>"杨素珍"</f>
        <v>杨素珍</v>
      </c>
      <c r="E95" s="9" t="s">
        <v>4</v>
      </c>
      <c r="F95" s="12" t="s">
        <v>47</v>
      </c>
      <c r="G95" s="12" t="s">
        <v>64</v>
      </c>
      <c r="H95" s="12" t="s">
        <v>65</v>
      </c>
    </row>
    <row r="96" spans="1:8" s="1" customFormat="1" ht="45" customHeight="1">
      <c r="A96" s="9">
        <v>94</v>
      </c>
      <c r="B96" s="14" t="s">
        <v>27</v>
      </c>
      <c r="C96" s="14" t="str">
        <f>"200620121112"</f>
        <v>200620121112</v>
      </c>
      <c r="D96" s="14" t="str">
        <f>"叶龙平"</f>
        <v>叶龙平</v>
      </c>
      <c r="E96" s="9" t="s">
        <v>4</v>
      </c>
      <c r="F96" s="12" t="s">
        <v>47</v>
      </c>
      <c r="G96" s="12" t="s">
        <v>64</v>
      </c>
      <c r="H96" s="12" t="s">
        <v>65</v>
      </c>
    </row>
    <row r="97" spans="1:8" s="1" customFormat="1" ht="45" customHeight="1">
      <c r="A97" s="9">
        <v>95</v>
      </c>
      <c r="B97" s="14" t="s">
        <v>27</v>
      </c>
      <c r="C97" s="14" t="str">
        <f>"200620120816"</f>
        <v>200620120816</v>
      </c>
      <c r="D97" s="14" t="str">
        <f>"张琦"</f>
        <v>张琦</v>
      </c>
      <c r="E97" s="9" t="s">
        <v>4</v>
      </c>
      <c r="F97" s="12" t="s">
        <v>47</v>
      </c>
      <c r="G97" s="12" t="s">
        <v>64</v>
      </c>
      <c r="H97" s="12" t="s">
        <v>65</v>
      </c>
    </row>
    <row r="98" spans="1:8" s="1" customFormat="1" ht="45" customHeight="1">
      <c r="A98" s="9">
        <v>96</v>
      </c>
      <c r="B98" s="10" t="s">
        <v>27</v>
      </c>
      <c r="C98" s="10" t="str">
        <f>"200620120806"</f>
        <v>200620120806</v>
      </c>
      <c r="D98" s="10" t="str">
        <f>"王凤池"</f>
        <v>王凤池</v>
      </c>
      <c r="E98" s="9" t="s">
        <v>4</v>
      </c>
      <c r="F98" s="12" t="s">
        <v>47</v>
      </c>
      <c r="G98" s="12" t="s">
        <v>64</v>
      </c>
      <c r="H98" s="12" t="s">
        <v>65</v>
      </c>
    </row>
    <row r="99" spans="1:8" s="1" customFormat="1" ht="45" customHeight="1">
      <c r="A99" s="9">
        <v>97</v>
      </c>
      <c r="B99" s="14" t="s">
        <v>27</v>
      </c>
      <c r="C99" s="14" t="str">
        <f>"200620120818"</f>
        <v>200620120818</v>
      </c>
      <c r="D99" s="14" t="str">
        <f>"张志花"</f>
        <v>张志花</v>
      </c>
      <c r="E99" s="9" t="s">
        <v>4</v>
      </c>
      <c r="F99" s="12" t="s">
        <v>47</v>
      </c>
      <c r="G99" s="12" t="s">
        <v>64</v>
      </c>
      <c r="H99" s="12" t="s">
        <v>65</v>
      </c>
    </row>
    <row r="100" spans="1:8" s="1" customFormat="1" ht="45" customHeight="1" thickBot="1">
      <c r="A100" s="25">
        <v>98</v>
      </c>
      <c r="B100" s="22" t="s">
        <v>27</v>
      </c>
      <c r="C100" s="22" t="str">
        <f>"200620121212"</f>
        <v>200620121212</v>
      </c>
      <c r="D100" s="22" t="str">
        <f>"张琴"</f>
        <v>张琴</v>
      </c>
      <c r="E100" s="23" t="s">
        <v>4</v>
      </c>
      <c r="F100" s="19" t="s">
        <v>47</v>
      </c>
      <c r="G100" s="19" t="s">
        <v>64</v>
      </c>
      <c r="H100" s="19" t="s">
        <v>65</v>
      </c>
    </row>
    <row r="101" spans="1:8" s="1" customFormat="1" ht="45" customHeight="1" thickTop="1">
      <c r="A101" s="11">
        <v>99</v>
      </c>
      <c r="B101" s="10" t="s">
        <v>28</v>
      </c>
      <c r="C101" s="10" t="str">
        <f>"200620121717"</f>
        <v>200620121717</v>
      </c>
      <c r="D101" s="10" t="s">
        <v>40</v>
      </c>
      <c r="E101" s="11" t="s">
        <v>4</v>
      </c>
      <c r="F101" s="12" t="s">
        <v>49</v>
      </c>
      <c r="G101" s="12" t="s">
        <v>66</v>
      </c>
      <c r="H101" s="12" t="s">
        <v>67</v>
      </c>
    </row>
    <row r="102" spans="1:8" s="1" customFormat="1" ht="45" customHeight="1">
      <c r="A102" s="9">
        <v>100</v>
      </c>
      <c r="B102" s="14" t="s">
        <v>28</v>
      </c>
      <c r="C102" s="14" t="str">
        <f>"200620121711"</f>
        <v>200620121711</v>
      </c>
      <c r="D102" s="14" t="str">
        <f>"陈丽莎"</f>
        <v>陈丽莎</v>
      </c>
      <c r="E102" s="9" t="s">
        <v>4</v>
      </c>
      <c r="F102" s="12" t="s">
        <v>49</v>
      </c>
      <c r="G102" s="12" t="s">
        <v>66</v>
      </c>
      <c r="H102" s="12" t="s">
        <v>67</v>
      </c>
    </row>
    <row r="103" spans="1:8" s="1" customFormat="1" ht="45" customHeight="1">
      <c r="A103" s="9">
        <v>101</v>
      </c>
      <c r="B103" s="14" t="s">
        <v>28</v>
      </c>
      <c r="C103" s="14" t="str">
        <f>"200620121807"</f>
        <v>200620121807</v>
      </c>
      <c r="D103" s="14" t="str">
        <f>"谭美琴"</f>
        <v>谭美琴</v>
      </c>
      <c r="E103" s="9" t="s">
        <v>4</v>
      </c>
      <c r="F103" s="12" t="s">
        <v>49</v>
      </c>
      <c r="G103" s="12" t="s">
        <v>66</v>
      </c>
      <c r="H103" s="12" t="s">
        <v>67</v>
      </c>
    </row>
    <row r="104" spans="1:8" s="1" customFormat="1" ht="45" customHeight="1">
      <c r="A104" s="9">
        <v>102</v>
      </c>
      <c r="B104" s="14" t="s">
        <v>28</v>
      </c>
      <c r="C104" s="14" t="str">
        <f>"200620121427"</f>
        <v>200620121427</v>
      </c>
      <c r="D104" s="14" t="str">
        <f>"陈维婷"</f>
        <v>陈维婷</v>
      </c>
      <c r="E104" s="9" t="s">
        <v>4</v>
      </c>
      <c r="F104" s="12" t="s">
        <v>49</v>
      </c>
      <c r="G104" s="12" t="s">
        <v>66</v>
      </c>
      <c r="H104" s="12" t="s">
        <v>67</v>
      </c>
    </row>
    <row r="105" spans="1:8" s="1" customFormat="1" ht="45" customHeight="1">
      <c r="A105" s="9">
        <v>103</v>
      </c>
      <c r="B105" s="14" t="s">
        <v>28</v>
      </c>
      <c r="C105" s="14" t="str">
        <f>"200620121523"</f>
        <v>200620121523</v>
      </c>
      <c r="D105" s="14" t="str">
        <f>"刘琼"</f>
        <v>刘琼</v>
      </c>
      <c r="E105" s="9" t="s">
        <v>4</v>
      </c>
      <c r="F105" s="12" t="s">
        <v>49</v>
      </c>
      <c r="G105" s="12" t="s">
        <v>66</v>
      </c>
      <c r="H105" s="12" t="s">
        <v>67</v>
      </c>
    </row>
    <row r="106" spans="1:8" s="1" customFormat="1" ht="45" customHeight="1">
      <c r="A106" s="9">
        <v>104</v>
      </c>
      <c r="B106" s="14" t="s">
        <v>28</v>
      </c>
      <c r="C106" s="14" t="str">
        <f>"200620121702"</f>
        <v>200620121702</v>
      </c>
      <c r="D106" s="14" t="str">
        <f>"陈玉婷"</f>
        <v>陈玉婷</v>
      </c>
      <c r="E106" s="9" t="s">
        <v>4</v>
      </c>
      <c r="F106" s="12" t="s">
        <v>49</v>
      </c>
      <c r="G106" s="12" t="s">
        <v>66</v>
      </c>
      <c r="H106" s="12" t="s">
        <v>67</v>
      </c>
    </row>
    <row r="107" spans="1:8" s="1" customFormat="1" ht="45" customHeight="1">
      <c r="A107" s="9">
        <v>105</v>
      </c>
      <c r="B107" s="14" t="s">
        <v>28</v>
      </c>
      <c r="C107" s="14" t="str">
        <f>"200620121725"</f>
        <v>200620121725</v>
      </c>
      <c r="D107" s="14" t="str">
        <f>"陈文蓉"</f>
        <v>陈文蓉</v>
      </c>
      <c r="E107" s="9" t="s">
        <v>4</v>
      </c>
      <c r="F107" s="12" t="s">
        <v>49</v>
      </c>
      <c r="G107" s="12" t="s">
        <v>66</v>
      </c>
      <c r="H107" s="12" t="s">
        <v>67</v>
      </c>
    </row>
    <row r="108" spans="1:8" s="1" customFormat="1" ht="45" customHeight="1">
      <c r="A108" s="9">
        <v>106</v>
      </c>
      <c r="B108" s="14" t="s">
        <v>28</v>
      </c>
      <c r="C108" s="14" t="str">
        <f>"200620121620"</f>
        <v>200620121620</v>
      </c>
      <c r="D108" s="14" t="str">
        <f>"谷黄琰"</f>
        <v>谷黄琰</v>
      </c>
      <c r="E108" s="9" t="s">
        <v>4</v>
      </c>
      <c r="F108" s="12" t="s">
        <v>49</v>
      </c>
      <c r="G108" s="12" t="s">
        <v>66</v>
      </c>
      <c r="H108" s="12" t="s">
        <v>67</v>
      </c>
    </row>
    <row r="109" spans="1:8" s="1" customFormat="1" ht="45" customHeight="1">
      <c r="A109" s="9">
        <v>107</v>
      </c>
      <c r="B109" s="14" t="s">
        <v>28</v>
      </c>
      <c r="C109" s="14" t="str">
        <f>"200620121411"</f>
        <v>200620121411</v>
      </c>
      <c r="D109" s="14" t="str">
        <f>"颜思思"</f>
        <v>颜思思</v>
      </c>
      <c r="E109" s="9" t="s">
        <v>4</v>
      </c>
      <c r="F109" s="12" t="s">
        <v>49</v>
      </c>
      <c r="G109" s="12" t="s">
        <v>66</v>
      </c>
      <c r="H109" s="12" t="s">
        <v>67</v>
      </c>
    </row>
    <row r="110" spans="1:8" s="1" customFormat="1" ht="45" customHeight="1">
      <c r="A110" s="9">
        <v>108</v>
      </c>
      <c r="B110" s="14" t="s">
        <v>28</v>
      </c>
      <c r="C110" s="14" t="str">
        <f>"200620121704"</f>
        <v>200620121704</v>
      </c>
      <c r="D110" s="14" t="str">
        <f>"颜戴琴"</f>
        <v>颜戴琴</v>
      </c>
      <c r="E110" s="9" t="s">
        <v>4</v>
      </c>
      <c r="F110" s="12" t="s">
        <v>49</v>
      </c>
      <c r="G110" s="12" t="s">
        <v>66</v>
      </c>
      <c r="H110" s="12" t="s">
        <v>67</v>
      </c>
    </row>
    <row r="111" spans="1:8" s="1" customFormat="1" ht="45" customHeight="1">
      <c r="A111" s="9">
        <v>109</v>
      </c>
      <c r="B111" s="14" t="s">
        <v>28</v>
      </c>
      <c r="C111" s="14" t="str">
        <f>"200620121426"</f>
        <v>200620121426</v>
      </c>
      <c r="D111" s="14" t="str">
        <f>"罗文文"</f>
        <v>罗文文</v>
      </c>
      <c r="E111" s="9" t="s">
        <v>4</v>
      </c>
      <c r="F111" s="12" t="s">
        <v>49</v>
      </c>
      <c r="G111" s="12" t="s">
        <v>66</v>
      </c>
      <c r="H111" s="12" t="s">
        <v>67</v>
      </c>
    </row>
    <row r="112" spans="1:8" s="1" customFormat="1" ht="45" customHeight="1">
      <c r="A112" s="9">
        <v>110</v>
      </c>
      <c r="B112" s="14" t="s">
        <v>28</v>
      </c>
      <c r="C112" s="14" t="str">
        <f>"200620121705"</f>
        <v>200620121705</v>
      </c>
      <c r="D112" s="14" t="str">
        <f>"肖程樱子"</f>
        <v>肖程樱子</v>
      </c>
      <c r="E112" s="9" t="s">
        <v>4</v>
      </c>
      <c r="F112" s="12" t="s">
        <v>49</v>
      </c>
      <c r="G112" s="12" t="s">
        <v>66</v>
      </c>
      <c r="H112" s="12" t="s">
        <v>67</v>
      </c>
    </row>
    <row r="113" spans="1:8" s="1" customFormat="1" ht="45" customHeight="1">
      <c r="A113" s="9">
        <v>111</v>
      </c>
      <c r="B113" s="14" t="s">
        <v>28</v>
      </c>
      <c r="C113" s="14" t="str">
        <f>"200620121509"</f>
        <v>200620121509</v>
      </c>
      <c r="D113" s="14" t="str">
        <f>"谭礼红"</f>
        <v>谭礼红</v>
      </c>
      <c r="E113" s="9" t="s">
        <v>4</v>
      </c>
      <c r="F113" s="12" t="s">
        <v>49</v>
      </c>
      <c r="G113" s="12" t="s">
        <v>66</v>
      </c>
      <c r="H113" s="12" t="s">
        <v>67</v>
      </c>
    </row>
    <row r="114" spans="1:8" s="1" customFormat="1" ht="45" customHeight="1">
      <c r="A114" s="9">
        <v>112</v>
      </c>
      <c r="B114" s="14" t="s">
        <v>28</v>
      </c>
      <c r="C114" s="14" t="str">
        <f>"200620121314"</f>
        <v>200620121314</v>
      </c>
      <c r="D114" s="14" t="str">
        <f>"李倍倍"</f>
        <v>李倍倍</v>
      </c>
      <c r="E114" s="9" t="s">
        <v>4</v>
      </c>
      <c r="F114" s="12" t="s">
        <v>49</v>
      </c>
      <c r="G114" s="12" t="s">
        <v>66</v>
      </c>
      <c r="H114" s="12" t="s">
        <v>67</v>
      </c>
    </row>
    <row r="115" spans="1:8" s="1" customFormat="1" ht="45" customHeight="1">
      <c r="A115" s="9">
        <v>113</v>
      </c>
      <c r="B115" s="14" t="s">
        <v>28</v>
      </c>
      <c r="C115" s="14" t="str">
        <f>"200620121425"</f>
        <v>200620121425</v>
      </c>
      <c r="D115" s="14" t="str">
        <f>"毛丽艳"</f>
        <v>毛丽艳</v>
      </c>
      <c r="E115" s="9" t="s">
        <v>4</v>
      </c>
      <c r="F115" s="12" t="s">
        <v>49</v>
      </c>
      <c r="G115" s="12" t="s">
        <v>66</v>
      </c>
      <c r="H115" s="12" t="s">
        <v>67</v>
      </c>
    </row>
    <row r="116" spans="1:8" s="1" customFormat="1" ht="45" customHeight="1">
      <c r="A116" s="9">
        <v>114</v>
      </c>
      <c r="B116" s="14" t="s">
        <v>28</v>
      </c>
      <c r="C116" s="14" t="str">
        <f>"200620121715"</f>
        <v>200620121715</v>
      </c>
      <c r="D116" s="14" t="str">
        <f>"尹娟萍"</f>
        <v>尹娟萍</v>
      </c>
      <c r="E116" s="9" t="s">
        <v>4</v>
      </c>
      <c r="F116" s="12" t="s">
        <v>49</v>
      </c>
      <c r="G116" s="12" t="s">
        <v>66</v>
      </c>
      <c r="H116" s="12" t="s">
        <v>67</v>
      </c>
    </row>
    <row r="117" spans="1:8" s="1" customFormat="1" ht="45" customHeight="1">
      <c r="A117" s="9">
        <v>115</v>
      </c>
      <c r="B117" s="14" t="s">
        <v>28</v>
      </c>
      <c r="C117" s="14" t="str">
        <f>"200620121316"</f>
        <v>200620121316</v>
      </c>
      <c r="D117" s="14" t="str">
        <f>"陈艳平"</f>
        <v>陈艳平</v>
      </c>
      <c r="E117" s="9" t="s">
        <v>4</v>
      </c>
      <c r="F117" s="12" t="s">
        <v>49</v>
      </c>
      <c r="G117" s="12" t="s">
        <v>66</v>
      </c>
      <c r="H117" s="12" t="s">
        <v>67</v>
      </c>
    </row>
    <row r="118" spans="1:8" s="1" customFormat="1" ht="45" customHeight="1">
      <c r="A118" s="9">
        <v>116</v>
      </c>
      <c r="B118" s="14" t="s">
        <v>28</v>
      </c>
      <c r="C118" s="14" t="str">
        <f>"200620121506"</f>
        <v>200620121506</v>
      </c>
      <c r="D118" s="14" t="str">
        <f>"谭刘洋"</f>
        <v>谭刘洋</v>
      </c>
      <c r="E118" s="9" t="s">
        <v>4</v>
      </c>
      <c r="F118" s="12" t="s">
        <v>49</v>
      </c>
      <c r="G118" s="12" t="s">
        <v>66</v>
      </c>
      <c r="H118" s="12" t="s">
        <v>67</v>
      </c>
    </row>
    <row r="119" spans="1:8" s="1" customFormat="1" ht="45" customHeight="1">
      <c r="A119" s="9">
        <v>117</v>
      </c>
      <c r="B119" s="14" t="s">
        <v>28</v>
      </c>
      <c r="C119" s="14" t="str">
        <f>"200620121508"</f>
        <v>200620121508</v>
      </c>
      <c r="D119" s="14" t="str">
        <f>"曾淑婷"</f>
        <v>曾淑婷</v>
      </c>
      <c r="E119" s="9" t="s">
        <v>4</v>
      </c>
      <c r="F119" s="12" t="s">
        <v>49</v>
      </c>
      <c r="G119" s="12" t="s">
        <v>66</v>
      </c>
      <c r="H119" s="12" t="s">
        <v>67</v>
      </c>
    </row>
    <row r="120" spans="1:8" s="1" customFormat="1" ht="45" customHeight="1">
      <c r="A120" s="9">
        <v>118</v>
      </c>
      <c r="B120" s="14" t="s">
        <v>28</v>
      </c>
      <c r="C120" s="14" t="str">
        <f>"200620121313"</f>
        <v>200620121313</v>
      </c>
      <c r="D120" s="14" t="str">
        <f>"谭一红"</f>
        <v>谭一红</v>
      </c>
      <c r="E120" s="9" t="s">
        <v>4</v>
      </c>
      <c r="F120" s="12" t="s">
        <v>49</v>
      </c>
      <c r="G120" s="12" t="s">
        <v>66</v>
      </c>
      <c r="H120" s="12" t="s">
        <v>67</v>
      </c>
    </row>
    <row r="121" spans="1:8" s="1" customFormat="1" ht="45" customHeight="1">
      <c r="A121" s="9">
        <v>119</v>
      </c>
      <c r="B121" s="14" t="s">
        <v>28</v>
      </c>
      <c r="C121" s="14" t="str">
        <f>"200620121605"</f>
        <v>200620121605</v>
      </c>
      <c r="D121" s="14" t="str">
        <f>"张玉婷"</f>
        <v>张玉婷</v>
      </c>
      <c r="E121" s="9" t="s">
        <v>4</v>
      </c>
      <c r="F121" s="12" t="s">
        <v>49</v>
      </c>
      <c r="G121" s="12" t="s">
        <v>66</v>
      </c>
      <c r="H121" s="12" t="s">
        <v>67</v>
      </c>
    </row>
    <row r="122" spans="1:8" s="1" customFormat="1" ht="45" customHeight="1">
      <c r="A122" s="9">
        <v>120</v>
      </c>
      <c r="B122" s="14" t="s">
        <v>28</v>
      </c>
      <c r="C122" s="14" t="str">
        <f>"200620121728"</f>
        <v>200620121728</v>
      </c>
      <c r="D122" s="14" t="str">
        <f>"谭婧楠"</f>
        <v>谭婧楠</v>
      </c>
      <c r="E122" s="9" t="s">
        <v>4</v>
      </c>
      <c r="F122" s="12" t="s">
        <v>49</v>
      </c>
      <c r="G122" s="12" t="s">
        <v>66</v>
      </c>
      <c r="H122" s="12" t="s">
        <v>67</v>
      </c>
    </row>
    <row r="123" spans="1:8" s="1" customFormat="1" ht="45" customHeight="1">
      <c r="A123" s="9">
        <v>121</v>
      </c>
      <c r="B123" s="14" t="s">
        <v>28</v>
      </c>
      <c r="C123" s="14" t="str">
        <f>"200620121430"</f>
        <v>200620121430</v>
      </c>
      <c r="D123" s="14" t="str">
        <f>"邓朝姣"</f>
        <v>邓朝姣</v>
      </c>
      <c r="E123" s="9" t="s">
        <v>4</v>
      </c>
      <c r="F123" s="12" t="s">
        <v>49</v>
      </c>
      <c r="G123" s="12" t="s">
        <v>66</v>
      </c>
      <c r="H123" s="12" t="s">
        <v>67</v>
      </c>
    </row>
    <row r="124" spans="1:8" s="1" customFormat="1" ht="45" customHeight="1">
      <c r="A124" s="9">
        <v>122</v>
      </c>
      <c r="B124" s="14" t="s">
        <v>28</v>
      </c>
      <c r="C124" s="14" t="str">
        <f>"200620121413"</f>
        <v>200620121413</v>
      </c>
      <c r="D124" s="14" t="str">
        <f>"罗佳敏"</f>
        <v>罗佳敏</v>
      </c>
      <c r="E124" s="9" t="s">
        <v>4</v>
      </c>
      <c r="F124" s="12" t="s">
        <v>49</v>
      </c>
      <c r="G124" s="12" t="s">
        <v>66</v>
      </c>
      <c r="H124" s="12" t="s">
        <v>67</v>
      </c>
    </row>
    <row r="125" spans="1:8" s="1" customFormat="1" ht="45" customHeight="1">
      <c r="A125" s="9">
        <v>123</v>
      </c>
      <c r="B125" s="14" t="s">
        <v>28</v>
      </c>
      <c r="C125" s="14" t="str">
        <f>"200620121315"</f>
        <v>200620121315</v>
      </c>
      <c r="D125" s="14" t="str">
        <f>"蒋丽霞"</f>
        <v>蒋丽霞</v>
      </c>
      <c r="E125" s="9" t="s">
        <v>4</v>
      </c>
      <c r="F125" s="12" t="s">
        <v>49</v>
      </c>
      <c r="G125" s="12" t="s">
        <v>66</v>
      </c>
      <c r="H125" s="12" t="s">
        <v>67</v>
      </c>
    </row>
    <row r="126" spans="1:8" s="1" customFormat="1" ht="45" customHeight="1">
      <c r="A126" s="9">
        <v>124</v>
      </c>
      <c r="B126" s="14" t="s">
        <v>28</v>
      </c>
      <c r="C126" s="14" t="str">
        <f>"200620121505"</f>
        <v>200620121505</v>
      </c>
      <c r="D126" s="14" t="str">
        <f>"陈滢滢"</f>
        <v>陈滢滢</v>
      </c>
      <c r="E126" s="9" t="s">
        <v>4</v>
      </c>
      <c r="F126" s="12" t="s">
        <v>49</v>
      </c>
      <c r="G126" s="12" t="s">
        <v>66</v>
      </c>
      <c r="H126" s="12" t="s">
        <v>67</v>
      </c>
    </row>
    <row r="127" spans="1:8" s="1" customFormat="1" ht="45" customHeight="1">
      <c r="A127" s="9">
        <v>125</v>
      </c>
      <c r="B127" s="14" t="s">
        <v>28</v>
      </c>
      <c r="C127" s="14" t="str">
        <f>"200620121527"</f>
        <v>200620121527</v>
      </c>
      <c r="D127" s="14" t="str">
        <f>"尹志国"</f>
        <v>尹志国</v>
      </c>
      <c r="E127" s="9" t="s">
        <v>4</v>
      </c>
      <c r="F127" s="12" t="s">
        <v>49</v>
      </c>
      <c r="G127" s="12" t="s">
        <v>66</v>
      </c>
      <c r="H127" s="12" t="s">
        <v>67</v>
      </c>
    </row>
    <row r="128" spans="1:8" s="1" customFormat="1" ht="45" customHeight="1">
      <c r="A128" s="9">
        <v>126</v>
      </c>
      <c r="B128" s="14" t="s">
        <v>28</v>
      </c>
      <c r="C128" s="14" t="str">
        <f>"200620121428"</f>
        <v>200620121428</v>
      </c>
      <c r="D128" s="14" t="str">
        <f>"陈歆潾"</f>
        <v>陈歆潾</v>
      </c>
      <c r="E128" s="9" t="s">
        <v>4</v>
      </c>
      <c r="F128" s="12" t="s">
        <v>49</v>
      </c>
      <c r="G128" s="12" t="s">
        <v>66</v>
      </c>
      <c r="H128" s="12" t="s">
        <v>67</v>
      </c>
    </row>
    <row r="129" spans="1:8" s="1" customFormat="1" ht="45" customHeight="1">
      <c r="A129" s="9">
        <v>127</v>
      </c>
      <c r="B129" s="14" t="s">
        <v>28</v>
      </c>
      <c r="C129" s="14" t="str">
        <f>"200620121729"</f>
        <v>200620121729</v>
      </c>
      <c r="D129" s="14" t="str">
        <f>"吉艳群"</f>
        <v>吉艳群</v>
      </c>
      <c r="E129" s="9" t="s">
        <v>4</v>
      </c>
      <c r="F129" s="12" t="s">
        <v>49</v>
      </c>
      <c r="G129" s="12" t="s">
        <v>66</v>
      </c>
      <c r="H129" s="12" t="s">
        <v>67</v>
      </c>
    </row>
    <row r="130" spans="1:8" s="1" customFormat="1" ht="45" customHeight="1">
      <c r="A130" s="9">
        <v>128</v>
      </c>
      <c r="B130" s="14" t="s">
        <v>28</v>
      </c>
      <c r="C130" s="14" t="str">
        <f>"200620121304"</f>
        <v>200620121304</v>
      </c>
      <c r="D130" s="14" t="str">
        <f>"林艳辉"</f>
        <v>林艳辉</v>
      </c>
      <c r="E130" s="9" t="s">
        <v>50</v>
      </c>
      <c r="F130" s="12" t="s">
        <v>49</v>
      </c>
      <c r="G130" s="12" t="s">
        <v>66</v>
      </c>
      <c r="H130" s="12" t="s">
        <v>67</v>
      </c>
    </row>
    <row r="131" spans="1:8" s="1" customFormat="1" ht="45" customHeight="1">
      <c r="A131" s="9">
        <v>129</v>
      </c>
      <c r="B131" s="14" t="s">
        <v>28</v>
      </c>
      <c r="C131" s="14" t="str">
        <f>"200620121401"</f>
        <v>200620121401</v>
      </c>
      <c r="D131" s="14" t="str">
        <f>"廖星星"</f>
        <v>廖星星</v>
      </c>
      <c r="E131" s="9" t="s">
        <v>50</v>
      </c>
      <c r="F131" s="12" t="s">
        <v>49</v>
      </c>
      <c r="G131" s="12" t="s">
        <v>66</v>
      </c>
      <c r="H131" s="12" t="s">
        <v>67</v>
      </c>
    </row>
    <row r="132" spans="1:8" s="1" customFormat="1" ht="45" customHeight="1">
      <c r="A132" s="9">
        <v>130</v>
      </c>
      <c r="B132" s="14" t="s">
        <v>28</v>
      </c>
      <c r="C132" s="14" t="str">
        <f>"200620121320"</f>
        <v>200620121320</v>
      </c>
      <c r="D132" s="14" t="str">
        <f>"常菊"</f>
        <v>常菊</v>
      </c>
      <c r="E132" s="9" t="s">
        <v>4</v>
      </c>
      <c r="F132" s="12" t="s">
        <v>49</v>
      </c>
      <c r="G132" s="12" t="s">
        <v>66</v>
      </c>
      <c r="H132" s="12" t="s">
        <v>67</v>
      </c>
    </row>
    <row r="133" spans="1:8" s="1" customFormat="1" ht="45" customHeight="1">
      <c r="A133" s="9">
        <v>131</v>
      </c>
      <c r="B133" s="14" t="s">
        <v>28</v>
      </c>
      <c r="C133" s="14" t="str">
        <f>"200620121420"</f>
        <v>200620121420</v>
      </c>
      <c r="D133" s="14" t="str">
        <f>"卿珊珊"</f>
        <v>卿珊珊</v>
      </c>
      <c r="E133" s="9" t="s">
        <v>4</v>
      </c>
      <c r="F133" s="12" t="s">
        <v>49</v>
      </c>
      <c r="G133" s="12" t="s">
        <v>66</v>
      </c>
      <c r="H133" s="12" t="s">
        <v>67</v>
      </c>
    </row>
    <row r="134" spans="1:8" s="1" customFormat="1" ht="45" customHeight="1">
      <c r="A134" s="9">
        <v>132</v>
      </c>
      <c r="B134" s="14" t="s">
        <v>28</v>
      </c>
      <c r="C134" s="14" t="str">
        <f>"200620121727"</f>
        <v>200620121727</v>
      </c>
      <c r="D134" s="14" t="str">
        <f>"谭惜斤"</f>
        <v>谭惜斤</v>
      </c>
      <c r="E134" s="9" t="s">
        <v>4</v>
      </c>
      <c r="F134" s="12" t="s">
        <v>49</v>
      </c>
      <c r="G134" s="12" t="s">
        <v>66</v>
      </c>
      <c r="H134" s="12" t="s">
        <v>67</v>
      </c>
    </row>
    <row r="135" spans="1:8" s="1" customFormat="1" ht="45" customHeight="1">
      <c r="A135" s="9">
        <v>133</v>
      </c>
      <c r="B135" s="14" t="s">
        <v>28</v>
      </c>
      <c r="C135" s="14" t="str">
        <f>"200620121429"</f>
        <v>200620121429</v>
      </c>
      <c r="D135" s="14" t="str">
        <f>"陈亭亭"</f>
        <v>陈亭亭</v>
      </c>
      <c r="E135" s="9" t="s">
        <v>4</v>
      </c>
      <c r="F135" s="12" t="s">
        <v>49</v>
      </c>
      <c r="G135" s="12" t="s">
        <v>66</v>
      </c>
      <c r="H135" s="12" t="s">
        <v>67</v>
      </c>
    </row>
    <row r="136" spans="1:8" s="1" customFormat="1" ht="45" customHeight="1">
      <c r="A136" s="9">
        <v>134</v>
      </c>
      <c r="B136" s="14" t="s">
        <v>28</v>
      </c>
      <c r="C136" s="14" t="str">
        <f>"200620121327"</f>
        <v>200620121327</v>
      </c>
      <c r="D136" s="14" t="str">
        <f>"曾丽锋"</f>
        <v>曾丽锋</v>
      </c>
      <c r="E136" s="9" t="s">
        <v>4</v>
      </c>
      <c r="F136" s="12" t="s">
        <v>49</v>
      </c>
      <c r="G136" s="12" t="s">
        <v>66</v>
      </c>
      <c r="H136" s="12" t="s">
        <v>67</v>
      </c>
    </row>
    <row r="137" spans="1:8" s="1" customFormat="1" ht="45" customHeight="1">
      <c r="A137" s="9">
        <v>135</v>
      </c>
      <c r="B137" s="14" t="s">
        <v>28</v>
      </c>
      <c r="C137" s="14" t="str">
        <f>"200620121318"</f>
        <v>200620121318</v>
      </c>
      <c r="D137" s="14" t="str">
        <f>"何林婷"</f>
        <v>何林婷</v>
      </c>
      <c r="E137" s="9" t="s">
        <v>4</v>
      </c>
      <c r="F137" s="12" t="s">
        <v>49</v>
      </c>
      <c r="G137" s="12" t="s">
        <v>66</v>
      </c>
      <c r="H137" s="12" t="s">
        <v>67</v>
      </c>
    </row>
    <row r="138" spans="1:8" s="1" customFormat="1" ht="45" customHeight="1">
      <c r="A138" s="9">
        <v>136</v>
      </c>
      <c r="B138" s="14" t="s">
        <v>28</v>
      </c>
      <c r="C138" s="14" t="str">
        <f>"200620121631"</f>
        <v>200620121631</v>
      </c>
      <c r="D138" s="14" t="str">
        <f>"谭娟"</f>
        <v>谭娟</v>
      </c>
      <c r="E138" s="9" t="s">
        <v>4</v>
      </c>
      <c r="F138" s="12" t="s">
        <v>49</v>
      </c>
      <c r="G138" s="12" t="s">
        <v>66</v>
      </c>
      <c r="H138" s="12" t="s">
        <v>67</v>
      </c>
    </row>
    <row r="139" spans="1:8" s="1" customFormat="1" ht="45" customHeight="1">
      <c r="A139" s="9">
        <v>137</v>
      </c>
      <c r="B139" s="14" t="s">
        <v>28</v>
      </c>
      <c r="C139" s="14" t="str">
        <f>"200620121526"</f>
        <v>200620121526</v>
      </c>
      <c r="D139" s="14" t="str">
        <f>"王蓉"</f>
        <v>王蓉</v>
      </c>
      <c r="E139" s="9" t="s">
        <v>4</v>
      </c>
      <c r="F139" s="12" t="s">
        <v>49</v>
      </c>
      <c r="G139" s="12" t="s">
        <v>66</v>
      </c>
      <c r="H139" s="12" t="s">
        <v>67</v>
      </c>
    </row>
    <row r="140" spans="1:8" s="1" customFormat="1" ht="45" customHeight="1">
      <c r="A140" s="9">
        <v>138</v>
      </c>
      <c r="B140" s="14" t="s">
        <v>28</v>
      </c>
      <c r="C140" s="14" t="str">
        <f>"200620121730"</f>
        <v>200620121730</v>
      </c>
      <c r="D140" s="14" t="str">
        <f>"周艳群"</f>
        <v>周艳群</v>
      </c>
      <c r="E140" s="9" t="s">
        <v>4</v>
      </c>
      <c r="F140" s="12" t="s">
        <v>49</v>
      </c>
      <c r="G140" s="12" t="s">
        <v>66</v>
      </c>
      <c r="H140" s="12" t="s">
        <v>67</v>
      </c>
    </row>
    <row r="141" spans="1:8" s="1" customFormat="1" ht="45" customHeight="1">
      <c r="A141" s="9">
        <v>139</v>
      </c>
      <c r="B141" s="14" t="s">
        <v>28</v>
      </c>
      <c r="C141" s="14" t="str">
        <f>"200620121610"</f>
        <v>200620121610</v>
      </c>
      <c r="D141" s="14" t="str">
        <f>"贺莉萍"</f>
        <v>贺莉萍</v>
      </c>
      <c r="E141" s="9" t="s">
        <v>4</v>
      </c>
      <c r="F141" s="12" t="s">
        <v>49</v>
      </c>
      <c r="G141" s="12" t="s">
        <v>66</v>
      </c>
      <c r="H141" s="12" t="s">
        <v>67</v>
      </c>
    </row>
    <row r="142" spans="1:8" s="1" customFormat="1" ht="45" customHeight="1">
      <c r="A142" s="9">
        <v>140</v>
      </c>
      <c r="B142" s="14" t="s">
        <v>28</v>
      </c>
      <c r="C142" s="14" t="str">
        <f>"200620121522"</f>
        <v>200620121522</v>
      </c>
      <c r="D142" s="14" t="str">
        <f>"周婷婷"</f>
        <v>周婷婷</v>
      </c>
      <c r="E142" s="9" t="s">
        <v>4</v>
      </c>
      <c r="F142" s="12" t="s">
        <v>49</v>
      </c>
      <c r="G142" s="12" t="s">
        <v>66</v>
      </c>
      <c r="H142" s="12" t="s">
        <v>67</v>
      </c>
    </row>
    <row r="143" spans="1:8" s="1" customFormat="1" ht="45" customHeight="1">
      <c r="A143" s="9">
        <v>141</v>
      </c>
      <c r="B143" s="14" t="s">
        <v>28</v>
      </c>
      <c r="C143" s="14" t="str">
        <f>"200620121412"</f>
        <v>200620121412</v>
      </c>
      <c r="D143" s="14" t="str">
        <f>"谭陈颖"</f>
        <v>谭陈颖</v>
      </c>
      <c r="E143" s="9" t="s">
        <v>4</v>
      </c>
      <c r="F143" s="12" t="s">
        <v>49</v>
      </c>
      <c r="G143" s="12" t="s">
        <v>66</v>
      </c>
      <c r="H143" s="12" t="s">
        <v>67</v>
      </c>
    </row>
    <row r="144" spans="1:8" s="1" customFormat="1" ht="45" customHeight="1">
      <c r="A144" s="9">
        <v>142</v>
      </c>
      <c r="B144" s="14" t="s">
        <v>28</v>
      </c>
      <c r="C144" s="14" t="str">
        <f>"200620121530"</f>
        <v>200620121530</v>
      </c>
      <c r="D144" s="14" t="str">
        <f>"杨莉莎"</f>
        <v>杨莉莎</v>
      </c>
      <c r="E144" s="9" t="s">
        <v>4</v>
      </c>
      <c r="F144" s="12" t="s">
        <v>49</v>
      </c>
      <c r="G144" s="12" t="s">
        <v>66</v>
      </c>
      <c r="H144" s="12" t="s">
        <v>67</v>
      </c>
    </row>
    <row r="145" spans="1:8" s="1" customFormat="1" ht="45" customHeight="1">
      <c r="A145" s="9">
        <v>143</v>
      </c>
      <c r="B145" s="14" t="s">
        <v>28</v>
      </c>
      <c r="C145" s="14" t="str">
        <f>"200620121721"</f>
        <v>200620121721</v>
      </c>
      <c r="D145" s="14" t="str">
        <f>"李莹"</f>
        <v>李莹</v>
      </c>
      <c r="E145" s="9" t="s">
        <v>4</v>
      </c>
      <c r="F145" s="12" t="s">
        <v>49</v>
      </c>
      <c r="G145" s="12" t="s">
        <v>66</v>
      </c>
      <c r="H145" s="12" t="s">
        <v>67</v>
      </c>
    </row>
    <row r="146" spans="1:8" s="1" customFormat="1" ht="45" customHeight="1">
      <c r="A146" s="9">
        <v>144</v>
      </c>
      <c r="B146" s="14" t="s">
        <v>28</v>
      </c>
      <c r="C146" s="14" t="str">
        <f>"200620121724"</f>
        <v>200620121724</v>
      </c>
      <c r="D146" s="14" t="str">
        <f>"周旋"</f>
        <v>周旋</v>
      </c>
      <c r="E146" s="9" t="s">
        <v>4</v>
      </c>
      <c r="F146" s="12" t="s">
        <v>49</v>
      </c>
      <c r="G146" s="12" t="s">
        <v>66</v>
      </c>
      <c r="H146" s="12" t="s">
        <v>67</v>
      </c>
    </row>
    <row r="147" spans="1:8" s="1" customFormat="1" ht="45" customHeight="1">
      <c r="A147" s="9">
        <v>145</v>
      </c>
      <c r="B147" s="14" t="s">
        <v>28</v>
      </c>
      <c r="C147" s="14" t="str">
        <f>"200620121719"</f>
        <v>200620121719</v>
      </c>
      <c r="D147" s="14" t="str">
        <f>"刘建蓉"</f>
        <v>刘建蓉</v>
      </c>
      <c r="E147" s="9" t="s">
        <v>4</v>
      </c>
      <c r="F147" s="12" t="s">
        <v>49</v>
      </c>
      <c r="G147" s="12" t="s">
        <v>66</v>
      </c>
      <c r="H147" s="12" t="s">
        <v>67</v>
      </c>
    </row>
    <row r="148" spans="1:8" s="1" customFormat="1" ht="45" customHeight="1">
      <c r="A148" s="9">
        <v>146</v>
      </c>
      <c r="B148" s="14" t="s">
        <v>28</v>
      </c>
      <c r="C148" s="14" t="str">
        <f>"200620121511"</f>
        <v>200620121511</v>
      </c>
      <c r="D148" s="14" t="str">
        <f>"刘思"</f>
        <v>刘思</v>
      </c>
      <c r="E148" s="9" t="s">
        <v>4</v>
      </c>
      <c r="F148" s="12" t="s">
        <v>49</v>
      </c>
      <c r="G148" s="12" t="s">
        <v>66</v>
      </c>
      <c r="H148" s="12" t="s">
        <v>67</v>
      </c>
    </row>
    <row r="149" spans="1:8" s="1" customFormat="1" ht="45" customHeight="1">
      <c r="A149" s="9">
        <v>147</v>
      </c>
      <c r="B149" s="14" t="s">
        <v>28</v>
      </c>
      <c r="C149" s="14" t="str">
        <f>"200620121732"</f>
        <v>200620121732</v>
      </c>
      <c r="D149" s="14" t="str">
        <f>"黄珍珍"</f>
        <v>黄珍珍</v>
      </c>
      <c r="E149" s="11" t="s">
        <v>4</v>
      </c>
      <c r="F149" s="12" t="s">
        <v>49</v>
      </c>
      <c r="G149" s="12" t="s">
        <v>66</v>
      </c>
      <c r="H149" s="12" t="s">
        <v>67</v>
      </c>
    </row>
    <row r="150" spans="1:8" s="1" customFormat="1" ht="45" customHeight="1">
      <c r="A150" s="9">
        <v>148</v>
      </c>
      <c r="B150" s="14" t="s">
        <v>28</v>
      </c>
      <c r="C150" s="14" t="str">
        <f>"200620121604"</f>
        <v>200620121604</v>
      </c>
      <c r="D150" s="14" t="str">
        <f>"刘学奇"</f>
        <v>刘学奇</v>
      </c>
      <c r="E150" s="9" t="s">
        <v>4</v>
      </c>
      <c r="F150" s="12" t="s">
        <v>49</v>
      </c>
      <c r="G150" s="12" t="s">
        <v>66</v>
      </c>
      <c r="H150" s="12" t="s">
        <v>67</v>
      </c>
    </row>
    <row r="151" spans="1:8" s="1" customFormat="1" ht="45" customHeight="1">
      <c r="A151" s="9">
        <v>149</v>
      </c>
      <c r="B151" s="14" t="s">
        <v>28</v>
      </c>
      <c r="C151" s="14" t="str">
        <f>"200620121615"</f>
        <v>200620121615</v>
      </c>
      <c r="D151" s="14" t="str">
        <f>"谭玮琪"</f>
        <v>谭玮琪</v>
      </c>
      <c r="E151" s="11" t="s">
        <v>4</v>
      </c>
      <c r="F151" s="12" t="s">
        <v>49</v>
      </c>
      <c r="G151" s="12" t="s">
        <v>66</v>
      </c>
      <c r="H151" s="12" t="s">
        <v>67</v>
      </c>
    </row>
    <row r="152" spans="1:8" s="1" customFormat="1" ht="45" customHeight="1">
      <c r="A152" s="9">
        <v>150</v>
      </c>
      <c r="B152" s="10" t="s">
        <v>28</v>
      </c>
      <c r="C152" s="10" t="str">
        <f>"200620121503"</f>
        <v>200620121503</v>
      </c>
      <c r="D152" s="10" t="str">
        <f>"肖亦依"</f>
        <v>肖亦依</v>
      </c>
      <c r="E152" s="9" t="s">
        <v>4</v>
      </c>
      <c r="F152" s="12" t="s">
        <v>49</v>
      </c>
      <c r="G152" s="12" t="s">
        <v>66</v>
      </c>
      <c r="H152" s="12" t="s">
        <v>67</v>
      </c>
    </row>
    <row r="153" spans="1:8" s="1" customFormat="1" ht="45" customHeight="1">
      <c r="A153" s="9">
        <v>151</v>
      </c>
      <c r="B153" s="14" t="s">
        <v>28</v>
      </c>
      <c r="C153" s="14" t="str">
        <f>"200620121419"</f>
        <v>200620121419</v>
      </c>
      <c r="D153" s="14" t="str">
        <f>"陈艳"</f>
        <v>陈艳</v>
      </c>
      <c r="E153" s="11" t="s">
        <v>4</v>
      </c>
      <c r="F153" s="12" t="s">
        <v>49</v>
      </c>
      <c r="G153" s="12" t="s">
        <v>66</v>
      </c>
      <c r="H153" s="12" t="s">
        <v>67</v>
      </c>
    </row>
    <row r="154" spans="1:8" s="1" customFormat="1" ht="45" customHeight="1">
      <c r="A154" s="9">
        <v>152</v>
      </c>
      <c r="B154" s="24" t="s">
        <v>28</v>
      </c>
      <c r="C154" s="24" t="str">
        <f>"200620121501"</f>
        <v>200620121501</v>
      </c>
      <c r="D154" s="24" t="str">
        <f>"颜乐霞"</f>
        <v>颜乐霞</v>
      </c>
      <c r="E154" s="11" t="s">
        <v>50</v>
      </c>
      <c r="F154" s="12" t="s">
        <v>49</v>
      </c>
      <c r="G154" s="12" t="s">
        <v>66</v>
      </c>
      <c r="H154" s="12" t="s">
        <v>67</v>
      </c>
    </row>
    <row r="155" spans="1:8" s="1" customFormat="1" ht="45" customHeight="1">
      <c r="A155" s="9">
        <v>153</v>
      </c>
      <c r="B155" s="14" t="s">
        <v>28</v>
      </c>
      <c r="C155" s="14" t="str">
        <f>"200620121328"</f>
        <v>200620121328</v>
      </c>
      <c r="D155" s="14" t="str">
        <f>"李玲"</f>
        <v>李玲</v>
      </c>
      <c r="E155" s="9" t="s">
        <v>4</v>
      </c>
      <c r="F155" s="12" t="s">
        <v>49</v>
      </c>
      <c r="G155" s="12" t="s">
        <v>66</v>
      </c>
      <c r="H155" s="12" t="s">
        <v>67</v>
      </c>
    </row>
    <row r="156" spans="1:8" s="1" customFormat="1" ht="45" customHeight="1">
      <c r="A156" s="9">
        <v>154</v>
      </c>
      <c r="B156" s="14" t="s">
        <v>28</v>
      </c>
      <c r="C156" s="14" t="str">
        <f>"200620121329"</f>
        <v>200620121329</v>
      </c>
      <c r="D156" s="14" t="str">
        <f>"周明"</f>
        <v>周明</v>
      </c>
      <c r="E156" s="9" t="s">
        <v>4</v>
      </c>
      <c r="F156" s="12" t="s">
        <v>49</v>
      </c>
      <c r="G156" s="12" t="s">
        <v>66</v>
      </c>
      <c r="H156" s="12" t="s">
        <v>67</v>
      </c>
    </row>
    <row r="157" spans="1:8" s="1" customFormat="1" ht="45" customHeight="1">
      <c r="A157" s="9">
        <v>155</v>
      </c>
      <c r="B157" s="14" t="s">
        <v>28</v>
      </c>
      <c r="C157" s="14" t="str">
        <f>"200620121406"</f>
        <v>200620121406</v>
      </c>
      <c r="D157" s="14" t="str">
        <f>"陈梦瑶"</f>
        <v>陈梦瑶</v>
      </c>
      <c r="E157" s="9" t="s">
        <v>4</v>
      </c>
      <c r="F157" s="12" t="s">
        <v>49</v>
      </c>
      <c r="G157" s="12" t="s">
        <v>66</v>
      </c>
      <c r="H157" s="12" t="s">
        <v>67</v>
      </c>
    </row>
    <row r="158" spans="1:8" s="1" customFormat="1" ht="45" customHeight="1" thickBot="1">
      <c r="A158" s="25">
        <v>156</v>
      </c>
      <c r="B158" s="22" t="s">
        <v>28</v>
      </c>
      <c r="C158" s="22" t="str">
        <f>"200620121608"</f>
        <v>200620121608</v>
      </c>
      <c r="D158" s="22" t="str">
        <f>"彭梦萍"</f>
        <v>彭梦萍</v>
      </c>
      <c r="E158" s="25" t="s">
        <v>4</v>
      </c>
      <c r="F158" s="19" t="s">
        <v>49</v>
      </c>
      <c r="G158" s="19" t="s">
        <v>68</v>
      </c>
      <c r="H158" s="19" t="s">
        <v>67</v>
      </c>
    </row>
    <row r="159" spans="1:8" s="1" customFormat="1" ht="45" customHeight="1" thickTop="1">
      <c r="A159" s="11">
        <v>157</v>
      </c>
      <c r="B159" s="10" t="s">
        <v>29</v>
      </c>
      <c r="C159" s="10" t="str">
        <f>"200620122030"</f>
        <v>200620122030</v>
      </c>
      <c r="D159" s="10" t="s">
        <v>41</v>
      </c>
      <c r="E159" s="11" t="s">
        <v>4</v>
      </c>
      <c r="F159" s="12" t="s">
        <v>51</v>
      </c>
      <c r="G159" s="12" t="s">
        <v>69</v>
      </c>
      <c r="H159" s="12" t="s">
        <v>70</v>
      </c>
    </row>
    <row r="160" spans="1:8" s="1" customFormat="1" ht="45" customHeight="1">
      <c r="A160" s="9">
        <v>158</v>
      </c>
      <c r="B160" s="14" t="s">
        <v>29</v>
      </c>
      <c r="C160" s="14" t="str">
        <f>"200620122204"</f>
        <v>200620122204</v>
      </c>
      <c r="D160" s="14" t="str">
        <f>"周陈玲"</f>
        <v>周陈玲</v>
      </c>
      <c r="E160" s="9" t="s">
        <v>4</v>
      </c>
      <c r="F160" s="12" t="s">
        <v>51</v>
      </c>
      <c r="G160" s="12" t="s">
        <v>69</v>
      </c>
      <c r="H160" s="12" t="s">
        <v>70</v>
      </c>
    </row>
    <row r="161" spans="1:8" s="1" customFormat="1" ht="45" customHeight="1">
      <c r="A161" s="9">
        <v>159</v>
      </c>
      <c r="B161" s="14" t="s">
        <v>29</v>
      </c>
      <c r="C161" s="14" t="str">
        <f>"200620122127"</f>
        <v>200620122127</v>
      </c>
      <c r="D161" s="14" t="str">
        <f>"何协红"</f>
        <v>何协红</v>
      </c>
      <c r="E161" s="9" t="s">
        <v>4</v>
      </c>
      <c r="F161" s="12" t="s">
        <v>51</v>
      </c>
      <c r="G161" s="12" t="s">
        <v>69</v>
      </c>
      <c r="H161" s="12" t="s">
        <v>70</v>
      </c>
    </row>
    <row r="162" spans="1:8" s="1" customFormat="1" ht="45" customHeight="1">
      <c r="A162" s="9">
        <v>160</v>
      </c>
      <c r="B162" s="14" t="s">
        <v>29</v>
      </c>
      <c r="C162" s="14" t="str">
        <f>"200620121831"</f>
        <v>200620121831</v>
      </c>
      <c r="D162" s="14" t="str">
        <f>"陈珊珊"</f>
        <v>陈珊珊</v>
      </c>
      <c r="E162" s="9" t="s">
        <v>4</v>
      </c>
      <c r="F162" s="12" t="s">
        <v>51</v>
      </c>
      <c r="G162" s="12" t="s">
        <v>69</v>
      </c>
      <c r="H162" s="12" t="s">
        <v>70</v>
      </c>
    </row>
    <row r="163" spans="1:8" s="1" customFormat="1" ht="45" customHeight="1">
      <c r="A163" s="9">
        <v>161</v>
      </c>
      <c r="B163" s="14" t="s">
        <v>29</v>
      </c>
      <c r="C163" s="14" t="str">
        <f>"200620121825"</f>
        <v>200620121825</v>
      </c>
      <c r="D163" s="14" t="str">
        <f>"朱奇玉"</f>
        <v>朱奇玉</v>
      </c>
      <c r="E163" s="9" t="s">
        <v>4</v>
      </c>
      <c r="F163" s="12" t="s">
        <v>51</v>
      </c>
      <c r="G163" s="12" t="s">
        <v>69</v>
      </c>
      <c r="H163" s="12" t="s">
        <v>70</v>
      </c>
    </row>
    <row r="164" spans="1:8" s="1" customFormat="1" ht="45" customHeight="1">
      <c r="A164" s="9">
        <v>162</v>
      </c>
      <c r="B164" s="14" t="s">
        <v>29</v>
      </c>
      <c r="C164" s="14" t="str">
        <f>"200620122011"</f>
        <v>200620122011</v>
      </c>
      <c r="D164" s="14" t="str">
        <f>"雷雨琪"</f>
        <v>雷雨琪</v>
      </c>
      <c r="E164" s="9" t="s">
        <v>4</v>
      </c>
      <c r="F164" s="12" t="s">
        <v>51</v>
      </c>
      <c r="G164" s="12" t="s">
        <v>69</v>
      </c>
      <c r="H164" s="12" t="s">
        <v>70</v>
      </c>
    </row>
    <row r="165" spans="1:8" s="1" customFormat="1" ht="45" customHeight="1">
      <c r="A165" s="9">
        <v>163</v>
      </c>
      <c r="B165" s="14" t="s">
        <v>29</v>
      </c>
      <c r="C165" s="14" t="str">
        <f>"200620122228"</f>
        <v>200620122228</v>
      </c>
      <c r="D165" s="14" t="str">
        <f>"颜意尖"</f>
        <v>颜意尖</v>
      </c>
      <c r="E165" s="9" t="s">
        <v>4</v>
      </c>
      <c r="F165" s="12" t="s">
        <v>51</v>
      </c>
      <c r="G165" s="12" t="s">
        <v>69</v>
      </c>
      <c r="H165" s="12" t="s">
        <v>70</v>
      </c>
    </row>
    <row r="166" spans="1:8" s="1" customFormat="1" ht="45" customHeight="1">
      <c r="A166" s="9">
        <v>164</v>
      </c>
      <c r="B166" s="14" t="s">
        <v>29</v>
      </c>
      <c r="C166" s="14" t="str">
        <f>"200620122106"</f>
        <v>200620122106</v>
      </c>
      <c r="D166" s="14" t="str">
        <f>"张润"</f>
        <v>张润</v>
      </c>
      <c r="E166" s="11" t="s">
        <v>4</v>
      </c>
      <c r="F166" s="12" t="s">
        <v>51</v>
      </c>
      <c r="G166" s="12" t="s">
        <v>69</v>
      </c>
      <c r="H166" s="12" t="s">
        <v>70</v>
      </c>
    </row>
    <row r="167" spans="1:8" s="1" customFormat="1" ht="45" customHeight="1">
      <c r="A167" s="9">
        <v>165</v>
      </c>
      <c r="B167" s="14" t="s">
        <v>29</v>
      </c>
      <c r="C167" s="14" t="str">
        <f>"200620122321"</f>
        <v>200620122321</v>
      </c>
      <c r="D167" s="14" t="str">
        <f>"王淑娴"</f>
        <v>王淑娴</v>
      </c>
      <c r="E167" s="11" t="s">
        <v>4</v>
      </c>
      <c r="F167" s="12" t="s">
        <v>51</v>
      </c>
      <c r="G167" s="12" t="s">
        <v>69</v>
      </c>
      <c r="H167" s="12" t="s">
        <v>70</v>
      </c>
    </row>
    <row r="168" spans="1:8" s="1" customFormat="1" ht="45" customHeight="1">
      <c r="A168" s="9">
        <v>166</v>
      </c>
      <c r="B168" s="14" t="s">
        <v>29</v>
      </c>
      <c r="C168" s="14" t="str">
        <f>"200620122203"</f>
        <v>200620122203</v>
      </c>
      <c r="D168" s="14" t="str">
        <f>"郭娴敏"</f>
        <v>郭娴敏</v>
      </c>
      <c r="E168" s="11" t="s">
        <v>4</v>
      </c>
      <c r="F168" s="12" t="s">
        <v>51</v>
      </c>
      <c r="G168" s="12" t="s">
        <v>69</v>
      </c>
      <c r="H168" s="12" t="s">
        <v>70</v>
      </c>
    </row>
    <row r="169" spans="1:8" s="1" customFormat="1" ht="45" customHeight="1">
      <c r="A169" s="9">
        <v>167</v>
      </c>
      <c r="B169" s="14" t="s">
        <v>29</v>
      </c>
      <c r="C169" s="14" t="str">
        <f>"200620121817"</f>
        <v>200620121817</v>
      </c>
      <c r="D169" s="14" t="str">
        <f>"胡玉环"</f>
        <v>胡玉环</v>
      </c>
      <c r="E169" s="9" t="s">
        <v>4</v>
      </c>
      <c r="F169" s="12" t="s">
        <v>51</v>
      </c>
      <c r="G169" s="12" t="s">
        <v>69</v>
      </c>
      <c r="H169" s="12" t="s">
        <v>70</v>
      </c>
    </row>
    <row r="170" spans="1:8" s="1" customFormat="1" ht="45" customHeight="1">
      <c r="A170" s="9">
        <v>168</v>
      </c>
      <c r="B170" s="14" t="s">
        <v>29</v>
      </c>
      <c r="C170" s="14" t="str">
        <f>"200620121916"</f>
        <v>200620121916</v>
      </c>
      <c r="D170" s="14" t="str">
        <f>"左丽娜"</f>
        <v>左丽娜</v>
      </c>
      <c r="E170" s="9" t="s">
        <v>4</v>
      </c>
      <c r="F170" s="12" t="s">
        <v>51</v>
      </c>
      <c r="G170" s="12" t="s">
        <v>69</v>
      </c>
      <c r="H170" s="12" t="s">
        <v>70</v>
      </c>
    </row>
    <row r="171" spans="1:8" s="1" customFormat="1" ht="45" customHeight="1">
      <c r="A171" s="9">
        <v>169</v>
      </c>
      <c r="B171" s="14" t="s">
        <v>29</v>
      </c>
      <c r="C171" s="14" t="str">
        <f>"200620121924"</f>
        <v>200620121924</v>
      </c>
      <c r="D171" s="14" t="str">
        <f>"谭文怡"</f>
        <v>谭文怡</v>
      </c>
      <c r="E171" s="9" t="s">
        <v>4</v>
      </c>
      <c r="F171" s="12" t="s">
        <v>51</v>
      </c>
      <c r="G171" s="12" t="s">
        <v>69</v>
      </c>
      <c r="H171" s="12" t="s">
        <v>70</v>
      </c>
    </row>
    <row r="172" spans="1:8" s="1" customFormat="1" ht="45" customHeight="1">
      <c r="A172" s="9">
        <v>170</v>
      </c>
      <c r="B172" s="14" t="s">
        <v>29</v>
      </c>
      <c r="C172" s="14" t="str">
        <f>"200620122310"</f>
        <v>200620122310</v>
      </c>
      <c r="D172" s="14" t="str">
        <f>"谭雅玲"</f>
        <v>谭雅玲</v>
      </c>
      <c r="E172" s="9" t="s">
        <v>4</v>
      </c>
      <c r="F172" s="12" t="s">
        <v>51</v>
      </c>
      <c r="G172" s="12" t="s">
        <v>69</v>
      </c>
      <c r="H172" s="12" t="s">
        <v>70</v>
      </c>
    </row>
    <row r="173" spans="1:8" s="1" customFormat="1" ht="45" customHeight="1">
      <c r="A173" s="9">
        <v>171</v>
      </c>
      <c r="B173" s="14" t="s">
        <v>29</v>
      </c>
      <c r="C173" s="14" t="str">
        <f>"200620121828"</f>
        <v>200620121828</v>
      </c>
      <c r="D173" s="14" t="str">
        <f>"陈林慧"</f>
        <v>陈林慧</v>
      </c>
      <c r="E173" s="9" t="s">
        <v>4</v>
      </c>
      <c r="F173" s="12" t="s">
        <v>51</v>
      </c>
      <c r="G173" s="12" t="s">
        <v>69</v>
      </c>
      <c r="H173" s="12" t="s">
        <v>70</v>
      </c>
    </row>
    <row r="174" spans="1:8" s="1" customFormat="1" ht="45" customHeight="1">
      <c r="A174" s="9">
        <v>172</v>
      </c>
      <c r="B174" s="14" t="s">
        <v>29</v>
      </c>
      <c r="C174" s="14" t="str">
        <f>"200620121818"</f>
        <v>200620121818</v>
      </c>
      <c r="D174" s="14" t="str">
        <f>"王萌"</f>
        <v>王萌</v>
      </c>
      <c r="E174" s="9" t="s">
        <v>4</v>
      </c>
      <c r="F174" s="12" t="s">
        <v>51</v>
      </c>
      <c r="G174" s="12" t="s">
        <v>69</v>
      </c>
      <c r="H174" s="12" t="s">
        <v>70</v>
      </c>
    </row>
    <row r="175" spans="1:8" s="1" customFormat="1" ht="45" customHeight="1">
      <c r="A175" s="9">
        <v>173</v>
      </c>
      <c r="B175" s="14" t="s">
        <v>29</v>
      </c>
      <c r="C175" s="14" t="str">
        <f>"200620121913"</f>
        <v>200620121913</v>
      </c>
      <c r="D175" s="14" t="str">
        <f>"黄红霞"</f>
        <v>黄红霞</v>
      </c>
      <c r="E175" s="9" t="s">
        <v>4</v>
      </c>
      <c r="F175" s="12" t="s">
        <v>51</v>
      </c>
      <c r="G175" s="12" t="s">
        <v>69</v>
      </c>
      <c r="H175" s="12" t="s">
        <v>70</v>
      </c>
    </row>
    <row r="176" spans="1:8" s="1" customFormat="1" ht="45" customHeight="1">
      <c r="A176" s="9">
        <v>174</v>
      </c>
      <c r="B176" s="14" t="s">
        <v>29</v>
      </c>
      <c r="C176" s="14" t="str">
        <f>"200620121929"</f>
        <v>200620121929</v>
      </c>
      <c r="D176" s="14" t="str">
        <f>"费芙蓉"</f>
        <v>费芙蓉</v>
      </c>
      <c r="E176" s="9" t="s">
        <v>4</v>
      </c>
      <c r="F176" s="12" t="s">
        <v>51</v>
      </c>
      <c r="G176" s="12" t="s">
        <v>69</v>
      </c>
      <c r="H176" s="12" t="s">
        <v>70</v>
      </c>
    </row>
    <row r="177" spans="1:8" s="1" customFormat="1" ht="45" customHeight="1">
      <c r="A177" s="9">
        <v>175</v>
      </c>
      <c r="B177" s="14" t="s">
        <v>29</v>
      </c>
      <c r="C177" s="14" t="str">
        <f>"200620121829"</f>
        <v>200620121829</v>
      </c>
      <c r="D177" s="14" t="str">
        <f>"戴思"</f>
        <v>戴思</v>
      </c>
      <c r="E177" s="11" t="s">
        <v>4</v>
      </c>
      <c r="F177" s="12" t="s">
        <v>51</v>
      </c>
      <c r="G177" s="12" t="s">
        <v>69</v>
      </c>
      <c r="H177" s="12" t="s">
        <v>70</v>
      </c>
    </row>
    <row r="178" spans="1:8" s="1" customFormat="1" ht="45" customHeight="1">
      <c r="A178" s="9">
        <v>176</v>
      </c>
      <c r="B178" s="14" t="s">
        <v>29</v>
      </c>
      <c r="C178" s="14" t="str">
        <f>"200620122013"</f>
        <v>200620122013</v>
      </c>
      <c r="D178" s="14" t="str">
        <f>"焦杨丽"</f>
        <v>焦杨丽</v>
      </c>
      <c r="E178" s="11" t="s">
        <v>4</v>
      </c>
      <c r="F178" s="12" t="s">
        <v>51</v>
      </c>
      <c r="G178" s="12" t="s">
        <v>69</v>
      </c>
      <c r="H178" s="12" t="s">
        <v>70</v>
      </c>
    </row>
    <row r="179" spans="1:8" s="1" customFormat="1" ht="45" customHeight="1">
      <c r="A179" s="9">
        <v>177</v>
      </c>
      <c r="B179" s="14" t="s">
        <v>29</v>
      </c>
      <c r="C179" s="14" t="str">
        <f>"200620122004"</f>
        <v>200620122004</v>
      </c>
      <c r="D179" s="14" t="str">
        <f>"刘茜"</f>
        <v>刘茜</v>
      </c>
      <c r="E179" s="11" t="s">
        <v>4</v>
      </c>
      <c r="F179" s="12" t="s">
        <v>51</v>
      </c>
      <c r="G179" s="12" t="s">
        <v>69</v>
      </c>
      <c r="H179" s="12" t="s">
        <v>70</v>
      </c>
    </row>
    <row r="180" spans="1:8" s="1" customFormat="1" ht="45" customHeight="1">
      <c r="A180" s="9">
        <v>178</v>
      </c>
      <c r="B180" s="14" t="s">
        <v>29</v>
      </c>
      <c r="C180" s="14" t="str">
        <f>"200620122026"</f>
        <v>200620122026</v>
      </c>
      <c r="D180" s="14" t="str">
        <f>"刘如馨"</f>
        <v>刘如馨</v>
      </c>
      <c r="E180" s="11" t="s">
        <v>4</v>
      </c>
      <c r="F180" s="12" t="s">
        <v>51</v>
      </c>
      <c r="G180" s="12" t="s">
        <v>69</v>
      </c>
      <c r="H180" s="12" t="s">
        <v>70</v>
      </c>
    </row>
    <row r="181" spans="1:8" s="1" customFormat="1" ht="45" customHeight="1">
      <c r="A181" s="9">
        <v>179</v>
      </c>
      <c r="B181" s="14" t="s">
        <v>29</v>
      </c>
      <c r="C181" s="14" t="str">
        <f>"200620122316"</f>
        <v>200620122316</v>
      </c>
      <c r="D181" s="14" t="str">
        <f>"李震灵"</f>
        <v>李震灵</v>
      </c>
      <c r="E181" s="9" t="s">
        <v>4</v>
      </c>
      <c r="F181" s="12" t="s">
        <v>51</v>
      </c>
      <c r="G181" s="12" t="s">
        <v>69</v>
      </c>
      <c r="H181" s="12" t="s">
        <v>70</v>
      </c>
    </row>
    <row r="182" spans="1:8" s="1" customFormat="1" ht="45" customHeight="1">
      <c r="A182" s="9">
        <v>180</v>
      </c>
      <c r="B182" s="14" t="s">
        <v>29</v>
      </c>
      <c r="C182" s="14" t="str">
        <f>"200620122309"</f>
        <v>200620122309</v>
      </c>
      <c r="D182" s="14" t="str">
        <f>"张蓉"</f>
        <v>张蓉</v>
      </c>
      <c r="E182" s="9" t="s">
        <v>4</v>
      </c>
      <c r="F182" s="12" t="s">
        <v>51</v>
      </c>
      <c r="G182" s="12" t="s">
        <v>69</v>
      </c>
      <c r="H182" s="12" t="s">
        <v>70</v>
      </c>
    </row>
    <row r="183" spans="1:8" s="1" customFormat="1" ht="45" customHeight="1">
      <c r="A183" s="9">
        <v>181</v>
      </c>
      <c r="B183" s="14" t="s">
        <v>29</v>
      </c>
      <c r="C183" s="14" t="str">
        <f>"200620122330"</f>
        <v>200620122330</v>
      </c>
      <c r="D183" s="14" t="str">
        <f>"杨晶晶"</f>
        <v>杨晶晶</v>
      </c>
      <c r="E183" s="9" t="s">
        <v>4</v>
      </c>
      <c r="F183" s="12" t="s">
        <v>51</v>
      </c>
      <c r="G183" s="12" t="s">
        <v>69</v>
      </c>
      <c r="H183" s="12" t="s">
        <v>70</v>
      </c>
    </row>
    <row r="184" spans="1:8" s="1" customFormat="1" ht="45" customHeight="1">
      <c r="A184" s="9">
        <v>182</v>
      </c>
      <c r="B184" s="14" t="s">
        <v>29</v>
      </c>
      <c r="C184" s="14" t="str">
        <f>"200620121813"</f>
        <v>200620121813</v>
      </c>
      <c r="D184" s="14" t="str">
        <f>"贺小雨"</f>
        <v>贺小雨</v>
      </c>
      <c r="E184" s="9" t="s">
        <v>4</v>
      </c>
      <c r="F184" s="12" t="s">
        <v>51</v>
      </c>
      <c r="G184" s="12" t="s">
        <v>69</v>
      </c>
      <c r="H184" s="12" t="s">
        <v>70</v>
      </c>
    </row>
    <row r="185" spans="1:8" s="1" customFormat="1" ht="45" customHeight="1">
      <c r="A185" s="9">
        <v>183</v>
      </c>
      <c r="B185" s="14" t="s">
        <v>29</v>
      </c>
      <c r="C185" s="14" t="str">
        <f>"200620122306"</f>
        <v>200620122306</v>
      </c>
      <c r="D185" s="14" t="str">
        <f>"谭琪"</f>
        <v>谭琪</v>
      </c>
      <c r="E185" s="9" t="s">
        <v>4</v>
      </c>
      <c r="F185" s="12" t="s">
        <v>51</v>
      </c>
      <c r="G185" s="12" t="s">
        <v>69</v>
      </c>
      <c r="H185" s="12" t="s">
        <v>70</v>
      </c>
    </row>
    <row r="186" spans="1:8" s="1" customFormat="1" ht="45" customHeight="1">
      <c r="A186" s="9">
        <v>184</v>
      </c>
      <c r="B186" s="14" t="s">
        <v>29</v>
      </c>
      <c r="C186" s="14" t="str">
        <f>"200620121821"</f>
        <v>200620121821</v>
      </c>
      <c r="D186" s="14" t="str">
        <f>"贺泽英"</f>
        <v>贺泽英</v>
      </c>
      <c r="E186" s="9" t="s">
        <v>4</v>
      </c>
      <c r="F186" s="12" t="s">
        <v>51</v>
      </c>
      <c r="G186" s="12" t="s">
        <v>69</v>
      </c>
      <c r="H186" s="12" t="s">
        <v>70</v>
      </c>
    </row>
    <row r="187" spans="1:8" s="1" customFormat="1" ht="45" customHeight="1">
      <c r="A187" s="9">
        <v>185</v>
      </c>
      <c r="B187" s="14" t="s">
        <v>29</v>
      </c>
      <c r="C187" s="14" t="str">
        <f>"200620122129"</f>
        <v>200620122129</v>
      </c>
      <c r="D187" s="14" t="str">
        <f>"罗文慧"</f>
        <v>罗文慧</v>
      </c>
      <c r="E187" s="9" t="s">
        <v>4</v>
      </c>
      <c r="F187" s="12" t="s">
        <v>51</v>
      </c>
      <c r="G187" s="12" t="s">
        <v>69</v>
      </c>
      <c r="H187" s="12" t="s">
        <v>70</v>
      </c>
    </row>
    <row r="188" spans="1:8" s="1" customFormat="1" ht="45" customHeight="1">
      <c r="A188" s="9">
        <v>186</v>
      </c>
      <c r="B188" s="14" t="s">
        <v>29</v>
      </c>
      <c r="C188" s="14" t="str">
        <f>"200620122023"</f>
        <v>200620122023</v>
      </c>
      <c r="D188" s="14" t="str">
        <f>"雷庆"</f>
        <v>雷庆</v>
      </c>
      <c r="E188" s="11" t="s">
        <v>4</v>
      </c>
      <c r="F188" s="12" t="s">
        <v>51</v>
      </c>
      <c r="G188" s="12" t="s">
        <v>69</v>
      </c>
      <c r="H188" s="12" t="s">
        <v>70</v>
      </c>
    </row>
    <row r="189" spans="1:8" s="1" customFormat="1" ht="45" customHeight="1">
      <c r="A189" s="9">
        <v>187</v>
      </c>
      <c r="B189" s="14" t="s">
        <v>29</v>
      </c>
      <c r="C189" s="14" t="str">
        <f>"200620122120"</f>
        <v>200620122120</v>
      </c>
      <c r="D189" s="14" t="str">
        <f>"谭志瑶"</f>
        <v>谭志瑶</v>
      </c>
      <c r="E189" s="11" t="s">
        <v>4</v>
      </c>
      <c r="F189" s="12" t="s">
        <v>51</v>
      </c>
      <c r="G189" s="12" t="s">
        <v>69</v>
      </c>
      <c r="H189" s="12" t="s">
        <v>70</v>
      </c>
    </row>
    <row r="190" spans="1:8" s="1" customFormat="1" ht="45" customHeight="1">
      <c r="A190" s="9">
        <v>188</v>
      </c>
      <c r="B190" s="14" t="s">
        <v>29</v>
      </c>
      <c r="C190" s="14" t="str">
        <f>"200620122312"</f>
        <v>200620122312</v>
      </c>
      <c r="D190" s="14" t="str">
        <f>"李陈颖"</f>
        <v>李陈颖</v>
      </c>
      <c r="E190" s="9" t="s">
        <v>4</v>
      </c>
      <c r="F190" s="12" t="s">
        <v>51</v>
      </c>
      <c r="G190" s="12" t="s">
        <v>69</v>
      </c>
      <c r="H190" s="12" t="s">
        <v>70</v>
      </c>
    </row>
    <row r="191" spans="1:8" s="1" customFormat="1" ht="45" customHeight="1">
      <c r="A191" s="9">
        <v>189</v>
      </c>
      <c r="B191" s="14" t="s">
        <v>29</v>
      </c>
      <c r="C191" s="14" t="str">
        <f>"200620122326"</f>
        <v>200620122326</v>
      </c>
      <c r="D191" s="14" t="str">
        <f>"陈京群"</f>
        <v>陈京群</v>
      </c>
      <c r="E191" s="9" t="s">
        <v>4</v>
      </c>
      <c r="F191" s="12" t="s">
        <v>51</v>
      </c>
      <c r="G191" s="12" t="s">
        <v>69</v>
      </c>
      <c r="H191" s="12" t="s">
        <v>70</v>
      </c>
    </row>
    <row r="192" spans="1:8" s="1" customFormat="1" ht="45" customHeight="1">
      <c r="A192" s="9">
        <v>190</v>
      </c>
      <c r="B192" s="14" t="s">
        <v>29</v>
      </c>
      <c r="C192" s="14" t="str">
        <f>"200620122211"</f>
        <v>200620122211</v>
      </c>
      <c r="D192" s="14" t="str">
        <f>"刘鹏辉"</f>
        <v>刘鹏辉</v>
      </c>
      <c r="E192" s="9" t="s">
        <v>4</v>
      </c>
      <c r="F192" s="12" t="s">
        <v>51</v>
      </c>
      <c r="G192" s="12" t="s">
        <v>69</v>
      </c>
      <c r="H192" s="12" t="s">
        <v>70</v>
      </c>
    </row>
    <row r="193" spans="1:8" s="1" customFormat="1" ht="45" customHeight="1">
      <c r="A193" s="9">
        <v>191</v>
      </c>
      <c r="B193" s="14" t="s">
        <v>29</v>
      </c>
      <c r="C193" s="14" t="str">
        <f>"200620122219"</f>
        <v>200620122219</v>
      </c>
      <c r="D193" s="14" t="str">
        <f>"贺欢艳"</f>
        <v>贺欢艳</v>
      </c>
      <c r="E193" s="9" t="s">
        <v>4</v>
      </c>
      <c r="F193" s="12" t="s">
        <v>51</v>
      </c>
      <c r="G193" s="12" t="s">
        <v>69</v>
      </c>
      <c r="H193" s="12" t="s">
        <v>70</v>
      </c>
    </row>
    <row r="194" spans="1:8" s="1" customFormat="1" ht="45" customHeight="1">
      <c r="A194" s="9">
        <v>192</v>
      </c>
      <c r="B194" s="14" t="s">
        <v>29</v>
      </c>
      <c r="C194" s="14" t="str">
        <f>"200620122210"</f>
        <v>200620122210</v>
      </c>
      <c r="D194" s="14" t="str">
        <f>"陈佳传"</f>
        <v>陈佳传</v>
      </c>
      <c r="E194" s="9" t="s">
        <v>4</v>
      </c>
      <c r="F194" s="12" t="s">
        <v>51</v>
      </c>
      <c r="G194" s="12" t="s">
        <v>69</v>
      </c>
      <c r="H194" s="12" t="s">
        <v>70</v>
      </c>
    </row>
    <row r="195" spans="1:8" s="1" customFormat="1" ht="45" customHeight="1">
      <c r="A195" s="9">
        <v>193</v>
      </c>
      <c r="B195" s="14" t="s">
        <v>29</v>
      </c>
      <c r="C195" s="14" t="str">
        <f>"200620121820"</f>
        <v>200620121820</v>
      </c>
      <c r="D195" s="14" t="str">
        <f>"谭晶晶"</f>
        <v>谭晶晶</v>
      </c>
      <c r="E195" s="9" t="s">
        <v>4</v>
      </c>
      <c r="F195" s="12" t="s">
        <v>51</v>
      </c>
      <c r="G195" s="12" t="s">
        <v>69</v>
      </c>
      <c r="H195" s="12" t="s">
        <v>70</v>
      </c>
    </row>
    <row r="196" spans="1:8" s="1" customFormat="1" ht="45" customHeight="1">
      <c r="A196" s="9">
        <v>194</v>
      </c>
      <c r="B196" s="14" t="s">
        <v>29</v>
      </c>
      <c r="C196" s="14" t="str">
        <f>"200620122303"</f>
        <v>200620122303</v>
      </c>
      <c r="D196" s="14" t="str">
        <f>"龙莎莎"</f>
        <v>龙莎莎</v>
      </c>
      <c r="E196" s="9" t="s">
        <v>4</v>
      </c>
      <c r="F196" s="12" t="s">
        <v>51</v>
      </c>
      <c r="G196" s="12" t="s">
        <v>69</v>
      </c>
      <c r="H196" s="12" t="s">
        <v>70</v>
      </c>
    </row>
    <row r="197" spans="1:8" s="1" customFormat="1" ht="45" customHeight="1">
      <c r="A197" s="9">
        <v>195</v>
      </c>
      <c r="B197" s="14" t="s">
        <v>29</v>
      </c>
      <c r="C197" s="14" t="str">
        <f>"200620121931"</f>
        <v>200620121931</v>
      </c>
      <c r="D197" s="14" t="str">
        <f>"付婷"</f>
        <v>付婷</v>
      </c>
      <c r="E197" s="11" t="s">
        <v>4</v>
      </c>
      <c r="F197" s="12" t="s">
        <v>51</v>
      </c>
      <c r="G197" s="12" t="s">
        <v>69</v>
      </c>
      <c r="H197" s="12" t="s">
        <v>70</v>
      </c>
    </row>
    <row r="198" spans="1:8" s="1" customFormat="1" ht="45" customHeight="1">
      <c r="A198" s="9">
        <v>196</v>
      </c>
      <c r="B198" s="14" t="s">
        <v>29</v>
      </c>
      <c r="C198" s="14" t="str">
        <f>"200620121830"</f>
        <v>200620121830</v>
      </c>
      <c r="D198" s="14" t="str">
        <f>"桂花"</f>
        <v>桂花</v>
      </c>
      <c r="E198" s="9" t="s">
        <v>4</v>
      </c>
      <c r="F198" s="12" t="s">
        <v>51</v>
      </c>
      <c r="G198" s="12" t="s">
        <v>69</v>
      </c>
      <c r="H198" s="12" t="s">
        <v>70</v>
      </c>
    </row>
    <row r="199" spans="1:8" s="1" customFormat="1" ht="45" customHeight="1">
      <c r="A199" s="9">
        <v>197</v>
      </c>
      <c r="B199" s="14" t="s">
        <v>29</v>
      </c>
      <c r="C199" s="14" t="str">
        <f>"200620122126"</f>
        <v>200620122126</v>
      </c>
      <c r="D199" s="14" t="str">
        <f>"费俊俊"</f>
        <v>费俊俊</v>
      </c>
      <c r="E199" s="9" t="s">
        <v>4</v>
      </c>
      <c r="F199" s="12" t="s">
        <v>51</v>
      </c>
      <c r="G199" s="12" t="s">
        <v>69</v>
      </c>
      <c r="H199" s="12" t="s">
        <v>70</v>
      </c>
    </row>
    <row r="200" spans="1:8" s="1" customFormat="1" ht="45" customHeight="1">
      <c r="A200" s="9">
        <v>198</v>
      </c>
      <c r="B200" s="14" t="s">
        <v>29</v>
      </c>
      <c r="C200" s="14" t="str">
        <f>"200620121906"</f>
        <v>200620121906</v>
      </c>
      <c r="D200" s="14" t="str">
        <f>"谭榕"</f>
        <v>谭榕</v>
      </c>
      <c r="E200" s="11" t="s">
        <v>4</v>
      </c>
      <c r="F200" s="12" t="s">
        <v>51</v>
      </c>
      <c r="G200" s="12" t="s">
        <v>69</v>
      </c>
      <c r="H200" s="12" t="s">
        <v>70</v>
      </c>
    </row>
    <row r="201" spans="1:8" s="1" customFormat="1" ht="45" customHeight="1">
      <c r="A201" s="9">
        <v>199</v>
      </c>
      <c r="B201" s="14" t="s">
        <v>29</v>
      </c>
      <c r="C201" s="14" t="str">
        <f>"200620122121"</f>
        <v>200620122121</v>
      </c>
      <c r="D201" s="14" t="str">
        <f>"肖丽瑶"</f>
        <v>肖丽瑶</v>
      </c>
      <c r="E201" s="11" t="s">
        <v>4</v>
      </c>
      <c r="F201" s="12" t="s">
        <v>51</v>
      </c>
      <c r="G201" s="12" t="s">
        <v>69</v>
      </c>
      <c r="H201" s="12" t="s">
        <v>70</v>
      </c>
    </row>
    <row r="202" spans="1:8" s="1" customFormat="1" ht="45" customHeight="1">
      <c r="A202" s="9">
        <v>200</v>
      </c>
      <c r="B202" s="14" t="s">
        <v>29</v>
      </c>
      <c r="C202" s="14" t="str">
        <f>"200620121911"</f>
        <v>200620121911</v>
      </c>
      <c r="D202" s="14" t="str">
        <f>"李星娜"</f>
        <v>李星娜</v>
      </c>
      <c r="E202" s="11" t="s">
        <v>4</v>
      </c>
      <c r="F202" s="12" t="s">
        <v>51</v>
      </c>
      <c r="G202" s="12" t="s">
        <v>69</v>
      </c>
      <c r="H202" s="12" t="s">
        <v>70</v>
      </c>
    </row>
    <row r="203" spans="1:8" s="1" customFormat="1" ht="45" customHeight="1">
      <c r="A203" s="9">
        <v>201</v>
      </c>
      <c r="B203" s="14" t="s">
        <v>29</v>
      </c>
      <c r="C203" s="14" t="str">
        <f>"200620122008"</f>
        <v>200620122008</v>
      </c>
      <c r="D203" s="14" t="str">
        <f>"何苗苗"</f>
        <v>何苗苗</v>
      </c>
      <c r="E203" s="11" t="s">
        <v>4</v>
      </c>
      <c r="F203" s="12" t="s">
        <v>51</v>
      </c>
      <c r="G203" s="12" t="s">
        <v>69</v>
      </c>
      <c r="H203" s="12" t="s">
        <v>70</v>
      </c>
    </row>
    <row r="204" spans="1:8" s="1" customFormat="1" ht="45" customHeight="1">
      <c r="A204" s="9">
        <v>202</v>
      </c>
      <c r="B204" s="14" t="s">
        <v>29</v>
      </c>
      <c r="C204" s="14" t="str">
        <f>"200620122109"</f>
        <v>200620122109</v>
      </c>
      <c r="D204" s="14" t="str">
        <f>"邹李萍"</f>
        <v>邹李萍</v>
      </c>
      <c r="E204" s="9" t="s">
        <v>4</v>
      </c>
      <c r="F204" s="12" t="s">
        <v>51</v>
      </c>
      <c r="G204" s="12" t="s">
        <v>69</v>
      </c>
      <c r="H204" s="12" t="s">
        <v>70</v>
      </c>
    </row>
    <row r="205" spans="1:8" s="1" customFormat="1" ht="45" customHeight="1">
      <c r="A205" s="9">
        <v>203</v>
      </c>
      <c r="B205" s="14" t="s">
        <v>29</v>
      </c>
      <c r="C205" s="14" t="str">
        <f>"200620122012"</f>
        <v>200620122012</v>
      </c>
      <c r="D205" s="14" t="str">
        <f>"陈子玉"</f>
        <v>陈子玉</v>
      </c>
      <c r="E205" s="9" t="s">
        <v>4</v>
      </c>
      <c r="F205" s="12" t="s">
        <v>51</v>
      </c>
      <c r="G205" s="12" t="s">
        <v>69</v>
      </c>
      <c r="H205" s="12" t="s">
        <v>70</v>
      </c>
    </row>
    <row r="206" spans="1:8" s="1" customFormat="1" ht="45" customHeight="1">
      <c r="A206" s="9">
        <v>204</v>
      </c>
      <c r="B206" s="14" t="s">
        <v>29</v>
      </c>
      <c r="C206" s="14" t="str">
        <f>"200620122123"</f>
        <v>200620122123</v>
      </c>
      <c r="D206" s="14" t="str">
        <f>"池旭霞"</f>
        <v>池旭霞</v>
      </c>
      <c r="E206" s="11" t="s">
        <v>4</v>
      </c>
      <c r="F206" s="12" t="s">
        <v>51</v>
      </c>
      <c r="G206" s="12" t="s">
        <v>69</v>
      </c>
      <c r="H206" s="12" t="s">
        <v>70</v>
      </c>
    </row>
    <row r="207" spans="1:8" s="1" customFormat="1" ht="45" customHeight="1">
      <c r="A207" s="9">
        <v>205</v>
      </c>
      <c r="B207" s="14" t="s">
        <v>29</v>
      </c>
      <c r="C207" s="14" t="str">
        <f>"200620122027"</f>
        <v>200620122027</v>
      </c>
      <c r="D207" s="14" t="str">
        <f>"李逊丽"</f>
        <v>李逊丽</v>
      </c>
      <c r="E207" s="9" t="s">
        <v>4</v>
      </c>
      <c r="F207" s="12" t="s">
        <v>51</v>
      </c>
      <c r="G207" s="12" t="s">
        <v>69</v>
      </c>
      <c r="H207" s="12" t="s">
        <v>70</v>
      </c>
    </row>
    <row r="208" spans="1:8" s="1" customFormat="1" ht="45" customHeight="1">
      <c r="A208" s="9">
        <v>206</v>
      </c>
      <c r="B208" s="14" t="s">
        <v>29</v>
      </c>
      <c r="C208" s="14" t="str">
        <f>"200620122107"</f>
        <v>200620122107</v>
      </c>
      <c r="D208" s="14" t="str">
        <f>"罗伟"</f>
        <v>罗伟</v>
      </c>
      <c r="E208" s="9" t="s">
        <v>4</v>
      </c>
      <c r="F208" s="12" t="s">
        <v>51</v>
      </c>
      <c r="G208" s="12" t="s">
        <v>69</v>
      </c>
      <c r="H208" s="12" t="s">
        <v>70</v>
      </c>
    </row>
    <row r="209" spans="1:8" s="1" customFormat="1" ht="45" customHeight="1">
      <c r="A209" s="9">
        <v>207</v>
      </c>
      <c r="B209" s="14" t="s">
        <v>29</v>
      </c>
      <c r="C209" s="14" t="str">
        <f>"200620122231"</f>
        <v>200620122231</v>
      </c>
      <c r="D209" s="14" t="str">
        <f>"陈志军"</f>
        <v>陈志军</v>
      </c>
      <c r="E209" s="11" t="s">
        <v>4</v>
      </c>
      <c r="F209" s="12" t="s">
        <v>51</v>
      </c>
      <c r="G209" s="12" t="s">
        <v>69</v>
      </c>
      <c r="H209" s="12" t="s">
        <v>70</v>
      </c>
    </row>
    <row r="210" spans="1:8" s="1" customFormat="1" ht="45" customHeight="1">
      <c r="A210" s="9">
        <v>208</v>
      </c>
      <c r="B210" s="14" t="s">
        <v>29</v>
      </c>
      <c r="C210" s="14" t="str">
        <f>"200620122031"</f>
        <v>200620122031</v>
      </c>
      <c r="D210" s="14" t="str">
        <f>"段琴芳"</f>
        <v>段琴芳</v>
      </c>
      <c r="E210" s="9" t="s">
        <v>4</v>
      </c>
      <c r="F210" s="12" t="s">
        <v>51</v>
      </c>
      <c r="G210" s="12" t="s">
        <v>69</v>
      </c>
      <c r="H210" s="12" t="s">
        <v>70</v>
      </c>
    </row>
    <row r="211" spans="1:8" s="1" customFormat="1" ht="45" customHeight="1">
      <c r="A211" s="9">
        <v>209</v>
      </c>
      <c r="B211" s="14" t="s">
        <v>29</v>
      </c>
      <c r="C211" s="14" t="str">
        <f>"200620122217"</f>
        <v>200620122217</v>
      </c>
      <c r="D211" s="14" t="str">
        <f>"吴朝霞"</f>
        <v>吴朝霞</v>
      </c>
      <c r="E211" s="11" t="s">
        <v>4</v>
      </c>
      <c r="F211" s="12" t="s">
        <v>51</v>
      </c>
      <c r="G211" s="12" t="s">
        <v>69</v>
      </c>
      <c r="H211" s="12" t="s">
        <v>70</v>
      </c>
    </row>
    <row r="212" spans="1:8" s="1" customFormat="1" ht="45" customHeight="1">
      <c r="A212" s="9">
        <v>210</v>
      </c>
      <c r="B212" s="14" t="s">
        <v>29</v>
      </c>
      <c r="C212" s="14" t="str">
        <f>"200620122006"</f>
        <v>200620122006</v>
      </c>
      <c r="D212" s="14" t="str">
        <f>"陈利群"</f>
        <v>陈利群</v>
      </c>
      <c r="E212" s="9" t="s">
        <v>4</v>
      </c>
      <c r="F212" s="12" t="s">
        <v>51</v>
      </c>
      <c r="G212" s="12" t="s">
        <v>69</v>
      </c>
      <c r="H212" s="12" t="s">
        <v>70</v>
      </c>
    </row>
    <row r="213" spans="1:8" s="1" customFormat="1" ht="45" customHeight="1">
      <c r="A213" s="9">
        <v>211</v>
      </c>
      <c r="B213" s="14" t="s">
        <v>29</v>
      </c>
      <c r="C213" s="14" t="str">
        <f>"200620122016"</f>
        <v>200620122016</v>
      </c>
      <c r="D213" s="14" t="str">
        <f>"李嘉莉"</f>
        <v>李嘉莉</v>
      </c>
      <c r="E213" s="9" t="s">
        <v>4</v>
      </c>
      <c r="F213" s="12" t="s">
        <v>51</v>
      </c>
      <c r="G213" s="12" t="s">
        <v>69</v>
      </c>
      <c r="H213" s="12" t="s">
        <v>70</v>
      </c>
    </row>
    <row r="214" spans="1:8" s="1" customFormat="1" ht="45" customHeight="1">
      <c r="A214" s="9">
        <v>212</v>
      </c>
      <c r="B214" s="10" t="s">
        <v>29</v>
      </c>
      <c r="C214" s="10" t="str">
        <f>"200620122119"</f>
        <v>200620122119</v>
      </c>
      <c r="D214" s="10" t="str">
        <f>"廖颜婷"</f>
        <v>廖颜婷</v>
      </c>
      <c r="E214" s="11" t="s">
        <v>4</v>
      </c>
      <c r="F214" s="12" t="s">
        <v>51</v>
      </c>
      <c r="G214" s="12" t="s">
        <v>69</v>
      </c>
      <c r="H214" s="12" t="s">
        <v>70</v>
      </c>
    </row>
    <row r="215" spans="1:8" s="1" customFormat="1" ht="45" customHeight="1">
      <c r="A215" s="9">
        <v>213</v>
      </c>
      <c r="B215" s="14" t="s">
        <v>29</v>
      </c>
      <c r="C215" s="14" t="str">
        <f>"200620122329"</f>
        <v>200620122329</v>
      </c>
      <c r="D215" s="14" t="str">
        <f>"陈佳蓉"</f>
        <v>陈佳蓉</v>
      </c>
      <c r="E215" s="9" t="s">
        <v>4</v>
      </c>
      <c r="F215" s="12" t="s">
        <v>51</v>
      </c>
      <c r="G215" s="12" t="s">
        <v>69</v>
      </c>
      <c r="H215" s="12" t="s">
        <v>70</v>
      </c>
    </row>
    <row r="216" spans="1:8" s="1" customFormat="1" ht="45" customHeight="1">
      <c r="A216" s="9">
        <v>214</v>
      </c>
      <c r="B216" s="14" t="s">
        <v>29</v>
      </c>
      <c r="C216" s="14" t="str">
        <f>"200620122111"</f>
        <v>200620122111</v>
      </c>
      <c r="D216" s="14" t="str">
        <f>"刘子柯"</f>
        <v>刘子柯</v>
      </c>
      <c r="E216" s="9" t="s">
        <v>4</v>
      </c>
      <c r="F216" s="12" t="s">
        <v>51</v>
      </c>
      <c r="G216" s="12" t="s">
        <v>69</v>
      </c>
      <c r="H216" s="12" t="s">
        <v>70</v>
      </c>
    </row>
    <row r="217" spans="1:8" s="1" customFormat="1" ht="45" customHeight="1">
      <c r="A217" s="9">
        <v>215</v>
      </c>
      <c r="B217" s="14" t="s">
        <v>29</v>
      </c>
      <c r="C217" s="14" t="str">
        <f>"200620122110"</f>
        <v>200620122110</v>
      </c>
      <c r="D217" s="14" t="str">
        <f>"谭丽"</f>
        <v>谭丽</v>
      </c>
      <c r="E217" s="9" t="s">
        <v>4</v>
      </c>
      <c r="F217" s="12" t="s">
        <v>51</v>
      </c>
      <c r="G217" s="12" t="s">
        <v>69</v>
      </c>
      <c r="H217" s="12" t="s">
        <v>70</v>
      </c>
    </row>
    <row r="218" spans="1:8" s="1" customFormat="1" ht="45" customHeight="1" thickBot="1">
      <c r="A218" s="25">
        <v>216</v>
      </c>
      <c r="B218" s="22" t="s">
        <v>29</v>
      </c>
      <c r="C218" s="22" t="str">
        <f>"200620121901"</f>
        <v>200620121901</v>
      </c>
      <c r="D218" s="22" t="str">
        <f>"陈斯佳"</f>
        <v>陈斯佳</v>
      </c>
      <c r="E218" s="25" t="s">
        <v>4</v>
      </c>
      <c r="F218" s="19" t="s">
        <v>51</v>
      </c>
      <c r="G218" s="19" t="s">
        <v>69</v>
      </c>
      <c r="H218" s="19" t="s">
        <v>70</v>
      </c>
    </row>
    <row r="219" spans="1:8" s="1" customFormat="1" ht="45" customHeight="1" thickTop="1">
      <c r="A219" s="11">
        <v>217</v>
      </c>
      <c r="B219" s="14" t="s">
        <v>30</v>
      </c>
      <c r="C219" s="14" t="str">
        <f>"200620122409"</f>
        <v>200620122409</v>
      </c>
      <c r="D219" s="14" t="str">
        <f>"汤宗江"</f>
        <v>汤宗江</v>
      </c>
      <c r="E219" s="11" t="s">
        <v>4</v>
      </c>
      <c r="F219" s="12" t="s">
        <v>51</v>
      </c>
      <c r="G219" s="12" t="s">
        <v>71</v>
      </c>
      <c r="H219" s="12" t="s">
        <v>72</v>
      </c>
    </row>
    <row r="220" spans="1:8" s="1" customFormat="1" ht="45" customHeight="1">
      <c r="A220" s="9">
        <v>218</v>
      </c>
      <c r="B220" s="14" t="s">
        <v>30</v>
      </c>
      <c r="C220" s="14" t="str">
        <f>"200620122502"</f>
        <v>200620122502</v>
      </c>
      <c r="D220" s="14" t="str">
        <f>"黄宇萌"</f>
        <v>黄宇萌</v>
      </c>
      <c r="E220" s="9" t="s">
        <v>4</v>
      </c>
      <c r="F220" s="12" t="s">
        <v>51</v>
      </c>
      <c r="G220" s="12" t="s">
        <v>71</v>
      </c>
      <c r="H220" s="12" t="s">
        <v>72</v>
      </c>
    </row>
    <row r="221" spans="1:8" s="1" customFormat="1" ht="45" customHeight="1">
      <c r="A221" s="9">
        <v>219</v>
      </c>
      <c r="B221" s="14" t="s">
        <v>30</v>
      </c>
      <c r="C221" s="14" t="str">
        <f>"200620122423"</f>
        <v>200620122423</v>
      </c>
      <c r="D221" s="14" t="str">
        <f>"刘芳"</f>
        <v>刘芳</v>
      </c>
      <c r="E221" s="11" t="s">
        <v>4</v>
      </c>
      <c r="F221" s="12" t="s">
        <v>51</v>
      </c>
      <c r="G221" s="12" t="s">
        <v>71</v>
      </c>
      <c r="H221" s="12" t="s">
        <v>72</v>
      </c>
    </row>
    <row r="222" spans="1:8" s="1" customFormat="1" ht="45" customHeight="1">
      <c r="A222" s="9">
        <v>220</v>
      </c>
      <c r="B222" s="14" t="s">
        <v>30</v>
      </c>
      <c r="C222" s="14" t="str">
        <f>"200620122428"</f>
        <v>200620122428</v>
      </c>
      <c r="D222" s="14" t="str">
        <f>"颜彦欣"</f>
        <v>颜彦欣</v>
      </c>
      <c r="E222" s="9" t="s">
        <v>4</v>
      </c>
      <c r="F222" s="12" t="s">
        <v>51</v>
      </c>
      <c r="G222" s="12" t="s">
        <v>71</v>
      </c>
      <c r="H222" s="12" t="s">
        <v>72</v>
      </c>
    </row>
    <row r="223" spans="1:8" s="1" customFormat="1" ht="45" customHeight="1">
      <c r="A223" s="9">
        <v>221</v>
      </c>
      <c r="B223" s="14" t="s">
        <v>30</v>
      </c>
      <c r="C223" s="14" t="str">
        <f>"200620122532"</f>
        <v>200620122532</v>
      </c>
      <c r="D223" s="14" t="str">
        <f>"刘淑婷"</f>
        <v>刘淑婷</v>
      </c>
      <c r="E223" s="9" t="s">
        <v>4</v>
      </c>
      <c r="F223" s="12" t="s">
        <v>51</v>
      </c>
      <c r="G223" s="12" t="s">
        <v>71</v>
      </c>
      <c r="H223" s="12" t="s">
        <v>72</v>
      </c>
    </row>
    <row r="224" spans="1:8" s="1" customFormat="1" ht="45" customHeight="1">
      <c r="A224" s="9">
        <v>222</v>
      </c>
      <c r="B224" s="14" t="s">
        <v>30</v>
      </c>
      <c r="C224" s="14" t="str">
        <f>"200620122422"</f>
        <v>200620122422</v>
      </c>
      <c r="D224" s="14" t="str">
        <f>"秦漾波"</f>
        <v>秦漾波</v>
      </c>
      <c r="E224" s="9" t="s">
        <v>4</v>
      </c>
      <c r="F224" s="12" t="s">
        <v>51</v>
      </c>
      <c r="G224" s="12" t="s">
        <v>71</v>
      </c>
      <c r="H224" s="12" t="s">
        <v>72</v>
      </c>
    </row>
    <row r="225" spans="1:8" s="1" customFormat="1" ht="45" customHeight="1">
      <c r="A225" s="9">
        <v>223</v>
      </c>
      <c r="B225" s="14" t="s">
        <v>30</v>
      </c>
      <c r="C225" s="14" t="str">
        <f>"200620122518"</f>
        <v>200620122518</v>
      </c>
      <c r="D225" s="14" t="str">
        <f>"任天敏"</f>
        <v>任天敏</v>
      </c>
      <c r="E225" s="9" t="s">
        <v>4</v>
      </c>
      <c r="F225" s="12" t="s">
        <v>51</v>
      </c>
      <c r="G225" s="12" t="s">
        <v>71</v>
      </c>
      <c r="H225" s="12" t="s">
        <v>72</v>
      </c>
    </row>
    <row r="226" spans="1:8" s="1" customFormat="1" ht="45" customHeight="1">
      <c r="A226" s="9">
        <v>224</v>
      </c>
      <c r="B226" s="14" t="s">
        <v>30</v>
      </c>
      <c r="C226" s="14" t="str">
        <f>"200620122404"</f>
        <v>200620122404</v>
      </c>
      <c r="D226" s="14" t="str">
        <f>"刘谭淑"</f>
        <v>刘谭淑</v>
      </c>
      <c r="E226" s="9" t="s">
        <v>4</v>
      </c>
      <c r="F226" s="12" t="s">
        <v>51</v>
      </c>
      <c r="G226" s="12" t="s">
        <v>71</v>
      </c>
      <c r="H226" s="12" t="s">
        <v>72</v>
      </c>
    </row>
    <row r="227" spans="1:8" s="1" customFormat="1" ht="45" customHeight="1">
      <c r="A227" s="9">
        <v>225</v>
      </c>
      <c r="B227" s="14" t="s">
        <v>30</v>
      </c>
      <c r="C227" s="14" t="str">
        <f>"200620122416"</f>
        <v>200620122416</v>
      </c>
      <c r="D227" s="14" t="str">
        <f>"陈瑶"</f>
        <v>陈瑶</v>
      </c>
      <c r="E227" s="9" t="s">
        <v>4</v>
      </c>
      <c r="F227" s="12" t="s">
        <v>51</v>
      </c>
      <c r="G227" s="12" t="s">
        <v>71</v>
      </c>
      <c r="H227" s="12" t="s">
        <v>72</v>
      </c>
    </row>
    <row r="228" spans="1:8" s="1" customFormat="1" ht="45" customHeight="1">
      <c r="A228" s="9">
        <v>226</v>
      </c>
      <c r="B228" s="14" t="s">
        <v>30</v>
      </c>
      <c r="C228" s="14" t="str">
        <f>"200620122521"</f>
        <v>200620122521</v>
      </c>
      <c r="D228" s="14" t="str">
        <f>"刘丽芬"</f>
        <v>刘丽芬</v>
      </c>
      <c r="E228" s="9" t="s">
        <v>4</v>
      </c>
      <c r="F228" s="12" t="s">
        <v>51</v>
      </c>
      <c r="G228" s="12" t="s">
        <v>71</v>
      </c>
      <c r="H228" s="12" t="s">
        <v>72</v>
      </c>
    </row>
    <row r="229" spans="1:8" s="1" customFormat="1" ht="45" customHeight="1">
      <c r="A229" s="9">
        <v>227</v>
      </c>
      <c r="B229" s="14" t="s">
        <v>30</v>
      </c>
      <c r="C229" s="14" t="str">
        <f>"200620122522"</f>
        <v>200620122522</v>
      </c>
      <c r="D229" s="14" t="str">
        <f>"刘若兰"</f>
        <v>刘若兰</v>
      </c>
      <c r="E229" s="9" t="s">
        <v>4</v>
      </c>
      <c r="F229" s="12" t="s">
        <v>51</v>
      </c>
      <c r="G229" s="12" t="s">
        <v>71</v>
      </c>
      <c r="H229" s="12" t="s">
        <v>72</v>
      </c>
    </row>
    <row r="230" spans="1:8" s="1" customFormat="1" ht="45" customHeight="1">
      <c r="A230" s="9">
        <v>228</v>
      </c>
      <c r="B230" s="14" t="s">
        <v>30</v>
      </c>
      <c r="C230" s="14" t="str">
        <f>"200620122405"</f>
        <v>200620122405</v>
      </c>
      <c r="D230" s="14" t="str">
        <f>"谭佳佳"</f>
        <v>谭佳佳</v>
      </c>
      <c r="E230" s="9" t="s">
        <v>52</v>
      </c>
      <c r="F230" s="12" t="s">
        <v>51</v>
      </c>
      <c r="G230" s="12" t="s">
        <v>71</v>
      </c>
      <c r="H230" s="12" t="s">
        <v>72</v>
      </c>
    </row>
    <row r="231" spans="1:8" s="1" customFormat="1" ht="45" customHeight="1">
      <c r="A231" s="9">
        <v>229</v>
      </c>
      <c r="B231" s="14" t="s">
        <v>30</v>
      </c>
      <c r="C231" s="14" t="str">
        <f>"200620122503"</f>
        <v>200620122503</v>
      </c>
      <c r="D231" s="14" t="str">
        <f>"杨婷"</f>
        <v>杨婷</v>
      </c>
      <c r="E231" s="11" t="s">
        <v>4</v>
      </c>
      <c r="F231" s="12" t="s">
        <v>51</v>
      </c>
      <c r="G231" s="12" t="s">
        <v>71</v>
      </c>
      <c r="H231" s="12" t="s">
        <v>72</v>
      </c>
    </row>
    <row r="232" spans="1:8" s="1" customFormat="1" ht="45" customHeight="1">
      <c r="A232" s="9">
        <v>230</v>
      </c>
      <c r="B232" s="14" t="s">
        <v>30</v>
      </c>
      <c r="C232" s="14" t="str">
        <f>"200620122415"</f>
        <v>200620122415</v>
      </c>
      <c r="D232" s="14" t="str">
        <f>"贺艳林"</f>
        <v>贺艳林</v>
      </c>
      <c r="E232" s="11" t="s">
        <v>4</v>
      </c>
      <c r="F232" s="12" t="s">
        <v>51</v>
      </c>
      <c r="G232" s="12" t="s">
        <v>71</v>
      </c>
      <c r="H232" s="12" t="s">
        <v>72</v>
      </c>
    </row>
    <row r="233" spans="1:8" s="1" customFormat="1" ht="45" customHeight="1">
      <c r="A233" s="9">
        <v>231</v>
      </c>
      <c r="B233" s="14" t="s">
        <v>30</v>
      </c>
      <c r="C233" s="14" t="str">
        <f>"200620122430"</f>
        <v>200620122430</v>
      </c>
      <c r="D233" s="14" t="str">
        <f>"廖青波"</f>
        <v>廖青波</v>
      </c>
      <c r="E233" s="9" t="s">
        <v>52</v>
      </c>
      <c r="F233" s="12" t="s">
        <v>51</v>
      </c>
      <c r="G233" s="12" t="s">
        <v>71</v>
      </c>
      <c r="H233" s="12" t="s">
        <v>72</v>
      </c>
    </row>
    <row r="234" spans="1:8" s="1" customFormat="1" ht="45" customHeight="1">
      <c r="A234" s="9">
        <v>232</v>
      </c>
      <c r="B234" s="14" t="s">
        <v>30</v>
      </c>
      <c r="C234" s="14" t="str">
        <f>"200620122515"</f>
        <v>200620122515</v>
      </c>
      <c r="D234" s="14" t="str">
        <f>"尹琳丽"</f>
        <v>尹琳丽</v>
      </c>
      <c r="E234" s="9" t="s">
        <v>4</v>
      </c>
      <c r="F234" s="12" t="s">
        <v>51</v>
      </c>
      <c r="G234" s="12" t="s">
        <v>71</v>
      </c>
      <c r="H234" s="12" t="s">
        <v>72</v>
      </c>
    </row>
    <row r="235" spans="1:8" s="1" customFormat="1" ht="45" customHeight="1">
      <c r="A235" s="9">
        <v>233</v>
      </c>
      <c r="B235" s="14" t="s">
        <v>30</v>
      </c>
      <c r="C235" s="14" t="str">
        <f>"200620122412"</f>
        <v>200620122412</v>
      </c>
      <c r="D235" s="14" t="str">
        <f>"谭佳容"</f>
        <v>谭佳容</v>
      </c>
      <c r="E235" s="9" t="s">
        <v>4</v>
      </c>
      <c r="F235" s="12" t="s">
        <v>51</v>
      </c>
      <c r="G235" s="12" t="s">
        <v>71</v>
      </c>
      <c r="H235" s="12" t="s">
        <v>72</v>
      </c>
    </row>
    <row r="236" spans="1:8" s="1" customFormat="1" ht="45" customHeight="1">
      <c r="A236" s="9">
        <v>234</v>
      </c>
      <c r="B236" s="10" t="s">
        <v>30</v>
      </c>
      <c r="C236" s="10" t="str">
        <f>"200620122533"</f>
        <v>200620122533</v>
      </c>
      <c r="D236" s="10" t="str">
        <f>"毛雨恬"</f>
        <v>毛雨恬</v>
      </c>
      <c r="E236" s="9" t="s">
        <v>4</v>
      </c>
      <c r="F236" s="12" t="s">
        <v>51</v>
      </c>
      <c r="G236" s="12" t="s">
        <v>71</v>
      </c>
      <c r="H236" s="12" t="s">
        <v>72</v>
      </c>
    </row>
    <row r="237" spans="1:8" s="1" customFormat="1" ht="45" customHeight="1">
      <c r="A237" s="9">
        <v>235</v>
      </c>
      <c r="B237" s="14" t="s">
        <v>30</v>
      </c>
      <c r="C237" s="14" t="str">
        <f>"200620122427"</f>
        <v>200620122427</v>
      </c>
      <c r="D237" s="14" t="str">
        <f>"扶志波"</f>
        <v>扶志波</v>
      </c>
      <c r="E237" s="9" t="s">
        <v>4</v>
      </c>
      <c r="F237" s="12" t="s">
        <v>51</v>
      </c>
      <c r="G237" s="12" t="s">
        <v>71</v>
      </c>
      <c r="H237" s="12" t="s">
        <v>72</v>
      </c>
    </row>
    <row r="238" spans="1:8" s="1" customFormat="1" ht="45" customHeight="1">
      <c r="A238" s="9">
        <v>236</v>
      </c>
      <c r="B238" s="24" t="s">
        <v>30</v>
      </c>
      <c r="C238" s="24" t="str">
        <f>"200620122513"</f>
        <v>200620122513</v>
      </c>
      <c r="D238" s="24" t="str">
        <f>"刘英"</f>
        <v>刘英</v>
      </c>
      <c r="E238" s="21" t="s">
        <v>52</v>
      </c>
      <c r="F238" s="12" t="s">
        <v>51</v>
      </c>
      <c r="G238" s="12" t="s">
        <v>71</v>
      </c>
      <c r="H238" s="12" t="s">
        <v>72</v>
      </c>
    </row>
    <row r="239" spans="1:8" s="1" customFormat="1" ht="45" customHeight="1">
      <c r="A239" s="9">
        <v>237</v>
      </c>
      <c r="B239" s="10" t="s">
        <v>31</v>
      </c>
      <c r="C239" s="10" t="str">
        <f>"200620110415"</f>
        <v>200620110415</v>
      </c>
      <c r="D239" s="10" t="str">
        <f>"况翩"</f>
        <v>况翩</v>
      </c>
      <c r="E239" s="11" t="s">
        <v>4</v>
      </c>
      <c r="F239" s="12" t="s">
        <v>51</v>
      </c>
      <c r="G239" s="12" t="s">
        <v>71</v>
      </c>
      <c r="H239" s="12" t="s">
        <v>72</v>
      </c>
    </row>
    <row r="240" spans="1:8" s="1" customFormat="1" ht="45" customHeight="1">
      <c r="A240" s="9">
        <v>238</v>
      </c>
      <c r="B240" s="14" t="s">
        <v>31</v>
      </c>
      <c r="C240" s="14" t="str">
        <f>"200620110321"</f>
        <v>200620110321</v>
      </c>
      <c r="D240" s="14" t="str">
        <f>"徐暕"</f>
        <v>徐暕</v>
      </c>
      <c r="E240" s="9" t="s">
        <v>4</v>
      </c>
      <c r="F240" s="12" t="s">
        <v>51</v>
      </c>
      <c r="G240" s="12" t="s">
        <v>71</v>
      </c>
      <c r="H240" s="12" t="s">
        <v>72</v>
      </c>
    </row>
    <row r="241" spans="1:8" s="1" customFormat="1" ht="45" customHeight="1">
      <c r="A241" s="9">
        <v>239</v>
      </c>
      <c r="B241" s="14" t="s">
        <v>31</v>
      </c>
      <c r="C241" s="14" t="str">
        <f>"200620110307"</f>
        <v>200620110307</v>
      </c>
      <c r="D241" s="14" t="str">
        <f>"周颖"</f>
        <v>周颖</v>
      </c>
      <c r="E241" s="9" t="s">
        <v>4</v>
      </c>
      <c r="F241" s="12" t="s">
        <v>51</v>
      </c>
      <c r="G241" s="12" t="s">
        <v>71</v>
      </c>
      <c r="H241" s="12" t="s">
        <v>72</v>
      </c>
    </row>
    <row r="242" spans="1:8" s="1" customFormat="1" ht="45" customHeight="1">
      <c r="A242" s="9">
        <v>240</v>
      </c>
      <c r="B242" s="14" t="s">
        <v>31</v>
      </c>
      <c r="C242" s="14" t="str">
        <f>"200620110504"</f>
        <v>200620110504</v>
      </c>
      <c r="D242" s="14" t="str">
        <f>"彭芙蓉"</f>
        <v>彭芙蓉</v>
      </c>
      <c r="E242" s="9" t="s">
        <v>4</v>
      </c>
      <c r="F242" s="12" t="s">
        <v>51</v>
      </c>
      <c r="G242" s="12" t="s">
        <v>71</v>
      </c>
      <c r="H242" s="12" t="s">
        <v>72</v>
      </c>
    </row>
    <row r="243" spans="1:8" s="1" customFormat="1" ht="45" customHeight="1">
      <c r="A243" s="9">
        <v>241</v>
      </c>
      <c r="B243" s="14" t="s">
        <v>31</v>
      </c>
      <c r="C243" s="14" t="str">
        <f>"200620110230"</f>
        <v>200620110230</v>
      </c>
      <c r="D243" s="14" t="str">
        <f>"何丹"</f>
        <v>何丹</v>
      </c>
      <c r="E243" s="9" t="s">
        <v>4</v>
      </c>
      <c r="F243" s="12" t="s">
        <v>51</v>
      </c>
      <c r="G243" s="12" t="s">
        <v>71</v>
      </c>
      <c r="H243" s="12" t="s">
        <v>72</v>
      </c>
    </row>
    <row r="244" spans="1:8" s="1" customFormat="1" ht="45" customHeight="1">
      <c r="A244" s="9">
        <v>242</v>
      </c>
      <c r="B244" s="14" t="s">
        <v>31</v>
      </c>
      <c r="C244" s="14" t="str">
        <f>"200620110401"</f>
        <v>200620110401</v>
      </c>
      <c r="D244" s="14" t="str">
        <f>"文兰兰"</f>
        <v>文兰兰</v>
      </c>
      <c r="E244" s="11" t="s">
        <v>4</v>
      </c>
      <c r="F244" s="12" t="s">
        <v>51</v>
      </c>
      <c r="G244" s="12" t="s">
        <v>71</v>
      </c>
      <c r="H244" s="12" t="s">
        <v>72</v>
      </c>
    </row>
    <row r="245" spans="1:8" s="1" customFormat="1" ht="45" customHeight="1">
      <c r="A245" s="9">
        <v>243</v>
      </c>
      <c r="B245" s="14" t="s">
        <v>31</v>
      </c>
      <c r="C245" s="14" t="str">
        <f>"200620110425"</f>
        <v>200620110425</v>
      </c>
      <c r="D245" s="14" t="str">
        <f>"周符敏"</f>
        <v>周符敏</v>
      </c>
      <c r="E245" s="11" t="s">
        <v>4</v>
      </c>
      <c r="F245" s="12" t="s">
        <v>51</v>
      </c>
      <c r="G245" s="12" t="s">
        <v>71</v>
      </c>
      <c r="H245" s="12" t="s">
        <v>72</v>
      </c>
    </row>
    <row r="246" spans="1:8" s="1" customFormat="1" ht="45" customHeight="1">
      <c r="A246" s="9">
        <v>244</v>
      </c>
      <c r="B246" s="14" t="s">
        <v>31</v>
      </c>
      <c r="C246" s="14" t="str">
        <f>"200620110431"</f>
        <v>200620110431</v>
      </c>
      <c r="D246" s="14" t="str">
        <f>"刘甜寰"</f>
        <v>刘甜寰</v>
      </c>
      <c r="E246" s="11" t="s">
        <v>4</v>
      </c>
      <c r="F246" s="12" t="s">
        <v>51</v>
      </c>
      <c r="G246" s="12" t="s">
        <v>71</v>
      </c>
      <c r="H246" s="12" t="s">
        <v>72</v>
      </c>
    </row>
    <row r="247" spans="1:8" s="1" customFormat="1" ht="45" customHeight="1">
      <c r="A247" s="9">
        <v>245</v>
      </c>
      <c r="B247" s="14" t="s">
        <v>31</v>
      </c>
      <c r="C247" s="14" t="str">
        <f>"200620110124"</f>
        <v>200620110124</v>
      </c>
      <c r="D247" s="14" t="str">
        <f>"刘婧"</f>
        <v>刘婧</v>
      </c>
      <c r="E247" s="9" t="s">
        <v>4</v>
      </c>
      <c r="F247" s="12" t="s">
        <v>51</v>
      </c>
      <c r="G247" s="12" t="s">
        <v>71</v>
      </c>
      <c r="H247" s="12" t="s">
        <v>72</v>
      </c>
    </row>
    <row r="248" spans="1:8" s="1" customFormat="1" ht="45" customHeight="1">
      <c r="A248" s="9">
        <v>246</v>
      </c>
      <c r="B248" s="14" t="s">
        <v>31</v>
      </c>
      <c r="C248" s="14" t="str">
        <f>"200620110212"</f>
        <v>200620110212</v>
      </c>
      <c r="D248" s="14" t="str">
        <f>"陈青"</f>
        <v>陈青</v>
      </c>
      <c r="E248" s="9" t="s">
        <v>4</v>
      </c>
      <c r="F248" s="12" t="s">
        <v>51</v>
      </c>
      <c r="G248" s="12" t="s">
        <v>71</v>
      </c>
      <c r="H248" s="12" t="s">
        <v>72</v>
      </c>
    </row>
    <row r="249" spans="1:8" s="1" customFormat="1" ht="45" customHeight="1">
      <c r="A249" s="9">
        <v>247</v>
      </c>
      <c r="B249" s="14" t="s">
        <v>31</v>
      </c>
      <c r="C249" s="14" t="str">
        <f>"200620110214"</f>
        <v>200620110214</v>
      </c>
      <c r="D249" s="14" t="str">
        <f>"陈超"</f>
        <v>陈超</v>
      </c>
      <c r="E249" s="9" t="s">
        <v>4</v>
      </c>
      <c r="F249" s="12" t="s">
        <v>51</v>
      </c>
      <c r="G249" s="12" t="s">
        <v>71</v>
      </c>
      <c r="H249" s="12" t="s">
        <v>72</v>
      </c>
    </row>
    <row r="250" spans="1:8" s="1" customFormat="1" ht="45" customHeight="1">
      <c r="A250" s="9">
        <v>248</v>
      </c>
      <c r="B250" s="14" t="s">
        <v>31</v>
      </c>
      <c r="C250" s="14" t="str">
        <f>"200620110102"</f>
        <v>200620110102</v>
      </c>
      <c r="D250" s="14" t="str">
        <f>"谢玲玲"</f>
        <v>谢玲玲</v>
      </c>
      <c r="E250" s="9" t="s">
        <v>4</v>
      </c>
      <c r="F250" s="12" t="s">
        <v>51</v>
      </c>
      <c r="G250" s="12" t="s">
        <v>71</v>
      </c>
      <c r="H250" s="12" t="s">
        <v>72</v>
      </c>
    </row>
    <row r="251" spans="1:8" s="1" customFormat="1" ht="45" customHeight="1">
      <c r="A251" s="9">
        <v>249</v>
      </c>
      <c r="B251" s="14" t="s">
        <v>31</v>
      </c>
      <c r="C251" s="14" t="str">
        <f>"200620110508"</f>
        <v>200620110508</v>
      </c>
      <c r="D251" s="14" t="str">
        <f>"彭雄洁"</f>
        <v>彭雄洁</v>
      </c>
      <c r="E251" s="9" t="s">
        <v>4</v>
      </c>
      <c r="F251" s="12" t="s">
        <v>51</v>
      </c>
      <c r="G251" s="12" t="s">
        <v>71</v>
      </c>
      <c r="H251" s="12" t="s">
        <v>72</v>
      </c>
    </row>
    <row r="252" spans="1:8" s="1" customFormat="1" ht="45" customHeight="1">
      <c r="A252" s="9">
        <v>250</v>
      </c>
      <c r="B252" s="14" t="s">
        <v>31</v>
      </c>
      <c r="C252" s="14" t="str">
        <f>"200620110502"</f>
        <v>200620110502</v>
      </c>
      <c r="D252" s="14" t="str">
        <f>"罗凯丽"</f>
        <v>罗凯丽</v>
      </c>
      <c r="E252" s="9" t="s">
        <v>4</v>
      </c>
      <c r="F252" s="12" t="s">
        <v>51</v>
      </c>
      <c r="G252" s="12" t="s">
        <v>71</v>
      </c>
      <c r="H252" s="12" t="s">
        <v>72</v>
      </c>
    </row>
    <row r="253" spans="1:8" s="1" customFormat="1" ht="45" customHeight="1">
      <c r="A253" s="9">
        <v>251</v>
      </c>
      <c r="B253" s="14" t="s">
        <v>31</v>
      </c>
      <c r="C253" s="14" t="str">
        <f>"200620110110"</f>
        <v>200620110110</v>
      </c>
      <c r="D253" s="14" t="str">
        <f>"彭建平"</f>
        <v>彭建平</v>
      </c>
      <c r="E253" s="11" t="s">
        <v>4</v>
      </c>
      <c r="F253" s="12" t="s">
        <v>51</v>
      </c>
      <c r="G253" s="12" t="s">
        <v>71</v>
      </c>
      <c r="H253" s="12" t="s">
        <v>72</v>
      </c>
    </row>
    <row r="254" spans="1:8" s="1" customFormat="1" ht="45" customHeight="1">
      <c r="A254" s="9">
        <v>252</v>
      </c>
      <c r="B254" s="14" t="s">
        <v>31</v>
      </c>
      <c r="C254" s="14" t="str">
        <f>"200620110330"</f>
        <v>200620110330</v>
      </c>
      <c r="D254" s="14" t="str">
        <f>"汪悦"</f>
        <v>汪悦</v>
      </c>
      <c r="E254" s="9" t="s">
        <v>4</v>
      </c>
      <c r="F254" s="12" t="s">
        <v>51</v>
      </c>
      <c r="G254" s="12" t="s">
        <v>71</v>
      </c>
      <c r="H254" s="12" t="s">
        <v>72</v>
      </c>
    </row>
    <row r="255" spans="1:8" s="1" customFormat="1" ht="45" customHeight="1">
      <c r="A255" s="9">
        <v>253</v>
      </c>
      <c r="B255" s="14" t="s">
        <v>31</v>
      </c>
      <c r="C255" s="14" t="str">
        <f>"200620110320"</f>
        <v>200620110320</v>
      </c>
      <c r="D255" s="14" t="str">
        <f>"陈浩"</f>
        <v>陈浩</v>
      </c>
      <c r="E255" s="9" t="s">
        <v>4</v>
      </c>
      <c r="F255" s="12" t="s">
        <v>51</v>
      </c>
      <c r="G255" s="12" t="s">
        <v>71</v>
      </c>
      <c r="H255" s="12" t="s">
        <v>72</v>
      </c>
    </row>
    <row r="256" spans="1:8" s="1" customFormat="1" ht="45" customHeight="1">
      <c r="A256" s="9">
        <v>254</v>
      </c>
      <c r="B256" s="14" t="s">
        <v>31</v>
      </c>
      <c r="C256" s="14" t="str">
        <f>"200620110121"</f>
        <v>200620110121</v>
      </c>
      <c r="D256" s="14" t="str">
        <f>"谢德梅"</f>
        <v>谢德梅</v>
      </c>
      <c r="E256" s="9" t="s">
        <v>4</v>
      </c>
      <c r="F256" s="12" t="s">
        <v>51</v>
      </c>
      <c r="G256" s="12" t="s">
        <v>71</v>
      </c>
      <c r="H256" s="12" t="s">
        <v>72</v>
      </c>
    </row>
    <row r="257" spans="1:8" s="1" customFormat="1" ht="45" customHeight="1">
      <c r="A257" s="9">
        <v>255</v>
      </c>
      <c r="B257" s="14" t="s">
        <v>31</v>
      </c>
      <c r="C257" s="14" t="str">
        <f>"200620110327"</f>
        <v>200620110327</v>
      </c>
      <c r="D257" s="14" t="str">
        <f>"李桥艳"</f>
        <v>李桥艳</v>
      </c>
      <c r="E257" s="9" t="s">
        <v>4</v>
      </c>
      <c r="F257" s="12" t="s">
        <v>51</v>
      </c>
      <c r="G257" s="12" t="s">
        <v>71</v>
      </c>
      <c r="H257" s="12" t="s">
        <v>72</v>
      </c>
    </row>
    <row r="258" spans="1:8" s="1" customFormat="1" ht="45" customHeight="1">
      <c r="A258" s="9">
        <v>256</v>
      </c>
      <c r="B258" s="14" t="s">
        <v>31</v>
      </c>
      <c r="C258" s="14" t="str">
        <f>"200620110406"</f>
        <v>200620110406</v>
      </c>
      <c r="D258" s="14" t="str">
        <f>"陈芳真"</f>
        <v>陈芳真</v>
      </c>
      <c r="E258" s="9" t="s">
        <v>4</v>
      </c>
      <c r="F258" s="12" t="s">
        <v>51</v>
      </c>
      <c r="G258" s="12" t="s">
        <v>71</v>
      </c>
      <c r="H258" s="12" t="s">
        <v>72</v>
      </c>
    </row>
    <row r="259" spans="1:8" s="1" customFormat="1" ht="45" customHeight="1">
      <c r="A259" s="9">
        <v>257</v>
      </c>
      <c r="B259" s="14" t="s">
        <v>31</v>
      </c>
      <c r="C259" s="14" t="str">
        <f>"200620110109"</f>
        <v>200620110109</v>
      </c>
      <c r="D259" s="14" t="str">
        <f>"李晨菲"</f>
        <v>李晨菲</v>
      </c>
      <c r="E259" s="9" t="s">
        <v>4</v>
      </c>
      <c r="F259" s="12" t="s">
        <v>51</v>
      </c>
      <c r="G259" s="12" t="s">
        <v>71</v>
      </c>
      <c r="H259" s="12" t="s">
        <v>72</v>
      </c>
    </row>
    <row r="260" spans="1:8" s="1" customFormat="1" ht="45" customHeight="1">
      <c r="A260" s="9">
        <v>258</v>
      </c>
      <c r="B260" s="14" t="s">
        <v>31</v>
      </c>
      <c r="C260" s="14" t="str">
        <f>"200620110210"</f>
        <v>200620110210</v>
      </c>
      <c r="D260" s="14" t="str">
        <f>"谢凯丽"</f>
        <v>谢凯丽</v>
      </c>
      <c r="E260" s="9" t="s">
        <v>4</v>
      </c>
      <c r="F260" s="12" t="s">
        <v>51</v>
      </c>
      <c r="G260" s="12" t="s">
        <v>71</v>
      </c>
      <c r="H260" s="12" t="s">
        <v>72</v>
      </c>
    </row>
    <row r="261" spans="1:8" s="1" customFormat="1" ht="45" customHeight="1">
      <c r="A261" s="9">
        <v>259</v>
      </c>
      <c r="B261" s="14" t="s">
        <v>31</v>
      </c>
      <c r="C261" s="14" t="str">
        <f>"200620110506"</f>
        <v>200620110506</v>
      </c>
      <c r="D261" s="14" t="str">
        <f>"周丽敏"</f>
        <v>周丽敏</v>
      </c>
      <c r="E261" s="9" t="s">
        <v>4</v>
      </c>
      <c r="F261" s="12" t="s">
        <v>51</v>
      </c>
      <c r="G261" s="12" t="s">
        <v>71</v>
      </c>
      <c r="H261" s="12" t="s">
        <v>72</v>
      </c>
    </row>
    <row r="262" spans="1:8" s="1" customFormat="1" ht="45" customHeight="1">
      <c r="A262" s="9">
        <v>260</v>
      </c>
      <c r="B262" s="14" t="s">
        <v>31</v>
      </c>
      <c r="C262" s="14" t="str">
        <f>"200620110222"</f>
        <v>200620110222</v>
      </c>
      <c r="D262" s="14" t="str">
        <f>"廖冬霞"</f>
        <v>廖冬霞</v>
      </c>
      <c r="E262" s="9" t="s">
        <v>4</v>
      </c>
      <c r="F262" s="12" t="s">
        <v>51</v>
      </c>
      <c r="G262" s="12" t="s">
        <v>71</v>
      </c>
      <c r="H262" s="12" t="s">
        <v>72</v>
      </c>
    </row>
    <row r="263" spans="1:8" s="1" customFormat="1" ht="45" customHeight="1">
      <c r="A263" s="9">
        <v>261</v>
      </c>
      <c r="B263" s="14" t="s">
        <v>31</v>
      </c>
      <c r="C263" s="14" t="str">
        <f>"200620110512"</f>
        <v>200620110512</v>
      </c>
      <c r="D263" s="14" t="str">
        <f>"刘喜爱"</f>
        <v>刘喜爱</v>
      </c>
      <c r="E263" s="9" t="s">
        <v>52</v>
      </c>
      <c r="F263" s="12" t="s">
        <v>51</v>
      </c>
      <c r="G263" s="12" t="s">
        <v>71</v>
      </c>
      <c r="H263" s="12" t="s">
        <v>72</v>
      </c>
    </row>
    <row r="264" spans="1:8" s="1" customFormat="1" ht="45" customHeight="1">
      <c r="A264" s="9">
        <v>262</v>
      </c>
      <c r="B264" s="14" t="s">
        <v>31</v>
      </c>
      <c r="C264" s="14" t="str">
        <f>"200620110225"</f>
        <v>200620110225</v>
      </c>
      <c r="D264" s="14" t="str">
        <f>"刘慧红"</f>
        <v>刘慧红</v>
      </c>
      <c r="E264" s="9" t="s">
        <v>4</v>
      </c>
      <c r="F264" s="12" t="s">
        <v>51</v>
      </c>
      <c r="G264" s="12" t="s">
        <v>71</v>
      </c>
      <c r="H264" s="12" t="s">
        <v>72</v>
      </c>
    </row>
    <row r="265" spans="1:8" s="1" customFormat="1" ht="45" customHeight="1">
      <c r="A265" s="9">
        <v>263</v>
      </c>
      <c r="B265" s="14" t="s">
        <v>31</v>
      </c>
      <c r="C265" s="14" t="str">
        <f>"200620110312"</f>
        <v>200620110312</v>
      </c>
      <c r="D265" s="14" t="str">
        <f>"杨倩"</f>
        <v>杨倩</v>
      </c>
      <c r="E265" s="9" t="s">
        <v>4</v>
      </c>
      <c r="F265" s="12" t="s">
        <v>51</v>
      </c>
      <c r="G265" s="12" t="s">
        <v>71</v>
      </c>
      <c r="H265" s="12" t="s">
        <v>72</v>
      </c>
    </row>
    <row r="266" spans="1:8" s="1" customFormat="1" ht="45" customHeight="1">
      <c r="A266" s="9">
        <v>264</v>
      </c>
      <c r="B266" s="14" t="s">
        <v>31</v>
      </c>
      <c r="C266" s="14" t="str">
        <f>"200620110315"</f>
        <v>200620110315</v>
      </c>
      <c r="D266" s="14" t="str">
        <f>"谭敏秀"</f>
        <v>谭敏秀</v>
      </c>
      <c r="E266" s="9" t="s">
        <v>4</v>
      </c>
      <c r="F266" s="12" t="s">
        <v>51</v>
      </c>
      <c r="G266" s="12" t="s">
        <v>71</v>
      </c>
      <c r="H266" s="12" t="s">
        <v>72</v>
      </c>
    </row>
    <row r="267" spans="1:8" s="1" customFormat="1" ht="45" customHeight="1">
      <c r="A267" s="9">
        <v>265</v>
      </c>
      <c r="B267" s="14" t="s">
        <v>31</v>
      </c>
      <c r="C267" s="14" t="str">
        <f>"200620110113"</f>
        <v>200620110113</v>
      </c>
      <c r="D267" s="14" t="str">
        <f>"欧阳湛"</f>
        <v>欧阳湛</v>
      </c>
      <c r="E267" s="11" t="s">
        <v>4</v>
      </c>
      <c r="F267" s="12" t="s">
        <v>51</v>
      </c>
      <c r="G267" s="12" t="s">
        <v>71</v>
      </c>
      <c r="H267" s="12" t="s">
        <v>72</v>
      </c>
    </row>
    <row r="268" spans="1:8" s="1" customFormat="1" ht="45" customHeight="1">
      <c r="A268" s="9">
        <v>266</v>
      </c>
      <c r="B268" s="14" t="s">
        <v>31</v>
      </c>
      <c r="C268" s="14" t="str">
        <f>"200620110219"</f>
        <v>200620110219</v>
      </c>
      <c r="D268" s="14" t="str">
        <f>"罗昌"</f>
        <v>罗昌</v>
      </c>
      <c r="E268" s="9" t="s">
        <v>4</v>
      </c>
      <c r="F268" s="12" t="s">
        <v>51</v>
      </c>
      <c r="G268" s="12" t="s">
        <v>71</v>
      </c>
      <c r="H268" s="12" t="s">
        <v>72</v>
      </c>
    </row>
    <row r="269" spans="1:8" s="1" customFormat="1" ht="45" customHeight="1">
      <c r="A269" s="9">
        <v>267</v>
      </c>
      <c r="B269" s="14" t="s">
        <v>31</v>
      </c>
      <c r="C269" s="14" t="str">
        <f>"200620110229"</f>
        <v>200620110229</v>
      </c>
      <c r="D269" s="14" t="str">
        <f>"杨琴"</f>
        <v>杨琴</v>
      </c>
      <c r="E269" s="9" t="s">
        <v>4</v>
      </c>
      <c r="F269" s="12" t="s">
        <v>51</v>
      </c>
      <c r="G269" s="12" t="s">
        <v>71</v>
      </c>
      <c r="H269" s="12" t="s">
        <v>72</v>
      </c>
    </row>
    <row r="270" spans="1:8" s="1" customFormat="1" ht="45" customHeight="1">
      <c r="A270" s="9">
        <v>268</v>
      </c>
      <c r="B270" s="14" t="s">
        <v>31</v>
      </c>
      <c r="C270" s="14" t="str">
        <f>"200620110301"</f>
        <v>200620110301</v>
      </c>
      <c r="D270" s="14" t="str">
        <f>"唐昱哲"</f>
        <v>唐昱哲</v>
      </c>
      <c r="E270" s="9" t="s">
        <v>4</v>
      </c>
      <c r="F270" s="12" t="s">
        <v>51</v>
      </c>
      <c r="G270" s="12" t="s">
        <v>71</v>
      </c>
      <c r="H270" s="12" t="s">
        <v>72</v>
      </c>
    </row>
    <row r="271" spans="1:8" s="1" customFormat="1" ht="45" customHeight="1" thickBot="1">
      <c r="A271" s="25">
        <v>269</v>
      </c>
      <c r="B271" s="22" t="s">
        <v>31</v>
      </c>
      <c r="C271" s="22" t="str">
        <f>"200620110427"</f>
        <v>200620110427</v>
      </c>
      <c r="D271" s="22" t="str">
        <f>"陈锐"</f>
        <v>陈锐</v>
      </c>
      <c r="E271" s="25" t="s">
        <v>4</v>
      </c>
      <c r="F271" s="19" t="s">
        <v>51</v>
      </c>
      <c r="G271" s="19" t="s">
        <v>71</v>
      </c>
      <c r="H271" s="19" t="s">
        <v>72</v>
      </c>
    </row>
    <row r="272" spans="1:8" s="1" customFormat="1" ht="45" customHeight="1" thickTop="1">
      <c r="A272" s="11">
        <v>270</v>
      </c>
      <c r="B272" s="14" t="s">
        <v>32</v>
      </c>
      <c r="C272" s="14" t="str">
        <f>"200620110810"</f>
        <v>200620110810</v>
      </c>
      <c r="D272" s="14" t="str">
        <f>"王捷"</f>
        <v>王捷</v>
      </c>
      <c r="E272" s="11" t="s">
        <v>4</v>
      </c>
      <c r="F272" s="12" t="s">
        <v>51</v>
      </c>
      <c r="G272" s="12" t="s">
        <v>73</v>
      </c>
      <c r="H272" s="12" t="s">
        <v>74</v>
      </c>
    </row>
    <row r="273" spans="1:8" s="1" customFormat="1" ht="45" customHeight="1">
      <c r="A273" s="9">
        <v>271</v>
      </c>
      <c r="B273" s="14" t="s">
        <v>32</v>
      </c>
      <c r="C273" s="14" t="str">
        <f>"200620110613"</f>
        <v>200620110613</v>
      </c>
      <c r="D273" s="14" t="str">
        <f>"段丽君"</f>
        <v>段丽君</v>
      </c>
      <c r="E273" s="9" t="s">
        <v>4</v>
      </c>
      <c r="F273" s="12" t="s">
        <v>51</v>
      </c>
      <c r="G273" s="12" t="s">
        <v>73</v>
      </c>
      <c r="H273" s="12" t="s">
        <v>74</v>
      </c>
    </row>
    <row r="274" spans="1:8" s="1" customFormat="1" ht="45" customHeight="1">
      <c r="A274" s="9">
        <v>272</v>
      </c>
      <c r="B274" s="14" t="s">
        <v>32</v>
      </c>
      <c r="C274" s="14" t="str">
        <f>"200620110520"</f>
        <v>200620110520</v>
      </c>
      <c r="D274" s="14" t="str">
        <f>"陈铁南"</f>
        <v>陈铁南</v>
      </c>
      <c r="E274" s="11" t="s">
        <v>4</v>
      </c>
      <c r="F274" s="12" t="s">
        <v>51</v>
      </c>
      <c r="G274" s="12" t="s">
        <v>73</v>
      </c>
      <c r="H274" s="12" t="s">
        <v>74</v>
      </c>
    </row>
    <row r="275" spans="1:8" s="1" customFormat="1" ht="45" customHeight="1">
      <c r="A275" s="9">
        <v>273</v>
      </c>
      <c r="B275" s="14" t="s">
        <v>32</v>
      </c>
      <c r="C275" s="14" t="str">
        <f>"200620110518"</f>
        <v>200620110518</v>
      </c>
      <c r="D275" s="14" t="str">
        <f>"彭春香"</f>
        <v>彭春香</v>
      </c>
      <c r="E275" s="9" t="s">
        <v>4</v>
      </c>
      <c r="F275" s="12" t="s">
        <v>51</v>
      </c>
      <c r="G275" s="12" t="s">
        <v>73</v>
      </c>
      <c r="H275" s="12" t="s">
        <v>74</v>
      </c>
    </row>
    <row r="276" spans="1:8" s="1" customFormat="1" ht="45" customHeight="1">
      <c r="A276" s="9">
        <v>274</v>
      </c>
      <c r="B276" s="14" t="s">
        <v>32</v>
      </c>
      <c r="C276" s="14" t="str">
        <f>"200620110609"</f>
        <v>200620110609</v>
      </c>
      <c r="D276" s="14" t="str">
        <f>"郑莉"</f>
        <v>郑莉</v>
      </c>
      <c r="E276" s="9" t="s">
        <v>4</v>
      </c>
      <c r="F276" s="12" t="s">
        <v>51</v>
      </c>
      <c r="G276" s="12" t="s">
        <v>73</v>
      </c>
      <c r="H276" s="12" t="s">
        <v>74</v>
      </c>
    </row>
    <row r="277" spans="1:8" s="1" customFormat="1" ht="45" customHeight="1">
      <c r="A277" s="9">
        <v>275</v>
      </c>
      <c r="B277" s="14" t="s">
        <v>32</v>
      </c>
      <c r="C277" s="14" t="str">
        <f>"200620110915"</f>
        <v>200620110915</v>
      </c>
      <c r="D277" s="14" t="str">
        <f>"杨志鹏"</f>
        <v>杨志鹏</v>
      </c>
      <c r="E277" s="9" t="s">
        <v>4</v>
      </c>
      <c r="F277" s="12" t="s">
        <v>51</v>
      </c>
      <c r="G277" s="12" t="s">
        <v>73</v>
      </c>
      <c r="H277" s="12" t="s">
        <v>74</v>
      </c>
    </row>
    <row r="278" spans="1:8" s="1" customFormat="1" ht="45" customHeight="1">
      <c r="A278" s="9">
        <v>276</v>
      </c>
      <c r="B278" s="14" t="s">
        <v>32</v>
      </c>
      <c r="C278" s="14" t="str">
        <f>"200620110701"</f>
        <v>200620110701</v>
      </c>
      <c r="D278" s="14" t="str">
        <f>"陈倩"</f>
        <v>陈倩</v>
      </c>
      <c r="E278" s="9" t="s">
        <v>4</v>
      </c>
      <c r="F278" s="12" t="s">
        <v>51</v>
      </c>
      <c r="G278" s="12" t="s">
        <v>73</v>
      </c>
      <c r="H278" s="12" t="s">
        <v>74</v>
      </c>
    </row>
    <row r="279" spans="1:8" s="1" customFormat="1" ht="45" customHeight="1">
      <c r="A279" s="9">
        <v>277</v>
      </c>
      <c r="B279" s="14" t="s">
        <v>32</v>
      </c>
      <c r="C279" s="14" t="str">
        <f>"200620110804"</f>
        <v>200620110804</v>
      </c>
      <c r="D279" s="14" t="str">
        <f>"阳英"</f>
        <v>阳英</v>
      </c>
      <c r="E279" s="9" t="s">
        <v>4</v>
      </c>
      <c r="F279" s="12" t="s">
        <v>51</v>
      </c>
      <c r="G279" s="12" t="s">
        <v>73</v>
      </c>
      <c r="H279" s="12" t="s">
        <v>74</v>
      </c>
    </row>
    <row r="280" spans="1:8" s="1" customFormat="1" ht="45" customHeight="1">
      <c r="A280" s="9">
        <v>278</v>
      </c>
      <c r="B280" s="14" t="s">
        <v>32</v>
      </c>
      <c r="C280" s="14" t="str">
        <f>"200620110916"</f>
        <v>200620110916</v>
      </c>
      <c r="D280" s="14" t="str">
        <f>"廖秀"</f>
        <v>廖秀</v>
      </c>
      <c r="E280" s="11" t="s">
        <v>4</v>
      </c>
      <c r="F280" s="12" t="s">
        <v>51</v>
      </c>
      <c r="G280" s="12" t="s">
        <v>73</v>
      </c>
      <c r="H280" s="12" t="s">
        <v>74</v>
      </c>
    </row>
    <row r="281" spans="1:8" s="1" customFormat="1" ht="45" customHeight="1">
      <c r="A281" s="9">
        <v>279</v>
      </c>
      <c r="B281" s="14" t="s">
        <v>32</v>
      </c>
      <c r="C281" s="14" t="str">
        <f>"200620111002"</f>
        <v>200620111002</v>
      </c>
      <c r="D281" s="14" t="str">
        <f>"李彩云"</f>
        <v>李彩云</v>
      </c>
      <c r="E281" s="9" t="s">
        <v>4</v>
      </c>
      <c r="F281" s="12" t="s">
        <v>51</v>
      </c>
      <c r="G281" s="12" t="s">
        <v>73</v>
      </c>
      <c r="H281" s="12" t="s">
        <v>74</v>
      </c>
    </row>
    <row r="282" spans="1:8" s="1" customFormat="1" ht="45" customHeight="1">
      <c r="A282" s="9">
        <v>280</v>
      </c>
      <c r="B282" s="14" t="s">
        <v>32</v>
      </c>
      <c r="C282" s="14" t="str">
        <f>"200620110621"</f>
        <v>200620110621</v>
      </c>
      <c r="D282" s="14" t="str">
        <f>"钟祯"</f>
        <v>钟祯</v>
      </c>
      <c r="E282" s="9" t="s">
        <v>4</v>
      </c>
      <c r="F282" s="12" t="s">
        <v>51</v>
      </c>
      <c r="G282" s="12" t="s">
        <v>73</v>
      </c>
      <c r="H282" s="12" t="s">
        <v>74</v>
      </c>
    </row>
    <row r="283" spans="1:8" s="1" customFormat="1" ht="45" customHeight="1">
      <c r="A283" s="9">
        <v>281</v>
      </c>
      <c r="B283" s="14" t="s">
        <v>32</v>
      </c>
      <c r="C283" s="14" t="str">
        <f>"200620110517"</f>
        <v>200620110517</v>
      </c>
      <c r="D283" s="14" t="str">
        <f>"廖霍争"</f>
        <v>廖霍争</v>
      </c>
      <c r="E283" s="9" t="s">
        <v>4</v>
      </c>
      <c r="F283" s="12" t="s">
        <v>51</v>
      </c>
      <c r="G283" s="12" t="s">
        <v>73</v>
      </c>
      <c r="H283" s="12" t="s">
        <v>74</v>
      </c>
    </row>
    <row r="284" spans="1:8" s="1" customFormat="1" ht="45" customHeight="1">
      <c r="A284" s="9">
        <v>282</v>
      </c>
      <c r="B284" s="14" t="s">
        <v>32</v>
      </c>
      <c r="C284" s="14" t="str">
        <f>"200620110724"</f>
        <v>200620110724</v>
      </c>
      <c r="D284" s="14" t="str">
        <f>"刘雪华"</f>
        <v>刘雪华</v>
      </c>
      <c r="E284" s="11" t="s">
        <v>4</v>
      </c>
      <c r="F284" s="12" t="s">
        <v>51</v>
      </c>
      <c r="G284" s="12" t="s">
        <v>73</v>
      </c>
      <c r="H284" s="12" t="s">
        <v>74</v>
      </c>
    </row>
    <row r="285" spans="1:8" s="1" customFormat="1" ht="45" customHeight="1">
      <c r="A285" s="9">
        <v>283</v>
      </c>
      <c r="B285" s="14" t="s">
        <v>32</v>
      </c>
      <c r="C285" s="14" t="str">
        <f>"200620110819"</f>
        <v>200620110819</v>
      </c>
      <c r="D285" s="14" t="str">
        <f>"唐贵宾"</f>
        <v>唐贵宾</v>
      </c>
      <c r="E285" s="9" t="s">
        <v>4</v>
      </c>
      <c r="F285" s="12" t="s">
        <v>51</v>
      </c>
      <c r="G285" s="12" t="s">
        <v>73</v>
      </c>
      <c r="H285" s="12" t="s">
        <v>74</v>
      </c>
    </row>
    <row r="286" spans="1:8" s="1" customFormat="1" ht="45" customHeight="1">
      <c r="A286" s="9">
        <v>284</v>
      </c>
      <c r="B286" s="14" t="s">
        <v>32</v>
      </c>
      <c r="C286" s="14" t="str">
        <f>"200620110625"</f>
        <v>200620110625</v>
      </c>
      <c r="D286" s="14" t="str">
        <f>"段鑫鑫"</f>
        <v>段鑫鑫</v>
      </c>
      <c r="E286" s="9" t="s">
        <v>4</v>
      </c>
      <c r="F286" s="12" t="s">
        <v>51</v>
      </c>
      <c r="G286" s="12" t="s">
        <v>73</v>
      </c>
      <c r="H286" s="12" t="s">
        <v>74</v>
      </c>
    </row>
    <row r="287" spans="1:8" s="1" customFormat="1" ht="45" customHeight="1">
      <c r="A287" s="9">
        <v>285</v>
      </c>
      <c r="B287" s="14" t="s">
        <v>32</v>
      </c>
      <c r="C287" s="14" t="str">
        <f>"200620110608"</f>
        <v>200620110608</v>
      </c>
      <c r="D287" s="14" t="str">
        <f>"谌炳伶"</f>
        <v>谌炳伶</v>
      </c>
      <c r="E287" s="9" t="s">
        <v>4</v>
      </c>
      <c r="F287" s="12" t="s">
        <v>51</v>
      </c>
      <c r="G287" s="12" t="s">
        <v>73</v>
      </c>
      <c r="H287" s="12" t="s">
        <v>74</v>
      </c>
    </row>
    <row r="288" spans="1:8" s="1" customFormat="1" ht="45" customHeight="1">
      <c r="A288" s="9">
        <v>286</v>
      </c>
      <c r="B288" s="14" t="s">
        <v>32</v>
      </c>
      <c r="C288" s="14" t="str">
        <f>"200620110912"</f>
        <v>200620110912</v>
      </c>
      <c r="D288" s="14" t="str">
        <f>"贺美清"</f>
        <v>贺美清</v>
      </c>
      <c r="E288" s="9" t="s">
        <v>4</v>
      </c>
      <c r="F288" s="12" t="s">
        <v>51</v>
      </c>
      <c r="G288" s="12" t="s">
        <v>73</v>
      </c>
      <c r="H288" s="12" t="s">
        <v>74</v>
      </c>
    </row>
    <row r="289" spans="1:8" s="1" customFormat="1" ht="45" customHeight="1">
      <c r="A289" s="9">
        <v>287</v>
      </c>
      <c r="B289" s="14" t="s">
        <v>32</v>
      </c>
      <c r="C289" s="14" t="str">
        <f>"200620110731"</f>
        <v>200620110731</v>
      </c>
      <c r="D289" s="14" t="str">
        <f>"毕珊"</f>
        <v>毕珊</v>
      </c>
      <c r="E289" s="9" t="s">
        <v>4</v>
      </c>
      <c r="F289" s="12" t="s">
        <v>51</v>
      </c>
      <c r="G289" s="12" t="s">
        <v>73</v>
      </c>
      <c r="H289" s="12" t="s">
        <v>74</v>
      </c>
    </row>
    <row r="290" spans="1:8" s="1" customFormat="1" ht="45" customHeight="1">
      <c r="A290" s="9">
        <v>288</v>
      </c>
      <c r="B290" s="14" t="s">
        <v>32</v>
      </c>
      <c r="C290" s="14" t="str">
        <f>"200620110614"</f>
        <v>200620110614</v>
      </c>
      <c r="D290" s="14" t="str">
        <f>"张彩琴"</f>
        <v>张彩琴</v>
      </c>
      <c r="E290" s="9" t="s">
        <v>4</v>
      </c>
      <c r="F290" s="12" t="s">
        <v>51</v>
      </c>
      <c r="G290" s="12" t="s">
        <v>73</v>
      </c>
      <c r="H290" s="12" t="s">
        <v>74</v>
      </c>
    </row>
    <row r="291" spans="1:8" s="1" customFormat="1" ht="45" customHeight="1">
      <c r="A291" s="9">
        <v>289</v>
      </c>
      <c r="B291" s="14" t="s">
        <v>32</v>
      </c>
      <c r="C291" s="14" t="str">
        <f>"200620110927"</f>
        <v>200620110927</v>
      </c>
      <c r="D291" s="14" t="str">
        <f>"谢民"</f>
        <v>谢民</v>
      </c>
      <c r="E291" s="9" t="s">
        <v>4</v>
      </c>
      <c r="F291" s="12" t="s">
        <v>51</v>
      </c>
      <c r="G291" s="12" t="s">
        <v>73</v>
      </c>
      <c r="H291" s="12" t="s">
        <v>74</v>
      </c>
    </row>
    <row r="292" spans="1:8" s="1" customFormat="1" ht="45" customHeight="1">
      <c r="A292" s="9">
        <v>290</v>
      </c>
      <c r="B292" s="14" t="s">
        <v>32</v>
      </c>
      <c r="C292" s="14" t="str">
        <f>"200620110704"</f>
        <v>200620110704</v>
      </c>
      <c r="D292" s="14" t="str">
        <f>"贺宇飞"</f>
        <v>贺宇飞</v>
      </c>
      <c r="E292" s="9" t="s">
        <v>4</v>
      </c>
      <c r="F292" s="12" t="s">
        <v>51</v>
      </c>
      <c r="G292" s="12" t="s">
        <v>73</v>
      </c>
      <c r="H292" s="12" t="s">
        <v>74</v>
      </c>
    </row>
    <row r="293" spans="1:8" s="1" customFormat="1" ht="45" customHeight="1">
      <c r="A293" s="9">
        <v>291</v>
      </c>
      <c r="B293" s="14" t="s">
        <v>32</v>
      </c>
      <c r="C293" s="14" t="str">
        <f>"200620110911"</f>
        <v>200620110911</v>
      </c>
      <c r="D293" s="14" t="str">
        <f>"王尹亮"</f>
        <v>王尹亮</v>
      </c>
      <c r="E293" s="9" t="s">
        <v>4</v>
      </c>
      <c r="F293" s="12" t="s">
        <v>51</v>
      </c>
      <c r="G293" s="12" t="s">
        <v>73</v>
      </c>
      <c r="H293" s="12" t="s">
        <v>74</v>
      </c>
    </row>
    <row r="294" spans="1:8" s="1" customFormat="1" ht="45" customHeight="1">
      <c r="A294" s="9">
        <v>292</v>
      </c>
      <c r="B294" s="14" t="s">
        <v>32</v>
      </c>
      <c r="C294" s="14" t="str">
        <f>"200620110825"</f>
        <v>200620110825</v>
      </c>
      <c r="D294" s="14" t="str">
        <f>"肖磊"</f>
        <v>肖磊</v>
      </c>
      <c r="E294" s="9" t="s">
        <v>4</v>
      </c>
      <c r="F294" s="12" t="s">
        <v>51</v>
      </c>
      <c r="G294" s="12" t="s">
        <v>73</v>
      </c>
      <c r="H294" s="12" t="s">
        <v>74</v>
      </c>
    </row>
    <row r="295" spans="1:8" s="1" customFormat="1" ht="45" customHeight="1">
      <c r="A295" s="9">
        <v>293</v>
      </c>
      <c r="B295" s="14" t="s">
        <v>32</v>
      </c>
      <c r="C295" s="14" t="str">
        <f>"200620110812"</f>
        <v>200620110812</v>
      </c>
      <c r="D295" s="14" t="str">
        <f>"卢敏"</f>
        <v>卢敏</v>
      </c>
      <c r="E295" s="9" t="s">
        <v>4</v>
      </c>
      <c r="F295" s="12" t="s">
        <v>51</v>
      </c>
      <c r="G295" s="12" t="s">
        <v>73</v>
      </c>
      <c r="H295" s="12" t="s">
        <v>74</v>
      </c>
    </row>
    <row r="296" spans="1:8" s="1" customFormat="1" ht="45" customHeight="1">
      <c r="A296" s="9">
        <v>294</v>
      </c>
      <c r="B296" s="14" t="s">
        <v>32</v>
      </c>
      <c r="C296" s="14" t="str">
        <f>"200620110910"</f>
        <v>200620110910</v>
      </c>
      <c r="D296" s="14" t="str">
        <f>"陈新鑫"</f>
        <v>陈新鑫</v>
      </c>
      <c r="E296" s="9" t="s">
        <v>4</v>
      </c>
      <c r="F296" s="12" t="s">
        <v>51</v>
      </c>
      <c r="G296" s="12" t="s">
        <v>73</v>
      </c>
      <c r="H296" s="12" t="s">
        <v>74</v>
      </c>
    </row>
    <row r="297" spans="1:8" s="1" customFormat="1" ht="45" customHeight="1">
      <c r="A297" s="9">
        <v>295</v>
      </c>
      <c r="B297" s="14" t="s">
        <v>32</v>
      </c>
      <c r="C297" s="14" t="str">
        <f>"200620110902"</f>
        <v>200620110902</v>
      </c>
      <c r="D297" s="14" t="str">
        <f>"李明"</f>
        <v>李明</v>
      </c>
      <c r="E297" s="9" t="s">
        <v>4</v>
      </c>
      <c r="F297" s="12" t="s">
        <v>51</v>
      </c>
      <c r="G297" s="12" t="s">
        <v>73</v>
      </c>
      <c r="H297" s="12" t="s">
        <v>74</v>
      </c>
    </row>
    <row r="298" spans="1:8" s="1" customFormat="1" ht="45" customHeight="1">
      <c r="A298" s="9">
        <v>296</v>
      </c>
      <c r="B298" s="14" t="s">
        <v>32</v>
      </c>
      <c r="C298" s="14" t="str">
        <f>"200620110617"</f>
        <v>200620110617</v>
      </c>
      <c r="D298" s="14" t="str">
        <f>"陈兰萍"</f>
        <v>陈兰萍</v>
      </c>
      <c r="E298" s="9" t="s">
        <v>4</v>
      </c>
      <c r="F298" s="12" t="s">
        <v>51</v>
      </c>
      <c r="G298" s="12" t="s">
        <v>73</v>
      </c>
      <c r="H298" s="12" t="s">
        <v>74</v>
      </c>
    </row>
    <row r="299" spans="1:8" s="1" customFormat="1" ht="45" customHeight="1">
      <c r="A299" s="9">
        <v>297</v>
      </c>
      <c r="B299" s="14" t="s">
        <v>32</v>
      </c>
      <c r="C299" s="14" t="str">
        <f>"200620110925"</f>
        <v>200620110925</v>
      </c>
      <c r="D299" s="14" t="str">
        <f>"周丽岑"</f>
        <v>周丽岑</v>
      </c>
      <c r="E299" s="9" t="s">
        <v>4</v>
      </c>
      <c r="F299" s="12" t="s">
        <v>51</v>
      </c>
      <c r="G299" s="12" t="s">
        <v>73</v>
      </c>
      <c r="H299" s="12" t="s">
        <v>74</v>
      </c>
    </row>
    <row r="300" spans="1:8" s="1" customFormat="1" ht="45" customHeight="1">
      <c r="A300" s="9">
        <v>298</v>
      </c>
      <c r="B300" s="14" t="s">
        <v>32</v>
      </c>
      <c r="C300" s="14" t="str">
        <f>"200620110730"</f>
        <v>200620110730</v>
      </c>
      <c r="D300" s="14" t="str">
        <f>"向丽君"</f>
        <v>向丽君</v>
      </c>
      <c r="E300" s="11" t="s">
        <v>4</v>
      </c>
      <c r="F300" s="12" t="s">
        <v>51</v>
      </c>
      <c r="G300" s="12" t="s">
        <v>73</v>
      </c>
      <c r="H300" s="12" t="s">
        <v>74</v>
      </c>
    </row>
    <row r="301" spans="1:8" s="1" customFormat="1" ht="45" customHeight="1">
      <c r="A301" s="9">
        <v>299</v>
      </c>
      <c r="B301" s="14" t="s">
        <v>32</v>
      </c>
      <c r="C301" s="14" t="str">
        <f>"200620110907"</f>
        <v>200620110907</v>
      </c>
      <c r="D301" s="14" t="str">
        <f>"霍江琳"</f>
        <v>霍江琳</v>
      </c>
      <c r="E301" s="9" t="s">
        <v>4</v>
      </c>
      <c r="F301" s="12" t="s">
        <v>51</v>
      </c>
      <c r="G301" s="12" t="s">
        <v>73</v>
      </c>
      <c r="H301" s="12" t="s">
        <v>74</v>
      </c>
    </row>
    <row r="302" spans="1:8" s="1" customFormat="1" ht="45" customHeight="1">
      <c r="A302" s="9">
        <v>300</v>
      </c>
      <c r="B302" s="14" t="s">
        <v>32</v>
      </c>
      <c r="C302" s="14" t="str">
        <f>"200620110811"</f>
        <v>200620110811</v>
      </c>
      <c r="D302" s="14" t="str">
        <f>"陈鹏"</f>
        <v>陈鹏</v>
      </c>
      <c r="E302" s="9" t="s">
        <v>4</v>
      </c>
      <c r="F302" s="12" t="s">
        <v>51</v>
      </c>
      <c r="G302" s="12" t="s">
        <v>73</v>
      </c>
      <c r="H302" s="12" t="s">
        <v>74</v>
      </c>
    </row>
    <row r="303" spans="1:8" s="1" customFormat="1" ht="45" customHeight="1">
      <c r="A303" s="9">
        <v>301</v>
      </c>
      <c r="B303" s="14" t="s">
        <v>32</v>
      </c>
      <c r="C303" s="14" t="str">
        <f>"200620110923"</f>
        <v>200620110923</v>
      </c>
      <c r="D303" s="14" t="str">
        <f>"夏婷"</f>
        <v>夏婷</v>
      </c>
      <c r="E303" s="9" t="s">
        <v>4</v>
      </c>
      <c r="F303" s="12" t="s">
        <v>51</v>
      </c>
      <c r="G303" s="12" t="s">
        <v>73</v>
      </c>
      <c r="H303" s="12" t="s">
        <v>74</v>
      </c>
    </row>
    <row r="304" spans="1:8" s="1" customFormat="1" ht="45" customHeight="1">
      <c r="A304" s="9">
        <v>302</v>
      </c>
      <c r="B304" s="14" t="s">
        <v>32</v>
      </c>
      <c r="C304" s="14" t="str">
        <f>"200620110712"</f>
        <v>200620110712</v>
      </c>
      <c r="D304" s="14" t="str">
        <f>"谭自敏"</f>
        <v>谭自敏</v>
      </c>
      <c r="E304" s="9" t="s">
        <v>4</v>
      </c>
      <c r="F304" s="12" t="s">
        <v>51</v>
      </c>
      <c r="G304" s="12" t="s">
        <v>73</v>
      </c>
      <c r="H304" s="12" t="s">
        <v>74</v>
      </c>
    </row>
    <row r="305" spans="1:8" s="1" customFormat="1" ht="45" customHeight="1">
      <c r="A305" s="9">
        <v>303</v>
      </c>
      <c r="B305" s="10" t="s">
        <v>36</v>
      </c>
      <c r="C305" s="10" t="str">
        <f>"200620111827"</f>
        <v>200620111827</v>
      </c>
      <c r="D305" s="10" t="str">
        <f>"苏平"</f>
        <v>苏平</v>
      </c>
      <c r="E305" s="11" t="s">
        <v>4</v>
      </c>
      <c r="F305" s="12" t="s">
        <v>51</v>
      </c>
      <c r="G305" s="12" t="s">
        <v>73</v>
      </c>
      <c r="H305" s="12" t="s">
        <v>74</v>
      </c>
    </row>
    <row r="306" spans="1:8" s="1" customFormat="1" ht="45" customHeight="1">
      <c r="A306" s="9">
        <v>304</v>
      </c>
      <c r="B306" s="14" t="s">
        <v>36</v>
      </c>
      <c r="C306" s="14" t="str">
        <f>"200620111813"</f>
        <v>200620111813</v>
      </c>
      <c r="D306" s="14" t="str">
        <f>"张晓丽"</f>
        <v>张晓丽</v>
      </c>
      <c r="E306" s="9" t="s">
        <v>4</v>
      </c>
      <c r="F306" s="12" t="s">
        <v>51</v>
      </c>
      <c r="G306" s="12" t="s">
        <v>73</v>
      </c>
      <c r="H306" s="12" t="s">
        <v>74</v>
      </c>
    </row>
    <row r="307" spans="1:8" s="1" customFormat="1" ht="45" customHeight="1">
      <c r="A307" s="9">
        <v>305</v>
      </c>
      <c r="B307" s="14" t="s">
        <v>36</v>
      </c>
      <c r="C307" s="14" t="str">
        <f>"200620111914"</f>
        <v>200620111914</v>
      </c>
      <c r="D307" s="14" t="str">
        <f>"卢陵零"</f>
        <v>卢陵零</v>
      </c>
      <c r="E307" s="9" t="s">
        <v>4</v>
      </c>
      <c r="F307" s="12" t="s">
        <v>51</v>
      </c>
      <c r="G307" s="12" t="s">
        <v>73</v>
      </c>
      <c r="H307" s="12" t="s">
        <v>74</v>
      </c>
    </row>
    <row r="308" spans="1:8" s="1" customFormat="1" ht="45" customHeight="1">
      <c r="A308" s="9">
        <v>306</v>
      </c>
      <c r="B308" s="14" t="s">
        <v>36</v>
      </c>
      <c r="C308" s="14" t="str">
        <f>"200620111917"</f>
        <v>200620111917</v>
      </c>
      <c r="D308" s="14" t="str">
        <f>"陈璐"</f>
        <v>陈璐</v>
      </c>
      <c r="E308" s="9" t="s">
        <v>4</v>
      </c>
      <c r="F308" s="12" t="s">
        <v>51</v>
      </c>
      <c r="G308" s="12" t="s">
        <v>73</v>
      </c>
      <c r="H308" s="12" t="s">
        <v>74</v>
      </c>
    </row>
    <row r="309" spans="1:8" s="1" customFormat="1" ht="45" customHeight="1">
      <c r="A309" s="9">
        <v>307</v>
      </c>
      <c r="B309" s="14" t="s">
        <v>36</v>
      </c>
      <c r="C309" s="14" t="str">
        <f>"200620111809"</f>
        <v>200620111809</v>
      </c>
      <c r="D309" s="14" t="str">
        <f>"冯赛楠"</f>
        <v>冯赛楠</v>
      </c>
      <c r="E309" s="11" t="s">
        <v>4</v>
      </c>
      <c r="F309" s="12" t="s">
        <v>51</v>
      </c>
      <c r="G309" s="12" t="s">
        <v>73</v>
      </c>
      <c r="H309" s="12" t="s">
        <v>74</v>
      </c>
    </row>
    <row r="310" spans="1:8" s="1" customFormat="1" ht="45" customHeight="1">
      <c r="A310" s="9">
        <v>308</v>
      </c>
      <c r="B310" s="14" t="s">
        <v>61</v>
      </c>
      <c r="C310" s="14" t="s">
        <v>58</v>
      </c>
      <c r="D310" s="14" t="s">
        <v>59</v>
      </c>
      <c r="E310" s="14" t="s">
        <v>60</v>
      </c>
      <c r="F310" s="14" t="s">
        <v>51</v>
      </c>
      <c r="G310" s="12" t="s">
        <v>73</v>
      </c>
      <c r="H310" s="12" t="s">
        <v>74</v>
      </c>
    </row>
    <row r="311" spans="1:8" s="1" customFormat="1" ht="45" customHeight="1">
      <c r="A311" s="9">
        <v>309</v>
      </c>
      <c r="B311" s="14" t="s">
        <v>36</v>
      </c>
      <c r="C311" s="10" t="str">
        <f>"200620111825"</f>
        <v>200620111825</v>
      </c>
      <c r="D311" s="10" t="str">
        <f>"欧阳乐"</f>
        <v>欧阳乐</v>
      </c>
      <c r="E311" s="9" t="s">
        <v>4</v>
      </c>
      <c r="F311" s="12" t="s">
        <v>51</v>
      </c>
      <c r="G311" s="12" t="s">
        <v>73</v>
      </c>
      <c r="H311" s="12" t="s">
        <v>74</v>
      </c>
    </row>
    <row r="312" spans="1:8" s="1" customFormat="1" ht="45" customHeight="1">
      <c r="A312" s="9">
        <v>310</v>
      </c>
      <c r="B312" s="14" t="s">
        <v>36</v>
      </c>
      <c r="C312" s="14" t="str">
        <f>"200620111926"</f>
        <v>200620111926</v>
      </c>
      <c r="D312" s="14" t="str">
        <f>"曾素华"</f>
        <v>曾素华</v>
      </c>
      <c r="E312" s="9" t="s">
        <v>4</v>
      </c>
      <c r="F312" s="12" t="s">
        <v>51</v>
      </c>
      <c r="G312" s="12" t="s">
        <v>73</v>
      </c>
      <c r="H312" s="12" t="s">
        <v>74</v>
      </c>
    </row>
    <row r="313" spans="1:8" s="1" customFormat="1" ht="45" customHeight="1">
      <c r="A313" s="9">
        <v>311</v>
      </c>
      <c r="B313" s="14" t="s">
        <v>36</v>
      </c>
      <c r="C313" s="14" t="str">
        <f>"200620111921"</f>
        <v>200620111921</v>
      </c>
      <c r="D313" s="14" t="str">
        <f>"李巧"</f>
        <v>李巧</v>
      </c>
      <c r="E313" s="9" t="s">
        <v>4</v>
      </c>
      <c r="F313" s="12" t="s">
        <v>51</v>
      </c>
      <c r="G313" s="12" t="s">
        <v>73</v>
      </c>
      <c r="H313" s="12" t="s">
        <v>74</v>
      </c>
    </row>
    <row r="314" spans="1:8" s="1" customFormat="1" ht="45" customHeight="1">
      <c r="A314" s="9">
        <v>312</v>
      </c>
      <c r="B314" s="14" t="s">
        <v>36</v>
      </c>
      <c r="C314" s="14" t="str">
        <f>"200620111904"</f>
        <v>200620111904</v>
      </c>
      <c r="D314" s="14" t="str">
        <f>"谭力芳"</f>
        <v>谭力芳</v>
      </c>
      <c r="E314" s="9" t="s">
        <v>4</v>
      </c>
      <c r="F314" s="12" t="s">
        <v>51</v>
      </c>
      <c r="G314" s="12" t="s">
        <v>73</v>
      </c>
      <c r="H314" s="12" t="s">
        <v>74</v>
      </c>
    </row>
    <row r="315" spans="1:8" s="1" customFormat="1" ht="45" customHeight="1">
      <c r="A315" s="9">
        <v>313</v>
      </c>
      <c r="B315" s="14" t="s">
        <v>36</v>
      </c>
      <c r="C315" s="14" t="str">
        <f>"200620111927"</f>
        <v>200620111927</v>
      </c>
      <c r="D315" s="14" t="str">
        <f>"谢林娜"</f>
        <v>谢林娜</v>
      </c>
      <c r="E315" s="9" t="s">
        <v>4</v>
      </c>
      <c r="F315" s="12" t="s">
        <v>51</v>
      </c>
      <c r="G315" s="12" t="s">
        <v>73</v>
      </c>
      <c r="H315" s="12" t="s">
        <v>74</v>
      </c>
    </row>
    <row r="316" spans="1:8" s="1" customFormat="1" ht="45" customHeight="1">
      <c r="A316" s="9">
        <v>314</v>
      </c>
      <c r="B316" s="14" t="s">
        <v>36</v>
      </c>
      <c r="C316" s="14" t="str">
        <f>"200620111805"</f>
        <v>200620111805</v>
      </c>
      <c r="D316" s="14" t="str">
        <f>"陈娜"</f>
        <v>陈娜</v>
      </c>
      <c r="E316" s="9" t="s">
        <v>4</v>
      </c>
      <c r="F316" s="12" t="s">
        <v>51</v>
      </c>
      <c r="G316" s="12" t="s">
        <v>73</v>
      </c>
      <c r="H316" s="12" t="s">
        <v>74</v>
      </c>
    </row>
    <row r="317" spans="1:8" s="1" customFormat="1" ht="45" customHeight="1">
      <c r="A317" s="9">
        <v>315</v>
      </c>
      <c r="B317" s="14" t="s">
        <v>36</v>
      </c>
      <c r="C317" s="14" t="str">
        <f>"200620111817"</f>
        <v>200620111817</v>
      </c>
      <c r="D317" s="14" t="str">
        <f>"欧阳舞文"</f>
        <v>欧阳舞文</v>
      </c>
      <c r="E317" s="9" t="s">
        <v>4</v>
      </c>
      <c r="F317" s="12" t="s">
        <v>51</v>
      </c>
      <c r="G317" s="12" t="s">
        <v>73</v>
      </c>
      <c r="H317" s="12" t="s">
        <v>74</v>
      </c>
    </row>
    <row r="318" spans="1:8" s="1" customFormat="1" ht="45" customHeight="1">
      <c r="A318" s="9">
        <v>316</v>
      </c>
      <c r="B318" s="14" t="s">
        <v>36</v>
      </c>
      <c r="C318" s="14" t="str">
        <f>"200620111903"</f>
        <v>200620111903</v>
      </c>
      <c r="D318" s="14" t="str">
        <f>"周婧雅"</f>
        <v>周婧雅</v>
      </c>
      <c r="E318" s="11" t="s">
        <v>4</v>
      </c>
      <c r="F318" s="12" t="s">
        <v>51</v>
      </c>
      <c r="G318" s="12" t="s">
        <v>73</v>
      </c>
      <c r="H318" s="12" t="s">
        <v>74</v>
      </c>
    </row>
    <row r="319" spans="1:8" s="1" customFormat="1" ht="45" customHeight="1">
      <c r="A319" s="9">
        <v>317</v>
      </c>
      <c r="B319" s="14" t="s">
        <v>36</v>
      </c>
      <c r="C319" s="14" t="str">
        <f>"200620111909"</f>
        <v>200620111909</v>
      </c>
      <c r="D319" s="14" t="str">
        <f>"文梓涵"</f>
        <v>文梓涵</v>
      </c>
      <c r="E319" s="9" t="s">
        <v>4</v>
      </c>
      <c r="F319" s="12" t="s">
        <v>51</v>
      </c>
      <c r="G319" s="12" t="s">
        <v>73</v>
      </c>
      <c r="H319" s="12" t="s">
        <v>74</v>
      </c>
    </row>
    <row r="320" spans="1:8" s="1" customFormat="1" ht="45" customHeight="1">
      <c r="A320" s="9">
        <v>318</v>
      </c>
      <c r="B320" s="14" t="s">
        <v>36</v>
      </c>
      <c r="C320" s="14" t="str">
        <f>"200620111907"</f>
        <v>200620111907</v>
      </c>
      <c r="D320" s="14" t="str">
        <f>"邓子威"</f>
        <v>邓子威</v>
      </c>
      <c r="E320" s="9" t="s">
        <v>4</v>
      </c>
      <c r="F320" s="12" t="s">
        <v>51</v>
      </c>
      <c r="G320" s="12" t="s">
        <v>73</v>
      </c>
      <c r="H320" s="12" t="s">
        <v>74</v>
      </c>
    </row>
    <row r="321" spans="1:8" s="1" customFormat="1" ht="45" customHeight="1">
      <c r="A321" s="9">
        <v>319</v>
      </c>
      <c r="B321" s="14" t="s">
        <v>36</v>
      </c>
      <c r="C321" s="14" t="str">
        <f>"200620111810"</f>
        <v>200620111810</v>
      </c>
      <c r="D321" s="14" t="str">
        <f>"王旭艳"</f>
        <v>王旭艳</v>
      </c>
      <c r="E321" s="9" t="s">
        <v>4</v>
      </c>
      <c r="F321" s="12" t="s">
        <v>51</v>
      </c>
      <c r="G321" s="12" t="s">
        <v>73</v>
      </c>
      <c r="H321" s="12" t="s">
        <v>74</v>
      </c>
    </row>
    <row r="322" spans="1:8" s="1" customFormat="1" ht="45" customHeight="1" thickBot="1">
      <c r="A322" s="25">
        <v>320</v>
      </c>
      <c r="B322" s="22" t="s">
        <v>36</v>
      </c>
      <c r="C322" s="22" t="str">
        <f>"200620111920"</f>
        <v>200620111920</v>
      </c>
      <c r="D322" s="22" t="str">
        <f>"蓝雅佩"</f>
        <v>蓝雅佩</v>
      </c>
      <c r="E322" s="25" t="s">
        <v>4</v>
      </c>
      <c r="F322" s="19" t="s">
        <v>51</v>
      </c>
      <c r="G322" s="19" t="s">
        <v>73</v>
      </c>
      <c r="H322" s="19" t="s">
        <v>74</v>
      </c>
    </row>
    <row r="323" spans="1:8" s="1" customFormat="1" ht="45" customHeight="1" thickTop="1">
      <c r="A323" s="11">
        <v>321</v>
      </c>
      <c r="B323" s="14" t="s">
        <v>33</v>
      </c>
      <c r="C323" s="14" t="str">
        <f>"200620111110"</f>
        <v>200620111110</v>
      </c>
      <c r="D323" s="14" t="str">
        <f>"谭强波"</f>
        <v>谭强波</v>
      </c>
      <c r="E323" s="11" t="s">
        <v>4</v>
      </c>
      <c r="F323" s="12" t="s">
        <v>51</v>
      </c>
      <c r="G323" s="12" t="s">
        <v>75</v>
      </c>
      <c r="H323" s="12" t="s">
        <v>76</v>
      </c>
    </row>
    <row r="324" spans="1:8" s="1" customFormat="1" ht="45" customHeight="1">
      <c r="A324" s="9">
        <v>322</v>
      </c>
      <c r="B324" s="14" t="s">
        <v>33</v>
      </c>
      <c r="C324" s="14" t="str">
        <f>"200620111320"</f>
        <v>200620111320</v>
      </c>
      <c r="D324" s="14" t="str">
        <f>"段馨"</f>
        <v>段馨</v>
      </c>
      <c r="E324" s="9" t="s">
        <v>4</v>
      </c>
      <c r="F324" s="12" t="s">
        <v>51</v>
      </c>
      <c r="G324" s="12" t="s">
        <v>75</v>
      </c>
      <c r="H324" s="12" t="s">
        <v>76</v>
      </c>
    </row>
    <row r="325" spans="1:8" s="1" customFormat="1" ht="45" customHeight="1">
      <c r="A325" s="9">
        <v>323</v>
      </c>
      <c r="B325" s="14" t="s">
        <v>33</v>
      </c>
      <c r="C325" s="14" t="str">
        <f>"200620111204"</f>
        <v>200620111204</v>
      </c>
      <c r="D325" s="14" t="str">
        <f>"段君琴"</f>
        <v>段君琴</v>
      </c>
      <c r="E325" s="9" t="s">
        <v>4</v>
      </c>
      <c r="F325" s="12" t="s">
        <v>51</v>
      </c>
      <c r="G325" s="12" t="s">
        <v>75</v>
      </c>
      <c r="H325" s="12" t="s">
        <v>76</v>
      </c>
    </row>
    <row r="326" spans="1:8" s="1" customFormat="1" ht="45" customHeight="1">
      <c r="A326" s="9">
        <v>324</v>
      </c>
      <c r="B326" s="14" t="s">
        <v>33</v>
      </c>
      <c r="C326" s="14" t="str">
        <f>"200620111111"</f>
        <v>200620111111</v>
      </c>
      <c r="D326" s="14" t="str">
        <f>"吴书婧"</f>
        <v>吴书婧</v>
      </c>
      <c r="E326" s="9" t="s">
        <v>4</v>
      </c>
      <c r="F326" s="12" t="s">
        <v>51</v>
      </c>
      <c r="G326" s="12" t="s">
        <v>75</v>
      </c>
      <c r="H326" s="12" t="s">
        <v>76</v>
      </c>
    </row>
    <row r="327" spans="1:8" s="1" customFormat="1" ht="45" customHeight="1">
      <c r="A327" s="9">
        <v>325</v>
      </c>
      <c r="B327" s="14" t="s">
        <v>33</v>
      </c>
      <c r="C327" s="14" t="str">
        <f>"200620111206"</f>
        <v>200620111206</v>
      </c>
      <c r="D327" s="14" t="str">
        <f>"余佳"</f>
        <v>余佳</v>
      </c>
      <c r="E327" s="9" t="s">
        <v>4</v>
      </c>
      <c r="F327" s="12" t="s">
        <v>51</v>
      </c>
      <c r="G327" s="12" t="s">
        <v>75</v>
      </c>
      <c r="H327" s="12" t="s">
        <v>76</v>
      </c>
    </row>
    <row r="328" spans="1:8" s="1" customFormat="1" ht="45" customHeight="1">
      <c r="A328" s="9">
        <v>326</v>
      </c>
      <c r="B328" s="14" t="s">
        <v>33</v>
      </c>
      <c r="C328" s="14" t="str">
        <f>"200620111209"</f>
        <v>200620111209</v>
      </c>
      <c r="D328" s="14" t="str">
        <f>"彭淑仪"</f>
        <v>彭淑仪</v>
      </c>
      <c r="E328" s="11" t="s">
        <v>4</v>
      </c>
      <c r="F328" s="12" t="s">
        <v>51</v>
      </c>
      <c r="G328" s="12" t="s">
        <v>75</v>
      </c>
      <c r="H328" s="12" t="s">
        <v>76</v>
      </c>
    </row>
    <row r="329" spans="1:8" s="1" customFormat="1" ht="45" customHeight="1">
      <c r="A329" s="9">
        <v>327</v>
      </c>
      <c r="B329" s="14" t="s">
        <v>33</v>
      </c>
      <c r="C329" s="14" t="str">
        <f>"200620111106"</f>
        <v>200620111106</v>
      </c>
      <c r="D329" s="14" t="str">
        <f>"龙鑫"</f>
        <v>龙鑫</v>
      </c>
      <c r="E329" s="11" t="s">
        <v>4</v>
      </c>
      <c r="F329" s="12" t="s">
        <v>51</v>
      </c>
      <c r="G329" s="12" t="s">
        <v>75</v>
      </c>
      <c r="H329" s="12" t="s">
        <v>76</v>
      </c>
    </row>
    <row r="330" spans="1:8" s="1" customFormat="1" ht="45" customHeight="1">
      <c r="A330" s="9">
        <v>328</v>
      </c>
      <c r="B330" s="14" t="s">
        <v>33</v>
      </c>
      <c r="C330" s="14" t="str">
        <f>"200620111212"</f>
        <v>200620111212</v>
      </c>
      <c r="D330" s="14" t="str">
        <f>"段丽婷"</f>
        <v>段丽婷</v>
      </c>
      <c r="E330" s="9" t="s">
        <v>4</v>
      </c>
      <c r="F330" s="12" t="s">
        <v>51</v>
      </c>
      <c r="G330" s="12" t="s">
        <v>75</v>
      </c>
      <c r="H330" s="12" t="s">
        <v>76</v>
      </c>
    </row>
    <row r="331" spans="1:8" s="1" customFormat="1" ht="45" customHeight="1">
      <c r="A331" s="9">
        <v>329</v>
      </c>
      <c r="B331" s="14" t="s">
        <v>33</v>
      </c>
      <c r="C331" s="14" t="str">
        <f>"200620111203"</f>
        <v>200620111203</v>
      </c>
      <c r="D331" s="14" t="str">
        <f>"周勤"</f>
        <v>周勤</v>
      </c>
      <c r="E331" s="11" t="s">
        <v>4</v>
      </c>
      <c r="F331" s="12" t="s">
        <v>51</v>
      </c>
      <c r="G331" s="12" t="s">
        <v>75</v>
      </c>
      <c r="H331" s="12" t="s">
        <v>76</v>
      </c>
    </row>
    <row r="332" spans="1:8" s="1" customFormat="1" ht="45" customHeight="1">
      <c r="A332" s="9">
        <v>330</v>
      </c>
      <c r="B332" s="14" t="s">
        <v>33</v>
      </c>
      <c r="C332" s="14" t="str">
        <f>"200620111223"</f>
        <v>200620111223</v>
      </c>
      <c r="D332" s="14" t="str">
        <f>"谭浩"</f>
        <v>谭浩</v>
      </c>
      <c r="E332" s="9" t="s">
        <v>4</v>
      </c>
      <c r="F332" s="12" t="s">
        <v>51</v>
      </c>
      <c r="G332" s="12" t="s">
        <v>75</v>
      </c>
      <c r="H332" s="12" t="s">
        <v>76</v>
      </c>
    </row>
    <row r="333" spans="1:8" s="1" customFormat="1" ht="45" customHeight="1">
      <c r="A333" s="9">
        <v>331</v>
      </c>
      <c r="B333" s="14" t="s">
        <v>33</v>
      </c>
      <c r="C333" s="14" t="str">
        <f>"200620111113"</f>
        <v>200620111113</v>
      </c>
      <c r="D333" s="14" t="str">
        <f>"汪培钰"</f>
        <v>汪培钰</v>
      </c>
      <c r="E333" s="11" t="s">
        <v>4</v>
      </c>
      <c r="F333" s="12" t="s">
        <v>51</v>
      </c>
      <c r="G333" s="12" t="s">
        <v>75</v>
      </c>
      <c r="H333" s="12" t="s">
        <v>76</v>
      </c>
    </row>
    <row r="334" spans="1:8" s="1" customFormat="1" ht="45" customHeight="1">
      <c r="A334" s="9">
        <v>332</v>
      </c>
      <c r="B334" s="14" t="s">
        <v>33</v>
      </c>
      <c r="C334" s="14" t="str">
        <f>"200620111201"</f>
        <v>200620111201</v>
      </c>
      <c r="D334" s="14" t="str">
        <f>"姜夙素"</f>
        <v>姜夙素</v>
      </c>
      <c r="E334" s="11" t="s">
        <v>4</v>
      </c>
      <c r="F334" s="12" t="s">
        <v>51</v>
      </c>
      <c r="G334" s="12" t="s">
        <v>75</v>
      </c>
      <c r="H334" s="12" t="s">
        <v>76</v>
      </c>
    </row>
    <row r="335" spans="1:8" s="1" customFormat="1" ht="45" customHeight="1">
      <c r="A335" s="9">
        <v>333</v>
      </c>
      <c r="B335" s="14" t="s">
        <v>33</v>
      </c>
      <c r="C335" s="14" t="str">
        <f>"200620111016"</f>
        <v>200620111016</v>
      </c>
      <c r="D335" s="14" t="str">
        <f>"熊英"</f>
        <v>熊英</v>
      </c>
      <c r="E335" s="9" t="s">
        <v>4</v>
      </c>
      <c r="F335" s="12" t="s">
        <v>51</v>
      </c>
      <c r="G335" s="12" t="s">
        <v>75</v>
      </c>
      <c r="H335" s="12" t="s">
        <v>76</v>
      </c>
    </row>
    <row r="336" spans="1:8" s="1" customFormat="1" ht="45" customHeight="1">
      <c r="A336" s="9">
        <v>334</v>
      </c>
      <c r="B336" s="14" t="s">
        <v>33</v>
      </c>
      <c r="C336" s="14" t="str">
        <f>"200620111102"</f>
        <v>200620111102</v>
      </c>
      <c r="D336" s="14" t="str">
        <f>"谭美琴"</f>
        <v>谭美琴</v>
      </c>
      <c r="E336" s="11" t="s">
        <v>4</v>
      </c>
      <c r="F336" s="12" t="s">
        <v>51</v>
      </c>
      <c r="G336" s="12" t="s">
        <v>75</v>
      </c>
      <c r="H336" s="12" t="s">
        <v>76</v>
      </c>
    </row>
    <row r="337" spans="1:8" s="1" customFormat="1" ht="45" customHeight="1">
      <c r="A337" s="9">
        <v>335</v>
      </c>
      <c r="B337" s="14" t="s">
        <v>33</v>
      </c>
      <c r="C337" s="14" t="str">
        <f>"200620111009"</f>
        <v>200620111009</v>
      </c>
      <c r="D337" s="14" t="str">
        <f>"谭件"</f>
        <v>谭件</v>
      </c>
      <c r="E337" s="11" t="s">
        <v>4</v>
      </c>
      <c r="F337" s="12" t="s">
        <v>51</v>
      </c>
      <c r="G337" s="12" t="s">
        <v>75</v>
      </c>
      <c r="H337" s="12" t="s">
        <v>76</v>
      </c>
    </row>
    <row r="338" spans="1:8" s="1" customFormat="1" ht="45" customHeight="1">
      <c r="A338" s="9">
        <v>336</v>
      </c>
      <c r="B338" s="14" t="s">
        <v>33</v>
      </c>
      <c r="C338" s="14" t="str">
        <f>"200620111323"</f>
        <v>200620111323</v>
      </c>
      <c r="D338" s="14" t="str">
        <f>"刘逸凤"</f>
        <v>刘逸凤</v>
      </c>
      <c r="E338" s="9" t="s">
        <v>4</v>
      </c>
      <c r="F338" s="12" t="s">
        <v>51</v>
      </c>
      <c r="G338" s="12" t="s">
        <v>75</v>
      </c>
      <c r="H338" s="12" t="s">
        <v>76</v>
      </c>
    </row>
    <row r="339" spans="1:8" s="1" customFormat="1" ht="45" customHeight="1">
      <c r="A339" s="9">
        <v>337</v>
      </c>
      <c r="B339" s="14" t="s">
        <v>33</v>
      </c>
      <c r="C339" s="14" t="str">
        <f>"200620111031"</f>
        <v>200620111031</v>
      </c>
      <c r="D339" s="14" t="str">
        <f>"张家辉"</f>
        <v>张家辉</v>
      </c>
      <c r="E339" s="9" t="s">
        <v>4</v>
      </c>
      <c r="F339" s="12" t="s">
        <v>51</v>
      </c>
      <c r="G339" s="12" t="s">
        <v>75</v>
      </c>
      <c r="H339" s="12" t="s">
        <v>76</v>
      </c>
    </row>
    <row r="340" spans="1:8" s="1" customFormat="1" ht="45" customHeight="1">
      <c r="A340" s="9">
        <v>338</v>
      </c>
      <c r="B340" s="14" t="s">
        <v>33</v>
      </c>
      <c r="C340" s="14" t="str">
        <f>"200620111022"</f>
        <v>200620111022</v>
      </c>
      <c r="D340" s="14" t="str">
        <f>"尹观风"</f>
        <v>尹观风</v>
      </c>
      <c r="E340" s="9" t="s">
        <v>4</v>
      </c>
      <c r="F340" s="12" t="s">
        <v>51</v>
      </c>
      <c r="G340" s="12" t="s">
        <v>75</v>
      </c>
      <c r="H340" s="12" t="s">
        <v>76</v>
      </c>
    </row>
    <row r="341" spans="1:8" s="1" customFormat="1" ht="45" customHeight="1">
      <c r="A341" s="9">
        <v>339</v>
      </c>
      <c r="B341" s="14" t="s">
        <v>33</v>
      </c>
      <c r="C341" s="14" t="str">
        <f>"200620111122"</f>
        <v>200620111122</v>
      </c>
      <c r="D341" s="14" t="str">
        <f>"兰旭辉"</f>
        <v>兰旭辉</v>
      </c>
      <c r="E341" s="9" t="s">
        <v>4</v>
      </c>
      <c r="F341" s="12" t="s">
        <v>51</v>
      </c>
      <c r="G341" s="12" t="s">
        <v>75</v>
      </c>
      <c r="H341" s="12" t="s">
        <v>76</v>
      </c>
    </row>
    <row r="342" spans="1:8" s="1" customFormat="1" ht="45" customHeight="1">
      <c r="A342" s="9">
        <v>340</v>
      </c>
      <c r="B342" s="14" t="s">
        <v>33</v>
      </c>
      <c r="C342" s="14" t="str">
        <f>"200620111311"</f>
        <v>200620111311</v>
      </c>
      <c r="D342" s="14" t="str">
        <f>"谭丽"</f>
        <v>谭丽</v>
      </c>
      <c r="E342" s="9" t="s">
        <v>4</v>
      </c>
      <c r="F342" s="12" t="s">
        <v>51</v>
      </c>
      <c r="G342" s="12" t="s">
        <v>75</v>
      </c>
      <c r="H342" s="12" t="s">
        <v>76</v>
      </c>
    </row>
    <row r="343" spans="1:8" s="1" customFormat="1" ht="45" customHeight="1">
      <c r="A343" s="9">
        <v>341</v>
      </c>
      <c r="B343" s="14" t="s">
        <v>33</v>
      </c>
      <c r="C343" s="14" t="str">
        <f>"200620111027"</f>
        <v>200620111027</v>
      </c>
      <c r="D343" s="14" t="str">
        <f>"刘利容"</f>
        <v>刘利容</v>
      </c>
      <c r="E343" s="9" t="s">
        <v>4</v>
      </c>
      <c r="F343" s="12" t="s">
        <v>51</v>
      </c>
      <c r="G343" s="12" t="s">
        <v>75</v>
      </c>
      <c r="H343" s="12" t="s">
        <v>76</v>
      </c>
    </row>
    <row r="344" spans="1:8" s="1" customFormat="1" ht="45" customHeight="1">
      <c r="A344" s="9">
        <v>342</v>
      </c>
      <c r="B344" s="14" t="s">
        <v>33</v>
      </c>
      <c r="C344" s="14" t="str">
        <f>"200620111026"</f>
        <v>200620111026</v>
      </c>
      <c r="D344" s="14" t="str">
        <f>"罗慧琳"</f>
        <v>罗慧琳</v>
      </c>
      <c r="E344" s="9" t="s">
        <v>4</v>
      </c>
      <c r="F344" s="12" t="s">
        <v>51</v>
      </c>
      <c r="G344" s="12" t="s">
        <v>75</v>
      </c>
      <c r="H344" s="12" t="s">
        <v>76</v>
      </c>
    </row>
    <row r="345" spans="1:8" s="1" customFormat="1" ht="45" customHeight="1">
      <c r="A345" s="9">
        <v>343</v>
      </c>
      <c r="B345" s="14" t="s">
        <v>33</v>
      </c>
      <c r="C345" s="14" t="str">
        <f>"200620111215"</f>
        <v>200620111215</v>
      </c>
      <c r="D345" s="14" t="str">
        <f>"陈玉红"</f>
        <v>陈玉红</v>
      </c>
      <c r="E345" s="9" t="s">
        <v>4</v>
      </c>
      <c r="F345" s="12" t="s">
        <v>51</v>
      </c>
      <c r="G345" s="12" t="s">
        <v>75</v>
      </c>
      <c r="H345" s="12" t="s">
        <v>76</v>
      </c>
    </row>
    <row r="346" spans="1:8" s="1" customFormat="1" ht="45" customHeight="1">
      <c r="A346" s="9">
        <v>344</v>
      </c>
      <c r="B346" s="14" t="s">
        <v>33</v>
      </c>
      <c r="C346" s="14" t="str">
        <f>"200620111024"</f>
        <v>200620111024</v>
      </c>
      <c r="D346" s="14" t="str">
        <f>"张子文"</f>
        <v>张子文</v>
      </c>
      <c r="E346" s="9" t="s">
        <v>4</v>
      </c>
      <c r="F346" s="12" t="s">
        <v>51</v>
      </c>
      <c r="G346" s="12" t="s">
        <v>75</v>
      </c>
      <c r="H346" s="12" t="s">
        <v>76</v>
      </c>
    </row>
    <row r="347" spans="1:8" s="1" customFormat="1" ht="45" customHeight="1">
      <c r="A347" s="9">
        <v>345</v>
      </c>
      <c r="B347" s="14" t="s">
        <v>33</v>
      </c>
      <c r="C347" s="14" t="str">
        <f>"200620111104"</f>
        <v>200620111104</v>
      </c>
      <c r="D347" s="14" t="str">
        <f>"谭卓凡"</f>
        <v>谭卓凡</v>
      </c>
      <c r="E347" s="9" t="s">
        <v>4</v>
      </c>
      <c r="F347" s="12" t="s">
        <v>51</v>
      </c>
      <c r="G347" s="12" t="s">
        <v>75</v>
      </c>
      <c r="H347" s="12" t="s">
        <v>76</v>
      </c>
    </row>
    <row r="348" spans="1:8" s="1" customFormat="1" ht="45" customHeight="1">
      <c r="A348" s="9">
        <v>346</v>
      </c>
      <c r="B348" s="14" t="s">
        <v>33</v>
      </c>
      <c r="C348" s="14" t="str">
        <f>"200620111207"</f>
        <v>200620111207</v>
      </c>
      <c r="D348" s="14" t="str">
        <f>"刘治东"</f>
        <v>刘治东</v>
      </c>
      <c r="E348" s="9" t="s">
        <v>4</v>
      </c>
      <c r="F348" s="12" t="s">
        <v>51</v>
      </c>
      <c r="G348" s="12" t="s">
        <v>75</v>
      </c>
      <c r="H348" s="12" t="s">
        <v>76</v>
      </c>
    </row>
    <row r="349" spans="1:8" s="1" customFormat="1" ht="45" customHeight="1">
      <c r="A349" s="9">
        <v>347</v>
      </c>
      <c r="B349" s="14" t="s">
        <v>33</v>
      </c>
      <c r="C349" s="14" t="str">
        <f>"200620111309"</f>
        <v>200620111309</v>
      </c>
      <c r="D349" s="14" t="str">
        <f>"谭旺莉"</f>
        <v>谭旺莉</v>
      </c>
      <c r="E349" s="9" t="s">
        <v>4</v>
      </c>
      <c r="F349" s="12" t="s">
        <v>51</v>
      </c>
      <c r="G349" s="12" t="s">
        <v>75</v>
      </c>
      <c r="H349" s="12" t="s">
        <v>76</v>
      </c>
    </row>
    <row r="350" spans="1:8" s="1" customFormat="1" ht="45" customHeight="1">
      <c r="A350" s="9">
        <v>348</v>
      </c>
      <c r="B350" s="14" t="s">
        <v>33</v>
      </c>
      <c r="C350" s="14" t="str">
        <f>"200620111324"</f>
        <v>200620111324</v>
      </c>
      <c r="D350" s="14" t="str">
        <f>"陈艳容"</f>
        <v>陈艳容</v>
      </c>
      <c r="E350" s="9" t="s">
        <v>4</v>
      </c>
      <c r="F350" s="12" t="s">
        <v>51</v>
      </c>
      <c r="G350" s="12" t="s">
        <v>75</v>
      </c>
      <c r="H350" s="12" t="s">
        <v>76</v>
      </c>
    </row>
    <row r="351" spans="1:8" s="1" customFormat="1" ht="45" customHeight="1">
      <c r="A351" s="9">
        <v>349</v>
      </c>
      <c r="B351" s="14" t="s">
        <v>33</v>
      </c>
      <c r="C351" s="14" t="str">
        <f>"200620111231"</f>
        <v>200620111231</v>
      </c>
      <c r="D351" s="14" t="str">
        <f>"陈静宇"</f>
        <v>陈静宇</v>
      </c>
      <c r="E351" s="9" t="s">
        <v>4</v>
      </c>
      <c r="F351" s="12" t="s">
        <v>51</v>
      </c>
      <c r="G351" s="12" t="s">
        <v>75</v>
      </c>
      <c r="H351" s="12" t="s">
        <v>76</v>
      </c>
    </row>
    <row r="352" spans="1:8" s="1" customFormat="1" ht="45" customHeight="1">
      <c r="A352" s="9">
        <v>350</v>
      </c>
      <c r="B352" s="14" t="s">
        <v>33</v>
      </c>
      <c r="C352" s="14" t="str">
        <f>"200620111130"</f>
        <v>200620111130</v>
      </c>
      <c r="D352" s="14" t="str">
        <f>"曾斌斌"</f>
        <v>曾斌斌</v>
      </c>
      <c r="E352" s="11" t="s">
        <v>4</v>
      </c>
      <c r="F352" s="12" t="s">
        <v>51</v>
      </c>
      <c r="G352" s="12" t="s">
        <v>75</v>
      </c>
      <c r="H352" s="12" t="s">
        <v>76</v>
      </c>
    </row>
    <row r="353" spans="1:8" s="1" customFormat="1" ht="45" customHeight="1">
      <c r="A353" s="9">
        <v>351</v>
      </c>
      <c r="B353" s="14" t="s">
        <v>33</v>
      </c>
      <c r="C353" s="14" t="str">
        <f>"200620111227"</f>
        <v>200620111227</v>
      </c>
      <c r="D353" s="14" t="str">
        <f>"吴珊珊"</f>
        <v>吴珊珊</v>
      </c>
      <c r="E353" s="9" t="s">
        <v>4</v>
      </c>
      <c r="F353" s="12" t="s">
        <v>51</v>
      </c>
      <c r="G353" s="12" t="s">
        <v>75</v>
      </c>
      <c r="H353" s="12" t="s">
        <v>76</v>
      </c>
    </row>
    <row r="354" spans="1:8" s="1" customFormat="1" ht="45" customHeight="1">
      <c r="A354" s="9">
        <v>352</v>
      </c>
      <c r="B354" s="14" t="s">
        <v>33</v>
      </c>
      <c r="C354" s="14" t="str">
        <f>"200620111007"</f>
        <v>200620111007</v>
      </c>
      <c r="D354" s="14" t="str">
        <f>"刘绮晖"</f>
        <v>刘绮晖</v>
      </c>
      <c r="E354" s="9" t="s">
        <v>4</v>
      </c>
      <c r="F354" s="12" t="s">
        <v>51</v>
      </c>
      <c r="G354" s="12" t="s">
        <v>75</v>
      </c>
      <c r="H354" s="12" t="s">
        <v>76</v>
      </c>
    </row>
    <row r="355" spans="1:8" s="1" customFormat="1" ht="45" customHeight="1">
      <c r="A355" s="9">
        <v>353</v>
      </c>
      <c r="B355" s="14" t="s">
        <v>33</v>
      </c>
      <c r="C355" s="14" t="str">
        <f>"200620111013"</f>
        <v>200620111013</v>
      </c>
      <c r="D355" s="14" t="str">
        <f>"陈燕"</f>
        <v>陈燕</v>
      </c>
      <c r="E355" s="9" t="s">
        <v>4</v>
      </c>
      <c r="F355" s="12" t="s">
        <v>51</v>
      </c>
      <c r="G355" s="12" t="s">
        <v>75</v>
      </c>
      <c r="H355" s="12" t="s">
        <v>76</v>
      </c>
    </row>
    <row r="356" spans="1:8" s="1" customFormat="1" ht="45" customHeight="1">
      <c r="A356" s="9">
        <v>354</v>
      </c>
      <c r="B356" s="14" t="s">
        <v>33</v>
      </c>
      <c r="C356" s="14" t="str">
        <f>"200620111211"</f>
        <v>200620111211</v>
      </c>
      <c r="D356" s="14" t="str">
        <f>"颜思琪"</f>
        <v>颜思琪</v>
      </c>
      <c r="E356" s="9" t="s">
        <v>4</v>
      </c>
      <c r="F356" s="12" t="s">
        <v>51</v>
      </c>
      <c r="G356" s="12" t="s">
        <v>75</v>
      </c>
      <c r="H356" s="12" t="s">
        <v>76</v>
      </c>
    </row>
    <row r="357" spans="1:8" s="1" customFormat="1" ht="45" customHeight="1">
      <c r="A357" s="9">
        <v>355</v>
      </c>
      <c r="B357" s="14" t="s">
        <v>33</v>
      </c>
      <c r="C357" s="14" t="str">
        <f>"200620111313"</f>
        <v>200620111313</v>
      </c>
      <c r="D357" s="14" t="str">
        <f>"沈洒玲"</f>
        <v>沈洒玲</v>
      </c>
      <c r="E357" s="9" t="s">
        <v>4</v>
      </c>
      <c r="F357" s="12" t="s">
        <v>51</v>
      </c>
      <c r="G357" s="12" t="s">
        <v>75</v>
      </c>
      <c r="H357" s="12" t="s">
        <v>76</v>
      </c>
    </row>
    <row r="358" spans="1:8" s="1" customFormat="1" ht="45" customHeight="1">
      <c r="A358" s="9">
        <v>356</v>
      </c>
      <c r="B358" s="14" t="s">
        <v>33</v>
      </c>
      <c r="C358" s="14" t="str">
        <f>"200620111219"</f>
        <v>200620111219</v>
      </c>
      <c r="D358" s="14" t="str">
        <f>"谭云燕"</f>
        <v>谭云燕</v>
      </c>
      <c r="E358" s="11" t="s">
        <v>4</v>
      </c>
      <c r="F358" s="12" t="s">
        <v>51</v>
      </c>
      <c r="G358" s="12" t="s">
        <v>75</v>
      </c>
      <c r="H358" s="12" t="s">
        <v>76</v>
      </c>
    </row>
    <row r="359" spans="1:8" s="1" customFormat="1" ht="45" customHeight="1">
      <c r="A359" s="9">
        <v>357</v>
      </c>
      <c r="B359" s="14" t="s">
        <v>33</v>
      </c>
      <c r="C359" s="14" t="str">
        <f>"200620111312"</f>
        <v>200620111312</v>
      </c>
      <c r="D359" s="14" t="str">
        <f>"段汝莹"</f>
        <v>段汝莹</v>
      </c>
      <c r="E359" s="9" t="s">
        <v>4</v>
      </c>
      <c r="F359" s="12" t="s">
        <v>51</v>
      </c>
      <c r="G359" s="12" t="s">
        <v>75</v>
      </c>
      <c r="H359" s="12" t="s">
        <v>76</v>
      </c>
    </row>
    <row r="360" spans="1:8" s="1" customFormat="1" ht="45" customHeight="1">
      <c r="A360" s="9">
        <v>358</v>
      </c>
      <c r="B360" s="14" t="s">
        <v>33</v>
      </c>
      <c r="C360" s="14" t="str">
        <f>"200620111126"</f>
        <v>200620111126</v>
      </c>
      <c r="D360" s="14" t="str">
        <f>"刘艳妮"</f>
        <v>刘艳妮</v>
      </c>
      <c r="E360" s="9" t="s">
        <v>4</v>
      </c>
      <c r="F360" s="12" t="s">
        <v>51</v>
      </c>
      <c r="G360" s="12" t="s">
        <v>75</v>
      </c>
      <c r="H360" s="12" t="s">
        <v>76</v>
      </c>
    </row>
    <row r="361" spans="1:8" s="1" customFormat="1" ht="45" customHeight="1">
      <c r="A361" s="9">
        <v>359</v>
      </c>
      <c r="B361" s="14" t="s">
        <v>33</v>
      </c>
      <c r="C361" s="14" t="str">
        <f>"200620111213"</f>
        <v>200620111213</v>
      </c>
      <c r="D361" s="14" t="str">
        <f>"陈武月"</f>
        <v>陈武月</v>
      </c>
      <c r="E361" s="9" t="s">
        <v>4</v>
      </c>
      <c r="F361" s="12" t="s">
        <v>51</v>
      </c>
      <c r="G361" s="12" t="s">
        <v>75</v>
      </c>
      <c r="H361" s="12" t="s">
        <v>76</v>
      </c>
    </row>
    <row r="362" spans="1:8" s="1" customFormat="1" ht="45" customHeight="1">
      <c r="A362" s="9">
        <v>360</v>
      </c>
      <c r="B362" s="14" t="s">
        <v>33</v>
      </c>
      <c r="C362" s="14" t="str">
        <f>"200620111121"</f>
        <v>200620111121</v>
      </c>
      <c r="D362" s="14" t="str">
        <f>"陈缘"</f>
        <v>陈缘</v>
      </c>
      <c r="E362" s="9" t="s">
        <v>4</v>
      </c>
      <c r="F362" s="12" t="s">
        <v>51</v>
      </c>
      <c r="G362" s="12" t="s">
        <v>75</v>
      </c>
      <c r="H362" s="12" t="s">
        <v>76</v>
      </c>
    </row>
    <row r="363" spans="1:8" s="1" customFormat="1" ht="45" customHeight="1">
      <c r="A363" s="9">
        <v>361</v>
      </c>
      <c r="B363" s="14" t="s">
        <v>33</v>
      </c>
      <c r="C363" s="14" t="str">
        <f>"200620111112"</f>
        <v>200620111112</v>
      </c>
      <c r="D363" s="14" t="str">
        <f>"杨秧"</f>
        <v>杨秧</v>
      </c>
      <c r="E363" s="9" t="s">
        <v>35</v>
      </c>
      <c r="F363" s="12" t="s">
        <v>53</v>
      </c>
      <c r="G363" s="12" t="s">
        <v>75</v>
      </c>
      <c r="H363" s="12" t="s">
        <v>76</v>
      </c>
    </row>
    <row r="364" spans="1:8" s="1" customFormat="1" ht="45" customHeight="1">
      <c r="A364" s="9">
        <v>362</v>
      </c>
      <c r="B364" s="14" t="s">
        <v>33</v>
      </c>
      <c r="C364" s="14" t="str">
        <f>"200620111123"</f>
        <v>200620111123</v>
      </c>
      <c r="D364" s="14" t="str">
        <f>"龚治滢"</f>
        <v>龚治滢</v>
      </c>
      <c r="E364" s="9" t="s">
        <v>4</v>
      </c>
      <c r="F364" s="12" t="s">
        <v>53</v>
      </c>
      <c r="G364" s="12" t="s">
        <v>75</v>
      </c>
      <c r="H364" s="12" t="s">
        <v>76</v>
      </c>
    </row>
    <row r="365" spans="1:8" s="1" customFormat="1" ht="45" customHeight="1">
      <c r="A365" s="9">
        <v>363</v>
      </c>
      <c r="B365" s="14" t="s">
        <v>33</v>
      </c>
      <c r="C365" s="14" t="str">
        <f>"200620111316"</f>
        <v>200620111316</v>
      </c>
      <c r="D365" s="14" t="str">
        <f>"尹玉婷"</f>
        <v>尹玉婷</v>
      </c>
      <c r="E365" s="11" t="s">
        <v>4</v>
      </c>
      <c r="F365" s="12" t="s">
        <v>53</v>
      </c>
      <c r="G365" s="12" t="s">
        <v>75</v>
      </c>
      <c r="H365" s="12" t="s">
        <v>76</v>
      </c>
    </row>
    <row r="366" spans="1:8" s="1" customFormat="1" ht="45" customHeight="1">
      <c r="A366" s="9">
        <v>364</v>
      </c>
      <c r="B366" s="14" t="s">
        <v>33</v>
      </c>
      <c r="C366" s="14" t="str">
        <f>"200620111330"</f>
        <v>200620111330</v>
      </c>
      <c r="D366" s="14" t="str">
        <f>"乔慧艳"</f>
        <v>乔慧艳</v>
      </c>
      <c r="E366" s="9" t="s">
        <v>4</v>
      </c>
      <c r="F366" s="12" t="s">
        <v>53</v>
      </c>
      <c r="G366" s="12" t="s">
        <v>75</v>
      </c>
      <c r="H366" s="12" t="s">
        <v>76</v>
      </c>
    </row>
    <row r="367" spans="1:8" s="1" customFormat="1" ht="45" customHeight="1">
      <c r="A367" s="9">
        <v>365</v>
      </c>
      <c r="B367" s="14" t="s">
        <v>33</v>
      </c>
      <c r="C367" s="14" t="str">
        <f>"200620111306"</f>
        <v>200620111306</v>
      </c>
      <c r="D367" s="14" t="str">
        <f>"陈林花"</f>
        <v>陈林花</v>
      </c>
      <c r="E367" s="9" t="s">
        <v>4</v>
      </c>
      <c r="F367" s="12" t="s">
        <v>53</v>
      </c>
      <c r="G367" s="12" t="s">
        <v>75</v>
      </c>
      <c r="H367" s="12" t="s">
        <v>76</v>
      </c>
    </row>
    <row r="368" spans="1:8" s="1" customFormat="1" ht="45" customHeight="1">
      <c r="A368" s="9">
        <v>366</v>
      </c>
      <c r="B368" s="14" t="s">
        <v>33</v>
      </c>
      <c r="C368" s="14" t="str">
        <f>"200620111308"</f>
        <v>200620111308</v>
      </c>
      <c r="D368" s="14" t="str">
        <f>"周芬芬"</f>
        <v>周芬芬</v>
      </c>
      <c r="E368" s="9" t="s">
        <v>4</v>
      </c>
      <c r="F368" s="12" t="s">
        <v>53</v>
      </c>
      <c r="G368" s="12" t="s">
        <v>75</v>
      </c>
      <c r="H368" s="12" t="s">
        <v>76</v>
      </c>
    </row>
    <row r="369" spans="1:8" s="1" customFormat="1" ht="45" customHeight="1">
      <c r="A369" s="9">
        <v>367</v>
      </c>
      <c r="B369" s="14" t="s">
        <v>33</v>
      </c>
      <c r="C369" s="14" t="str">
        <f>"200620111327"</f>
        <v>200620111327</v>
      </c>
      <c r="D369" s="14" t="str">
        <f>"周贤慧"</f>
        <v>周贤慧</v>
      </c>
      <c r="E369" s="9" t="s">
        <v>35</v>
      </c>
      <c r="F369" s="12" t="s">
        <v>53</v>
      </c>
      <c r="G369" s="12" t="s">
        <v>75</v>
      </c>
      <c r="H369" s="12" t="s">
        <v>76</v>
      </c>
    </row>
    <row r="370" spans="1:8" s="1" customFormat="1" ht="45" customHeight="1">
      <c r="A370" s="9">
        <v>368</v>
      </c>
      <c r="B370" s="14" t="s">
        <v>33</v>
      </c>
      <c r="C370" s="14" t="str">
        <f>"200620111125"</f>
        <v>200620111125</v>
      </c>
      <c r="D370" s="14" t="str">
        <f>"黄景珍"</f>
        <v>黄景珍</v>
      </c>
      <c r="E370" s="11" t="s">
        <v>4</v>
      </c>
      <c r="F370" s="12" t="s">
        <v>53</v>
      </c>
      <c r="G370" s="12" t="s">
        <v>75</v>
      </c>
      <c r="H370" s="12" t="s">
        <v>76</v>
      </c>
    </row>
    <row r="371" spans="1:8" s="1" customFormat="1" ht="45" customHeight="1">
      <c r="A371" s="9">
        <v>369</v>
      </c>
      <c r="B371" s="14" t="s">
        <v>33</v>
      </c>
      <c r="C371" s="14" t="str">
        <f>"200620111008"</f>
        <v>200620111008</v>
      </c>
      <c r="D371" s="14" t="str">
        <f>"刘珍珍"</f>
        <v>刘珍珍</v>
      </c>
      <c r="E371" s="9" t="s">
        <v>4</v>
      </c>
      <c r="F371" s="12" t="s">
        <v>53</v>
      </c>
      <c r="G371" s="12" t="s">
        <v>75</v>
      </c>
      <c r="H371" s="12" t="s">
        <v>76</v>
      </c>
    </row>
    <row r="372" spans="1:8" s="1" customFormat="1" ht="45" customHeight="1">
      <c r="A372" s="9">
        <v>370</v>
      </c>
      <c r="B372" s="14" t="s">
        <v>33</v>
      </c>
      <c r="C372" s="14" t="str">
        <f>"200620111004"</f>
        <v>200620111004</v>
      </c>
      <c r="D372" s="14" t="str">
        <f>"陈淑芳"</f>
        <v>陈淑芳</v>
      </c>
      <c r="E372" s="9" t="s">
        <v>4</v>
      </c>
      <c r="F372" s="12" t="s">
        <v>53</v>
      </c>
      <c r="G372" s="12" t="s">
        <v>75</v>
      </c>
      <c r="H372" s="12" t="s">
        <v>76</v>
      </c>
    </row>
    <row r="373" spans="1:8" s="1" customFormat="1" ht="45" customHeight="1">
      <c r="A373" s="9">
        <v>371</v>
      </c>
      <c r="B373" s="14" t="s">
        <v>33</v>
      </c>
      <c r="C373" s="14" t="str">
        <f>"200620111124"</f>
        <v>200620111124</v>
      </c>
      <c r="D373" s="14" t="str">
        <f>"陈玲"</f>
        <v>陈玲</v>
      </c>
      <c r="E373" s="9" t="s">
        <v>4</v>
      </c>
      <c r="F373" s="12" t="s">
        <v>53</v>
      </c>
      <c r="G373" s="12" t="s">
        <v>75</v>
      </c>
      <c r="H373" s="12" t="s">
        <v>76</v>
      </c>
    </row>
    <row r="374" spans="1:8" s="1" customFormat="1" ht="45" customHeight="1">
      <c r="A374" s="9">
        <v>372</v>
      </c>
      <c r="B374" s="14" t="s">
        <v>33</v>
      </c>
      <c r="C374" s="14" t="str">
        <f>"200620111305"</f>
        <v>200620111305</v>
      </c>
      <c r="D374" s="14" t="str">
        <f>"邓婕"</f>
        <v>邓婕</v>
      </c>
      <c r="E374" s="9" t="s">
        <v>4</v>
      </c>
      <c r="F374" s="12" t="s">
        <v>53</v>
      </c>
      <c r="G374" s="12" t="s">
        <v>75</v>
      </c>
      <c r="H374" s="12" t="s">
        <v>76</v>
      </c>
    </row>
    <row r="375" spans="1:8" s="1" customFormat="1" ht="45" customHeight="1">
      <c r="A375" s="9">
        <v>373</v>
      </c>
      <c r="B375" s="14" t="s">
        <v>33</v>
      </c>
      <c r="C375" s="14" t="str">
        <f>"200620111120"</f>
        <v>200620111120</v>
      </c>
      <c r="D375" s="14" t="str">
        <f>"龙涛"</f>
        <v>龙涛</v>
      </c>
      <c r="E375" s="9" t="s">
        <v>4</v>
      </c>
      <c r="F375" s="12" t="s">
        <v>53</v>
      </c>
      <c r="G375" s="12" t="s">
        <v>75</v>
      </c>
      <c r="H375" s="12" t="s">
        <v>76</v>
      </c>
    </row>
    <row r="376" spans="1:8" s="1" customFormat="1" ht="45" customHeight="1">
      <c r="A376" s="9">
        <v>374</v>
      </c>
      <c r="B376" s="10" t="s">
        <v>33</v>
      </c>
      <c r="C376" s="10" t="str">
        <f>"200620111018"</f>
        <v>200620111018</v>
      </c>
      <c r="D376" s="10" t="str">
        <f>"陈颖娟"</f>
        <v>陈颖娟</v>
      </c>
      <c r="E376" s="11" t="s">
        <v>4</v>
      </c>
      <c r="F376" s="12" t="s">
        <v>53</v>
      </c>
      <c r="G376" s="12" t="s">
        <v>75</v>
      </c>
      <c r="H376" s="12" t="s">
        <v>76</v>
      </c>
    </row>
    <row r="377" spans="1:8" s="1" customFormat="1" ht="45" customHeight="1">
      <c r="A377" s="9">
        <v>375</v>
      </c>
      <c r="B377" s="14" t="s">
        <v>33</v>
      </c>
      <c r="C377" s="14" t="str">
        <f>"200620111101"</f>
        <v>200620111101</v>
      </c>
      <c r="D377" s="14" t="str">
        <f>"沈金凤"</f>
        <v>沈金凤</v>
      </c>
      <c r="E377" s="11" t="s">
        <v>4</v>
      </c>
      <c r="F377" s="12" t="s">
        <v>53</v>
      </c>
      <c r="G377" s="12" t="s">
        <v>75</v>
      </c>
      <c r="H377" s="12" t="s">
        <v>76</v>
      </c>
    </row>
    <row r="378" spans="1:8" s="1" customFormat="1" ht="45" customHeight="1" thickBot="1">
      <c r="A378" s="25">
        <v>376</v>
      </c>
      <c r="B378" s="22" t="s">
        <v>33</v>
      </c>
      <c r="C378" s="22" t="str">
        <f>"200620111302"</f>
        <v>200620111302</v>
      </c>
      <c r="D378" s="22" t="str">
        <f>"曾子芸"</f>
        <v>曾子芸</v>
      </c>
      <c r="E378" s="25" t="s">
        <v>4</v>
      </c>
      <c r="F378" s="19" t="s">
        <v>53</v>
      </c>
      <c r="G378" s="19" t="s">
        <v>75</v>
      </c>
      <c r="H378" s="19" t="s">
        <v>76</v>
      </c>
    </row>
    <row r="379" spans="1:8" s="1" customFormat="1" ht="45" customHeight="1" thickTop="1">
      <c r="A379" s="11">
        <v>377</v>
      </c>
      <c r="B379" s="14" t="s">
        <v>34</v>
      </c>
      <c r="C379" s="14" t="str">
        <f>"200620111729"</f>
        <v>200620111729</v>
      </c>
      <c r="D379" s="14" t="str">
        <f>"唐周玺"</f>
        <v>唐周玺</v>
      </c>
      <c r="E379" s="11" t="s">
        <v>4</v>
      </c>
      <c r="F379" s="12" t="s">
        <v>53</v>
      </c>
      <c r="G379" s="12" t="s">
        <v>77</v>
      </c>
      <c r="H379" s="12" t="s">
        <v>78</v>
      </c>
    </row>
    <row r="380" spans="1:8" s="1" customFormat="1" ht="45" customHeight="1">
      <c r="A380" s="9">
        <v>378</v>
      </c>
      <c r="B380" s="14" t="s">
        <v>34</v>
      </c>
      <c r="C380" s="14" t="str">
        <f>"200620111428"</f>
        <v>200620111428</v>
      </c>
      <c r="D380" s="14" t="str">
        <f>"陈前前"</f>
        <v>陈前前</v>
      </c>
      <c r="E380" s="9" t="s">
        <v>4</v>
      </c>
      <c r="F380" s="12" t="s">
        <v>53</v>
      </c>
      <c r="G380" s="12" t="s">
        <v>77</v>
      </c>
      <c r="H380" s="12" t="s">
        <v>78</v>
      </c>
    </row>
    <row r="381" spans="1:8" s="1" customFormat="1" ht="45" customHeight="1">
      <c r="A381" s="9">
        <v>379</v>
      </c>
      <c r="B381" s="14" t="s">
        <v>34</v>
      </c>
      <c r="C381" s="14" t="str">
        <f>"200620111626"</f>
        <v>200620111626</v>
      </c>
      <c r="D381" s="14" t="str">
        <f>"邓琴玲"</f>
        <v>邓琴玲</v>
      </c>
      <c r="E381" s="9" t="s">
        <v>4</v>
      </c>
      <c r="F381" s="12" t="s">
        <v>53</v>
      </c>
      <c r="G381" s="12" t="s">
        <v>77</v>
      </c>
      <c r="H381" s="12" t="s">
        <v>78</v>
      </c>
    </row>
    <row r="382" spans="1:8" s="1" customFormat="1" ht="45" customHeight="1">
      <c r="A382" s="9">
        <v>380</v>
      </c>
      <c r="B382" s="14" t="s">
        <v>34</v>
      </c>
      <c r="C382" s="14" t="str">
        <f>"200620111604"</f>
        <v>200620111604</v>
      </c>
      <c r="D382" s="14" t="str">
        <f>"周淑珏"</f>
        <v>周淑珏</v>
      </c>
      <c r="E382" s="11" t="s">
        <v>4</v>
      </c>
      <c r="F382" s="12" t="s">
        <v>53</v>
      </c>
      <c r="G382" s="12" t="s">
        <v>77</v>
      </c>
      <c r="H382" s="12" t="s">
        <v>78</v>
      </c>
    </row>
    <row r="383" spans="1:8" s="1" customFormat="1" ht="45" customHeight="1">
      <c r="A383" s="9">
        <v>381</v>
      </c>
      <c r="B383" s="14" t="s">
        <v>34</v>
      </c>
      <c r="C383" s="14" t="str">
        <f>"200620111612"</f>
        <v>200620111612</v>
      </c>
      <c r="D383" s="14" t="str">
        <f>"刘倩"</f>
        <v>刘倩</v>
      </c>
      <c r="E383" s="11" t="s">
        <v>4</v>
      </c>
      <c r="F383" s="12" t="s">
        <v>53</v>
      </c>
      <c r="G383" s="12" t="s">
        <v>77</v>
      </c>
      <c r="H383" s="12" t="s">
        <v>78</v>
      </c>
    </row>
    <row r="384" spans="1:8" s="1" customFormat="1" ht="45" customHeight="1">
      <c r="A384" s="9">
        <v>382</v>
      </c>
      <c r="B384" s="14" t="s">
        <v>34</v>
      </c>
      <c r="C384" s="14" t="str">
        <f>"200620111423"</f>
        <v>200620111423</v>
      </c>
      <c r="D384" s="14" t="str">
        <f>"费阿蜜"</f>
        <v>费阿蜜</v>
      </c>
      <c r="E384" s="9" t="s">
        <v>4</v>
      </c>
      <c r="F384" s="12" t="s">
        <v>53</v>
      </c>
      <c r="G384" s="12" t="s">
        <v>77</v>
      </c>
      <c r="H384" s="12" t="s">
        <v>78</v>
      </c>
    </row>
    <row r="385" spans="1:8" s="1" customFormat="1" ht="45" customHeight="1">
      <c r="A385" s="9">
        <v>383</v>
      </c>
      <c r="B385" s="14" t="s">
        <v>34</v>
      </c>
      <c r="C385" s="14" t="str">
        <f>"200620111411"</f>
        <v>200620111411</v>
      </c>
      <c r="D385" s="14" t="str">
        <f>"刘晓彤"</f>
        <v>刘晓彤</v>
      </c>
      <c r="E385" s="11" t="s">
        <v>4</v>
      </c>
      <c r="F385" s="12" t="s">
        <v>53</v>
      </c>
      <c r="G385" s="12" t="s">
        <v>77</v>
      </c>
      <c r="H385" s="12" t="s">
        <v>78</v>
      </c>
    </row>
    <row r="386" spans="1:8" s="1" customFormat="1" ht="45" customHeight="1">
      <c r="A386" s="9">
        <v>384</v>
      </c>
      <c r="B386" s="14" t="s">
        <v>34</v>
      </c>
      <c r="C386" s="14" t="str">
        <f>"200620111703"</f>
        <v>200620111703</v>
      </c>
      <c r="D386" s="14" t="str">
        <f>"黄李涛"</f>
        <v>黄李涛</v>
      </c>
      <c r="E386" s="9" t="s">
        <v>4</v>
      </c>
      <c r="F386" s="12" t="s">
        <v>53</v>
      </c>
      <c r="G386" s="12" t="s">
        <v>77</v>
      </c>
      <c r="H386" s="12" t="s">
        <v>78</v>
      </c>
    </row>
    <row r="387" spans="1:8" s="1" customFormat="1" ht="45" customHeight="1">
      <c r="A387" s="9">
        <v>385</v>
      </c>
      <c r="B387" s="14" t="s">
        <v>34</v>
      </c>
      <c r="C387" s="14" t="str">
        <f>"200620111609"</f>
        <v>200620111609</v>
      </c>
      <c r="D387" s="14" t="str">
        <f>"刘桃花"</f>
        <v>刘桃花</v>
      </c>
      <c r="E387" s="11" t="s">
        <v>4</v>
      </c>
      <c r="F387" s="12" t="s">
        <v>53</v>
      </c>
      <c r="G387" s="12" t="s">
        <v>77</v>
      </c>
      <c r="H387" s="12" t="s">
        <v>78</v>
      </c>
    </row>
    <row r="388" spans="1:8" s="1" customFormat="1" ht="45" customHeight="1">
      <c r="A388" s="9">
        <v>386</v>
      </c>
      <c r="B388" s="14" t="s">
        <v>34</v>
      </c>
      <c r="C388" s="14" t="str">
        <f>"200620111420"</f>
        <v>200620111420</v>
      </c>
      <c r="D388" s="14" t="str">
        <f>"陈滔滔"</f>
        <v>陈滔滔</v>
      </c>
      <c r="E388" s="9" t="s">
        <v>4</v>
      </c>
      <c r="F388" s="12" t="s">
        <v>53</v>
      </c>
      <c r="G388" s="12" t="s">
        <v>77</v>
      </c>
      <c r="H388" s="12" t="s">
        <v>78</v>
      </c>
    </row>
    <row r="389" spans="1:8" s="1" customFormat="1" ht="45" customHeight="1">
      <c r="A389" s="9">
        <v>387</v>
      </c>
      <c r="B389" s="14" t="s">
        <v>34</v>
      </c>
      <c r="C389" s="14" t="str">
        <f>"200620111601"</f>
        <v>200620111601</v>
      </c>
      <c r="D389" s="14" t="str">
        <f>"谭雨莎"</f>
        <v>谭雨莎</v>
      </c>
      <c r="E389" s="9" t="s">
        <v>4</v>
      </c>
      <c r="F389" s="12" t="s">
        <v>53</v>
      </c>
      <c r="G389" s="12" t="s">
        <v>77</v>
      </c>
      <c r="H389" s="12" t="s">
        <v>78</v>
      </c>
    </row>
    <row r="390" spans="1:8" s="1" customFormat="1" ht="45" customHeight="1">
      <c r="A390" s="9">
        <v>388</v>
      </c>
      <c r="B390" s="14" t="s">
        <v>34</v>
      </c>
      <c r="C390" s="14" t="str">
        <f>"200620111402"</f>
        <v>200620111402</v>
      </c>
      <c r="D390" s="14" t="str">
        <f>"谭智敏"</f>
        <v>谭智敏</v>
      </c>
      <c r="E390" s="9" t="s">
        <v>4</v>
      </c>
      <c r="F390" s="12" t="s">
        <v>53</v>
      </c>
      <c r="G390" s="12" t="s">
        <v>77</v>
      </c>
      <c r="H390" s="12" t="s">
        <v>78</v>
      </c>
    </row>
    <row r="391" spans="1:8" s="1" customFormat="1" ht="45" customHeight="1">
      <c r="A391" s="9">
        <v>389</v>
      </c>
      <c r="B391" s="14" t="s">
        <v>34</v>
      </c>
      <c r="C391" s="14" t="str">
        <f>"200620111409"</f>
        <v>200620111409</v>
      </c>
      <c r="D391" s="14" t="str">
        <f>"罗栗荣"</f>
        <v>罗栗荣</v>
      </c>
      <c r="E391" s="9" t="s">
        <v>4</v>
      </c>
      <c r="F391" s="12" t="s">
        <v>53</v>
      </c>
      <c r="G391" s="12" t="s">
        <v>77</v>
      </c>
      <c r="H391" s="12" t="s">
        <v>78</v>
      </c>
    </row>
    <row r="392" spans="1:8" s="1" customFormat="1" ht="45" customHeight="1">
      <c r="A392" s="9">
        <v>390</v>
      </c>
      <c r="B392" s="14" t="s">
        <v>34</v>
      </c>
      <c r="C392" s="14" t="str">
        <f>"200620111719"</f>
        <v>200620111719</v>
      </c>
      <c r="D392" s="14" t="str">
        <f>"周勤勤"</f>
        <v>周勤勤</v>
      </c>
      <c r="E392" s="9" t="s">
        <v>4</v>
      </c>
      <c r="F392" s="12" t="s">
        <v>53</v>
      </c>
      <c r="G392" s="12" t="s">
        <v>77</v>
      </c>
      <c r="H392" s="12" t="s">
        <v>78</v>
      </c>
    </row>
    <row r="393" spans="1:8" s="1" customFormat="1" ht="45" customHeight="1">
      <c r="A393" s="9">
        <v>391</v>
      </c>
      <c r="B393" s="14" t="s">
        <v>34</v>
      </c>
      <c r="C393" s="14" t="str">
        <f>"200620111401"</f>
        <v>200620111401</v>
      </c>
      <c r="D393" s="14" t="str">
        <f>"彭山山"</f>
        <v>彭山山</v>
      </c>
      <c r="E393" s="9" t="s">
        <v>4</v>
      </c>
      <c r="F393" s="12" t="s">
        <v>53</v>
      </c>
      <c r="G393" s="12" t="s">
        <v>77</v>
      </c>
      <c r="H393" s="12" t="s">
        <v>78</v>
      </c>
    </row>
    <row r="394" spans="1:8" s="1" customFormat="1" ht="45" customHeight="1">
      <c r="A394" s="9">
        <v>392</v>
      </c>
      <c r="B394" s="14" t="s">
        <v>34</v>
      </c>
      <c r="C394" s="14" t="str">
        <f>"200620111614"</f>
        <v>200620111614</v>
      </c>
      <c r="D394" s="14" t="str">
        <f>"谭凌剑"</f>
        <v>谭凌剑</v>
      </c>
      <c r="E394" s="9" t="s">
        <v>4</v>
      </c>
      <c r="F394" s="12" t="s">
        <v>53</v>
      </c>
      <c r="G394" s="12" t="s">
        <v>77</v>
      </c>
      <c r="H394" s="12" t="s">
        <v>78</v>
      </c>
    </row>
    <row r="395" spans="1:8" s="1" customFormat="1" ht="45" customHeight="1">
      <c r="A395" s="9">
        <v>393</v>
      </c>
      <c r="B395" s="14" t="s">
        <v>34</v>
      </c>
      <c r="C395" s="14" t="str">
        <f>"200620111404"</f>
        <v>200620111404</v>
      </c>
      <c r="D395" s="14" t="str">
        <f>"彭河军"</f>
        <v>彭河军</v>
      </c>
      <c r="E395" s="9" t="s">
        <v>4</v>
      </c>
      <c r="F395" s="12" t="s">
        <v>53</v>
      </c>
      <c r="G395" s="12" t="s">
        <v>77</v>
      </c>
      <c r="H395" s="12" t="s">
        <v>78</v>
      </c>
    </row>
    <row r="396" spans="1:8" s="1" customFormat="1" ht="45" customHeight="1">
      <c r="A396" s="9">
        <v>394</v>
      </c>
      <c r="B396" s="14" t="s">
        <v>34</v>
      </c>
      <c r="C396" s="14" t="str">
        <f>"200620111608"</f>
        <v>200620111608</v>
      </c>
      <c r="D396" s="14" t="str">
        <f>"肖婷"</f>
        <v>肖婷</v>
      </c>
      <c r="E396" s="9" t="s">
        <v>4</v>
      </c>
      <c r="F396" s="12" t="s">
        <v>53</v>
      </c>
      <c r="G396" s="12" t="s">
        <v>77</v>
      </c>
      <c r="H396" s="12" t="s">
        <v>78</v>
      </c>
    </row>
    <row r="397" spans="1:8" s="1" customFormat="1" ht="45" customHeight="1">
      <c r="A397" s="9">
        <v>395</v>
      </c>
      <c r="B397" s="14" t="s">
        <v>34</v>
      </c>
      <c r="C397" s="14" t="str">
        <f>"200620111731"</f>
        <v>200620111731</v>
      </c>
      <c r="D397" s="14" t="str">
        <f>"谭宇芳"</f>
        <v>谭宇芳</v>
      </c>
      <c r="E397" s="9" t="s">
        <v>4</v>
      </c>
      <c r="F397" s="12" t="s">
        <v>53</v>
      </c>
      <c r="G397" s="12" t="s">
        <v>77</v>
      </c>
      <c r="H397" s="12" t="s">
        <v>78</v>
      </c>
    </row>
    <row r="398" spans="1:8" s="1" customFormat="1" ht="45" customHeight="1">
      <c r="A398" s="9">
        <v>396</v>
      </c>
      <c r="B398" s="14" t="s">
        <v>34</v>
      </c>
      <c r="C398" s="14" t="str">
        <f>"200620111709"</f>
        <v>200620111709</v>
      </c>
      <c r="D398" s="14" t="str">
        <f>"张菁"</f>
        <v>张菁</v>
      </c>
      <c r="E398" s="9" t="s">
        <v>4</v>
      </c>
      <c r="F398" s="12" t="s">
        <v>53</v>
      </c>
      <c r="G398" s="12" t="s">
        <v>77</v>
      </c>
      <c r="H398" s="12" t="s">
        <v>78</v>
      </c>
    </row>
    <row r="399" spans="1:8" s="1" customFormat="1" ht="45" customHeight="1">
      <c r="A399" s="9">
        <v>397</v>
      </c>
      <c r="B399" s="14" t="s">
        <v>34</v>
      </c>
      <c r="C399" s="14" t="str">
        <f>"200620111522"</f>
        <v>200620111522</v>
      </c>
      <c r="D399" s="14" t="str">
        <f>"龙捷"</f>
        <v>龙捷</v>
      </c>
      <c r="E399" s="11" t="s">
        <v>4</v>
      </c>
      <c r="F399" s="12" t="s">
        <v>53</v>
      </c>
      <c r="G399" s="12" t="s">
        <v>77</v>
      </c>
      <c r="H399" s="12" t="s">
        <v>78</v>
      </c>
    </row>
    <row r="400" spans="1:8" s="1" customFormat="1" ht="45" customHeight="1">
      <c r="A400" s="9">
        <v>398</v>
      </c>
      <c r="B400" s="14" t="s">
        <v>34</v>
      </c>
      <c r="C400" s="14" t="str">
        <f>"200620111513"</f>
        <v>200620111513</v>
      </c>
      <c r="D400" s="14" t="str">
        <f>"黄颖"</f>
        <v>黄颖</v>
      </c>
      <c r="E400" s="9" t="s">
        <v>4</v>
      </c>
      <c r="F400" s="12" t="s">
        <v>53</v>
      </c>
      <c r="G400" s="12" t="s">
        <v>77</v>
      </c>
      <c r="H400" s="12" t="s">
        <v>78</v>
      </c>
    </row>
    <row r="401" spans="1:8" s="1" customFormat="1" ht="45" customHeight="1">
      <c r="A401" s="9">
        <v>399</v>
      </c>
      <c r="B401" s="14" t="s">
        <v>34</v>
      </c>
      <c r="C401" s="14" t="str">
        <f>"200620111413"</f>
        <v>200620111413</v>
      </c>
      <c r="D401" s="14" t="str">
        <f>"佘雪梅"</f>
        <v>佘雪梅</v>
      </c>
      <c r="E401" s="9" t="s">
        <v>4</v>
      </c>
      <c r="F401" s="12" t="s">
        <v>53</v>
      </c>
      <c r="G401" s="12" t="s">
        <v>77</v>
      </c>
      <c r="H401" s="12" t="s">
        <v>78</v>
      </c>
    </row>
    <row r="402" spans="1:8" s="1" customFormat="1" ht="45" customHeight="1">
      <c r="A402" s="9">
        <v>400</v>
      </c>
      <c r="B402" s="14" t="s">
        <v>34</v>
      </c>
      <c r="C402" s="14" t="str">
        <f>"200620111515"</f>
        <v>200620111515</v>
      </c>
      <c r="D402" s="14" t="str">
        <f>"谭玉芳"</f>
        <v>谭玉芳</v>
      </c>
      <c r="E402" s="9" t="s">
        <v>4</v>
      </c>
      <c r="F402" s="12" t="s">
        <v>53</v>
      </c>
      <c r="G402" s="12" t="s">
        <v>77</v>
      </c>
      <c r="H402" s="12" t="s">
        <v>78</v>
      </c>
    </row>
    <row r="403" spans="1:8" s="1" customFormat="1" ht="45" customHeight="1">
      <c r="A403" s="9">
        <v>401</v>
      </c>
      <c r="B403" s="14" t="s">
        <v>34</v>
      </c>
      <c r="C403" s="14" t="str">
        <f>"200620111716"</f>
        <v>200620111716</v>
      </c>
      <c r="D403" s="14" t="str">
        <f>"龙敏群"</f>
        <v>龙敏群</v>
      </c>
      <c r="E403" s="9" t="s">
        <v>4</v>
      </c>
      <c r="F403" s="12" t="s">
        <v>53</v>
      </c>
      <c r="G403" s="12" t="s">
        <v>77</v>
      </c>
      <c r="H403" s="12" t="s">
        <v>78</v>
      </c>
    </row>
    <row r="404" spans="1:8" s="1" customFormat="1" ht="45" customHeight="1">
      <c r="A404" s="9">
        <v>402</v>
      </c>
      <c r="B404" s="14" t="s">
        <v>34</v>
      </c>
      <c r="C404" s="14" t="str">
        <f>"200620111531"</f>
        <v>200620111531</v>
      </c>
      <c r="D404" s="14" t="str">
        <f>"吴湘波"</f>
        <v>吴湘波</v>
      </c>
      <c r="E404" s="9" t="s">
        <v>4</v>
      </c>
      <c r="F404" s="12" t="s">
        <v>53</v>
      </c>
      <c r="G404" s="12" t="s">
        <v>77</v>
      </c>
      <c r="H404" s="12" t="s">
        <v>78</v>
      </c>
    </row>
    <row r="405" spans="1:8" s="1" customFormat="1" ht="45" customHeight="1">
      <c r="A405" s="9">
        <v>403</v>
      </c>
      <c r="B405" s="14" t="s">
        <v>34</v>
      </c>
      <c r="C405" s="14" t="str">
        <f>"200620111611"</f>
        <v>200620111611</v>
      </c>
      <c r="D405" s="14" t="str">
        <f>"罗玲"</f>
        <v>罗玲</v>
      </c>
      <c r="E405" s="9" t="s">
        <v>4</v>
      </c>
      <c r="F405" s="12" t="s">
        <v>53</v>
      </c>
      <c r="G405" s="12" t="s">
        <v>77</v>
      </c>
      <c r="H405" s="12" t="s">
        <v>78</v>
      </c>
    </row>
    <row r="406" spans="1:8" s="1" customFormat="1" ht="45" customHeight="1">
      <c r="A406" s="9">
        <v>404</v>
      </c>
      <c r="B406" s="14" t="s">
        <v>34</v>
      </c>
      <c r="C406" s="14" t="str">
        <f>"200620111506"</f>
        <v>200620111506</v>
      </c>
      <c r="D406" s="14" t="str">
        <f>"段旭晨"</f>
        <v>段旭晨</v>
      </c>
      <c r="E406" s="11" t="s">
        <v>4</v>
      </c>
      <c r="F406" s="12" t="s">
        <v>53</v>
      </c>
      <c r="G406" s="12" t="s">
        <v>77</v>
      </c>
      <c r="H406" s="12" t="s">
        <v>78</v>
      </c>
    </row>
    <row r="407" spans="1:8" s="1" customFormat="1" ht="45" customHeight="1">
      <c r="A407" s="9">
        <v>405</v>
      </c>
      <c r="B407" s="14" t="s">
        <v>34</v>
      </c>
      <c r="C407" s="14" t="str">
        <f>"200620111711"</f>
        <v>200620111711</v>
      </c>
      <c r="D407" s="14" t="str">
        <f>"吴慧颖"</f>
        <v>吴慧颖</v>
      </c>
      <c r="E407" s="11" t="s">
        <v>4</v>
      </c>
      <c r="F407" s="12" t="s">
        <v>53</v>
      </c>
      <c r="G407" s="12" t="s">
        <v>77</v>
      </c>
      <c r="H407" s="12" t="s">
        <v>78</v>
      </c>
    </row>
    <row r="408" spans="1:8" s="1" customFormat="1" ht="45" customHeight="1">
      <c r="A408" s="9">
        <v>406</v>
      </c>
      <c r="B408" s="14" t="s">
        <v>34</v>
      </c>
      <c r="C408" s="14" t="str">
        <f>"200620111405"</f>
        <v>200620111405</v>
      </c>
      <c r="D408" s="14" t="str">
        <f>"谭玲"</f>
        <v>谭玲</v>
      </c>
      <c r="E408" s="9" t="s">
        <v>4</v>
      </c>
      <c r="F408" s="12" t="s">
        <v>53</v>
      </c>
      <c r="G408" s="12" t="s">
        <v>77</v>
      </c>
      <c r="H408" s="12" t="s">
        <v>78</v>
      </c>
    </row>
    <row r="409" spans="1:8" s="1" customFormat="1" ht="45" customHeight="1">
      <c r="A409" s="9">
        <v>407</v>
      </c>
      <c r="B409" s="14" t="s">
        <v>34</v>
      </c>
      <c r="C409" s="14" t="str">
        <f>"200620111728"</f>
        <v>200620111728</v>
      </c>
      <c r="D409" s="14" t="str">
        <f>"刘芝"</f>
        <v>刘芝</v>
      </c>
      <c r="E409" s="9" t="s">
        <v>4</v>
      </c>
      <c r="F409" s="12" t="s">
        <v>53</v>
      </c>
      <c r="G409" s="12" t="s">
        <v>77</v>
      </c>
      <c r="H409" s="12" t="s">
        <v>78</v>
      </c>
    </row>
    <row r="410" spans="1:8" s="1" customFormat="1" ht="45" customHeight="1">
      <c r="A410" s="9">
        <v>408</v>
      </c>
      <c r="B410" s="14" t="s">
        <v>34</v>
      </c>
      <c r="C410" s="14" t="str">
        <f>"200620111630"</f>
        <v>200620111630</v>
      </c>
      <c r="D410" s="14" t="str">
        <f>"何思思"</f>
        <v>何思思</v>
      </c>
      <c r="E410" s="9" t="s">
        <v>4</v>
      </c>
      <c r="F410" s="12" t="s">
        <v>53</v>
      </c>
      <c r="G410" s="12" t="s">
        <v>77</v>
      </c>
      <c r="H410" s="12" t="s">
        <v>78</v>
      </c>
    </row>
    <row r="411" spans="1:8" s="1" customFormat="1" ht="45" customHeight="1">
      <c r="A411" s="9">
        <v>409</v>
      </c>
      <c r="B411" s="14" t="s">
        <v>34</v>
      </c>
      <c r="C411" s="14" t="str">
        <f>"200620111429"</f>
        <v>200620111429</v>
      </c>
      <c r="D411" s="14" t="str">
        <f>"刘珍珍"</f>
        <v>刘珍珍</v>
      </c>
      <c r="E411" s="11" t="s">
        <v>4</v>
      </c>
      <c r="F411" s="12" t="s">
        <v>53</v>
      </c>
      <c r="G411" s="12" t="s">
        <v>77</v>
      </c>
      <c r="H411" s="12" t="s">
        <v>78</v>
      </c>
    </row>
    <row r="412" spans="1:8" s="1" customFormat="1" ht="45" customHeight="1">
      <c r="A412" s="9">
        <v>410</v>
      </c>
      <c r="B412" s="14" t="s">
        <v>34</v>
      </c>
      <c r="C412" s="14" t="str">
        <f>"200620111510"</f>
        <v>200620111510</v>
      </c>
      <c r="D412" s="14" t="str">
        <f>"邓细妹"</f>
        <v>邓细妹</v>
      </c>
      <c r="E412" s="11" t="s">
        <v>4</v>
      </c>
      <c r="F412" s="12" t="s">
        <v>53</v>
      </c>
      <c r="G412" s="12" t="s">
        <v>77</v>
      </c>
      <c r="H412" s="12" t="s">
        <v>78</v>
      </c>
    </row>
    <row r="413" spans="1:8" s="1" customFormat="1" ht="45" customHeight="1">
      <c r="A413" s="9">
        <v>411</v>
      </c>
      <c r="B413" s="14" t="s">
        <v>34</v>
      </c>
      <c r="C413" s="14" t="str">
        <f>"200620111701"</f>
        <v>200620111701</v>
      </c>
      <c r="D413" s="14" t="str">
        <f>"向文佳"</f>
        <v>向文佳</v>
      </c>
      <c r="E413" s="9" t="s">
        <v>4</v>
      </c>
      <c r="F413" s="12" t="s">
        <v>53</v>
      </c>
      <c r="G413" s="12" t="s">
        <v>77</v>
      </c>
      <c r="H413" s="12" t="s">
        <v>78</v>
      </c>
    </row>
    <row r="414" spans="1:8" s="1" customFormat="1" ht="45" customHeight="1">
      <c r="A414" s="9">
        <v>412</v>
      </c>
      <c r="B414" s="14" t="s">
        <v>34</v>
      </c>
      <c r="C414" s="14" t="str">
        <f>"200620111524"</f>
        <v>200620111524</v>
      </c>
      <c r="D414" s="14" t="str">
        <f>"谭巧艳"</f>
        <v>谭巧艳</v>
      </c>
      <c r="E414" s="9" t="s">
        <v>4</v>
      </c>
      <c r="F414" s="12" t="s">
        <v>53</v>
      </c>
      <c r="G414" s="12" t="s">
        <v>77</v>
      </c>
      <c r="H414" s="12" t="s">
        <v>78</v>
      </c>
    </row>
    <row r="415" spans="1:8" s="1" customFormat="1" ht="45" customHeight="1">
      <c r="A415" s="9">
        <v>413</v>
      </c>
      <c r="B415" s="14" t="s">
        <v>34</v>
      </c>
      <c r="C415" s="14" t="str">
        <f>"200620111417"</f>
        <v>200620111417</v>
      </c>
      <c r="D415" s="14" t="str">
        <f>"陈一聪"</f>
        <v>陈一聪</v>
      </c>
      <c r="E415" s="9" t="s">
        <v>4</v>
      </c>
      <c r="F415" s="12" t="s">
        <v>53</v>
      </c>
      <c r="G415" s="12" t="s">
        <v>77</v>
      </c>
      <c r="H415" s="12" t="s">
        <v>78</v>
      </c>
    </row>
    <row r="416" spans="1:8" s="1" customFormat="1" ht="45" customHeight="1">
      <c r="A416" s="9">
        <v>414</v>
      </c>
      <c r="B416" s="14" t="s">
        <v>34</v>
      </c>
      <c r="C416" s="14" t="str">
        <f>"200620111720"</f>
        <v>200620111720</v>
      </c>
      <c r="D416" s="14" t="str">
        <f>"晏琴花"</f>
        <v>晏琴花</v>
      </c>
      <c r="E416" s="11" t="s">
        <v>4</v>
      </c>
      <c r="F416" s="12" t="s">
        <v>53</v>
      </c>
      <c r="G416" s="12" t="s">
        <v>77</v>
      </c>
      <c r="H416" s="12" t="s">
        <v>78</v>
      </c>
    </row>
    <row r="417" spans="1:8" s="1" customFormat="1" ht="45" customHeight="1">
      <c r="A417" s="9">
        <v>415</v>
      </c>
      <c r="B417" s="14" t="s">
        <v>34</v>
      </c>
      <c r="C417" s="14" t="str">
        <f>"200620111726"</f>
        <v>200620111726</v>
      </c>
      <c r="D417" s="14" t="str">
        <f>"彭佳军"</f>
        <v>彭佳军</v>
      </c>
      <c r="E417" s="11" t="s">
        <v>4</v>
      </c>
      <c r="F417" s="12" t="s">
        <v>53</v>
      </c>
      <c r="G417" s="12" t="s">
        <v>77</v>
      </c>
      <c r="H417" s="12" t="s">
        <v>78</v>
      </c>
    </row>
    <row r="418" spans="1:8" s="1" customFormat="1" ht="45" customHeight="1">
      <c r="A418" s="9">
        <v>416</v>
      </c>
      <c r="B418" s="14" t="s">
        <v>34</v>
      </c>
      <c r="C418" s="14" t="str">
        <f>"200620111512"</f>
        <v>200620111512</v>
      </c>
      <c r="D418" s="14" t="str">
        <f>"唐旭蓉"</f>
        <v>唐旭蓉</v>
      </c>
      <c r="E418" s="9" t="s">
        <v>4</v>
      </c>
      <c r="F418" s="12" t="s">
        <v>53</v>
      </c>
      <c r="G418" s="12" t="s">
        <v>77</v>
      </c>
      <c r="H418" s="12" t="s">
        <v>78</v>
      </c>
    </row>
    <row r="419" spans="1:8" s="1" customFormat="1" ht="45" customHeight="1">
      <c r="A419" s="9">
        <v>417</v>
      </c>
      <c r="B419" s="14" t="s">
        <v>34</v>
      </c>
      <c r="C419" s="14" t="str">
        <f>"200620111607"</f>
        <v>200620111607</v>
      </c>
      <c r="D419" s="14" t="str">
        <f>"陈婷婷"</f>
        <v>陈婷婷</v>
      </c>
      <c r="E419" s="9" t="s">
        <v>4</v>
      </c>
      <c r="F419" s="12" t="s">
        <v>53</v>
      </c>
      <c r="G419" s="12" t="s">
        <v>77</v>
      </c>
      <c r="H419" s="12" t="s">
        <v>78</v>
      </c>
    </row>
    <row r="420" spans="1:8" s="1" customFormat="1" ht="45" customHeight="1">
      <c r="A420" s="9">
        <v>418</v>
      </c>
      <c r="B420" s="14" t="s">
        <v>34</v>
      </c>
      <c r="C420" s="14" t="str">
        <f>"200620111718"</f>
        <v>200620111718</v>
      </c>
      <c r="D420" s="14" t="str">
        <f>"谭立靖"</f>
        <v>谭立靖</v>
      </c>
      <c r="E420" s="9" t="s">
        <v>4</v>
      </c>
      <c r="F420" s="12" t="s">
        <v>53</v>
      </c>
      <c r="G420" s="12" t="s">
        <v>77</v>
      </c>
      <c r="H420" s="12" t="s">
        <v>78</v>
      </c>
    </row>
    <row r="421" spans="1:8" s="1" customFormat="1" ht="45" customHeight="1">
      <c r="A421" s="9">
        <v>419</v>
      </c>
      <c r="B421" s="14" t="s">
        <v>34</v>
      </c>
      <c r="C421" s="14" t="str">
        <f>"200620111628"</f>
        <v>200620111628</v>
      </c>
      <c r="D421" s="14" t="str">
        <f>"陈喜莉"</f>
        <v>陈喜莉</v>
      </c>
      <c r="E421" s="9" t="s">
        <v>4</v>
      </c>
      <c r="F421" s="12" t="s">
        <v>53</v>
      </c>
      <c r="G421" s="12" t="s">
        <v>77</v>
      </c>
      <c r="H421" s="12" t="s">
        <v>78</v>
      </c>
    </row>
    <row r="422" spans="1:8" s="1" customFormat="1" ht="45" customHeight="1">
      <c r="A422" s="9">
        <v>420</v>
      </c>
      <c r="B422" s="14" t="s">
        <v>34</v>
      </c>
      <c r="C422" s="14" t="str">
        <f>"200620111707"</f>
        <v>200620111707</v>
      </c>
      <c r="D422" s="14" t="str">
        <f>"谭津"</f>
        <v>谭津</v>
      </c>
      <c r="E422" s="9" t="s">
        <v>4</v>
      </c>
      <c r="F422" s="12" t="s">
        <v>53</v>
      </c>
      <c r="G422" s="12" t="s">
        <v>77</v>
      </c>
      <c r="H422" s="12" t="s">
        <v>78</v>
      </c>
    </row>
    <row r="423" spans="1:8" s="1" customFormat="1" ht="45" customHeight="1">
      <c r="A423" s="9">
        <v>421</v>
      </c>
      <c r="B423" s="14" t="s">
        <v>34</v>
      </c>
      <c r="C423" s="14" t="str">
        <f>"200620111526"</f>
        <v>200620111526</v>
      </c>
      <c r="D423" s="14" t="str">
        <f>"彭梦露"</f>
        <v>彭梦露</v>
      </c>
      <c r="E423" s="11" t="s">
        <v>4</v>
      </c>
      <c r="F423" s="12" t="s">
        <v>53</v>
      </c>
      <c r="G423" s="12" t="s">
        <v>77</v>
      </c>
      <c r="H423" s="12" t="s">
        <v>78</v>
      </c>
    </row>
    <row r="424" spans="1:8" s="1" customFormat="1" ht="45" customHeight="1">
      <c r="A424" s="9">
        <v>422</v>
      </c>
      <c r="B424" s="14" t="s">
        <v>34</v>
      </c>
      <c r="C424" s="14" t="str">
        <f>"200620111619"</f>
        <v>200620111619</v>
      </c>
      <c r="D424" s="14" t="str">
        <f>"刘雅慧"</f>
        <v>刘雅慧</v>
      </c>
      <c r="E424" s="9" t="s">
        <v>4</v>
      </c>
      <c r="F424" s="12" t="s">
        <v>53</v>
      </c>
      <c r="G424" s="12" t="s">
        <v>77</v>
      </c>
      <c r="H424" s="12" t="s">
        <v>78</v>
      </c>
    </row>
    <row r="425" spans="1:8" s="1" customFormat="1" ht="45" customHeight="1">
      <c r="A425" s="9">
        <v>423</v>
      </c>
      <c r="B425" s="14" t="s">
        <v>34</v>
      </c>
      <c r="C425" s="14" t="str">
        <f>"200620111416"</f>
        <v>200620111416</v>
      </c>
      <c r="D425" s="14" t="str">
        <f>"龙慧硕"</f>
        <v>龙慧硕</v>
      </c>
      <c r="E425" s="9" t="s">
        <v>4</v>
      </c>
      <c r="F425" s="12" t="s">
        <v>53</v>
      </c>
      <c r="G425" s="12" t="s">
        <v>77</v>
      </c>
      <c r="H425" s="12" t="s">
        <v>78</v>
      </c>
    </row>
    <row r="426" spans="1:8" s="1" customFormat="1" ht="45" customHeight="1">
      <c r="A426" s="9">
        <v>424</v>
      </c>
      <c r="B426" s="14" t="s">
        <v>34</v>
      </c>
      <c r="C426" s="14" t="str">
        <f>"200620111627"</f>
        <v>200620111627</v>
      </c>
      <c r="D426" s="14" t="str">
        <f>"罗虎玲"</f>
        <v>罗虎玲</v>
      </c>
      <c r="E426" s="11" t="s">
        <v>4</v>
      </c>
      <c r="F426" s="12" t="s">
        <v>53</v>
      </c>
      <c r="G426" s="12" t="s">
        <v>77</v>
      </c>
      <c r="H426" s="12" t="s">
        <v>78</v>
      </c>
    </row>
    <row r="427" spans="1:8" s="1" customFormat="1" ht="45" customHeight="1">
      <c r="A427" s="9">
        <v>425</v>
      </c>
      <c r="B427" s="14" t="s">
        <v>34</v>
      </c>
      <c r="C427" s="14" t="str">
        <f>"200620111530"</f>
        <v>200620111530</v>
      </c>
      <c r="D427" s="14" t="str">
        <f>"罗艳"</f>
        <v>罗艳</v>
      </c>
      <c r="E427" s="9" t="s">
        <v>4</v>
      </c>
      <c r="F427" s="12" t="s">
        <v>53</v>
      </c>
      <c r="G427" s="12" t="s">
        <v>77</v>
      </c>
      <c r="H427" s="12" t="s">
        <v>78</v>
      </c>
    </row>
    <row r="428" spans="1:8" s="1" customFormat="1" ht="45" customHeight="1">
      <c r="A428" s="9">
        <v>426</v>
      </c>
      <c r="B428" s="14" t="s">
        <v>34</v>
      </c>
      <c r="C428" s="14" t="str">
        <f>"200620111613"</f>
        <v>200620111613</v>
      </c>
      <c r="D428" s="14" t="str">
        <f>"颜佳佳"</f>
        <v>颜佳佳</v>
      </c>
      <c r="E428" s="9" t="s">
        <v>4</v>
      </c>
      <c r="F428" s="12" t="s">
        <v>53</v>
      </c>
      <c r="G428" s="12" t="s">
        <v>77</v>
      </c>
      <c r="H428" s="12" t="s">
        <v>78</v>
      </c>
    </row>
    <row r="429" spans="1:8" s="1" customFormat="1" ht="45" customHeight="1">
      <c r="A429" s="9">
        <v>427</v>
      </c>
      <c r="B429" s="14" t="s">
        <v>34</v>
      </c>
      <c r="C429" s="14" t="str">
        <f>"200620111715"</f>
        <v>200620111715</v>
      </c>
      <c r="D429" s="14" t="str">
        <f>"谭欣琼"</f>
        <v>谭欣琼</v>
      </c>
      <c r="E429" s="9" t="s">
        <v>4</v>
      </c>
      <c r="F429" s="12" t="s">
        <v>53</v>
      </c>
      <c r="G429" s="12" t="s">
        <v>77</v>
      </c>
      <c r="H429" s="12" t="s">
        <v>78</v>
      </c>
    </row>
    <row r="430" spans="1:8" s="1" customFormat="1" ht="45" customHeight="1">
      <c r="A430" s="9">
        <v>428</v>
      </c>
      <c r="B430" s="14" t="s">
        <v>34</v>
      </c>
      <c r="C430" s="14" t="str">
        <f>"200620111430"</f>
        <v>200620111430</v>
      </c>
      <c r="D430" s="14" t="str">
        <f>"尹勤"</f>
        <v>尹勤</v>
      </c>
      <c r="E430" s="11" t="s">
        <v>4</v>
      </c>
      <c r="F430" s="12" t="s">
        <v>53</v>
      </c>
      <c r="G430" s="12" t="s">
        <v>77</v>
      </c>
      <c r="H430" s="12" t="s">
        <v>78</v>
      </c>
    </row>
    <row r="431" spans="1:8" s="1" customFormat="1" ht="45" customHeight="1">
      <c r="A431" s="9">
        <v>429</v>
      </c>
      <c r="B431" s="14" t="s">
        <v>34</v>
      </c>
      <c r="C431" s="14" t="str">
        <f>"200620111502"</f>
        <v>200620111502</v>
      </c>
      <c r="D431" s="14" t="str">
        <f>"曾桑"</f>
        <v>曾桑</v>
      </c>
      <c r="E431" s="9" t="s">
        <v>4</v>
      </c>
      <c r="F431" s="12" t="s">
        <v>53</v>
      </c>
      <c r="G431" s="12" t="s">
        <v>77</v>
      </c>
      <c r="H431" s="12" t="s">
        <v>78</v>
      </c>
    </row>
    <row r="432" spans="1:8" s="1" customFormat="1" ht="45" customHeight="1">
      <c r="A432" s="9">
        <v>430</v>
      </c>
      <c r="B432" s="14" t="s">
        <v>34</v>
      </c>
      <c r="C432" s="14" t="str">
        <f>"200620111606"</f>
        <v>200620111606</v>
      </c>
      <c r="D432" s="14" t="str">
        <f>"刘美红"</f>
        <v>刘美红</v>
      </c>
      <c r="E432" s="11" t="s">
        <v>4</v>
      </c>
      <c r="F432" s="12" t="s">
        <v>53</v>
      </c>
      <c r="G432" s="12" t="s">
        <v>77</v>
      </c>
      <c r="H432" s="12" t="s">
        <v>78</v>
      </c>
    </row>
    <row r="433" spans="1:8" s="1" customFormat="1" ht="45" customHeight="1">
      <c r="A433" s="9">
        <v>431</v>
      </c>
      <c r="B433" s="14" t="s">
        <v>34</v>
      </c>
      <c r="C433" s="14" t="str">
        <f>"200620111424"</f>
        <v>200620111424</v>
      </c>
      <c r="D433" s="14" t="str">
        <f>"谭少晋"</f>
        <v>谭少晋</v>
      </c>
      <c r="E433" s="9" t="s">
        <v>4</v>
      </c>
      <c r="F433" s="12" t="s">
        <v>53</v>
      </c>
      <c r="G433" s="12" t="s">
        <v>77</v>
      </c>
      <c r="H433" s="12" t="s">
        <v>78</v>
      </c>
    </row>
    <row r="434" spans="1:8" s="1" customFormat="1" ht="45" customHeight="1" thickBot="1">
      <c r="A434" s="25">
        <v>432</v>
      </c>
      <c r="B434" s="26" t="s">
        <v>34</v>
      </c>
      <c r="C434" s="26" t="str">
        <f>"200620111620"</f>
        <v>200620111620</v>
      </c>
      <c r="D434" s="26" t="str">
        <f>"周珍琪"</f>
        <v>周珍琪</v>
      </c>
      <c r="E434" s="25" t="s">
        <v>4</v>
      </c>
      <c r="F434" s="19" t="s">
        <v>53</v>
      </c>
      <c r="G434" s="19" t="s">
        <v>77</v>
      </c>
      <c r="H434" s="19" t="s">
        <v>78</v>
      </c>
    </row>
    <row r="435" spans="1:8" s="1" customFormat="1" ht="45" customHeight="1" thickTop="1">
      <c r="A435" s="11">
        <v>433</v>
      </c>
      <c r="B435" s="14" t="s">
        <v>37</v>
      </c>
      <c r="C435" s="14" t="str">
        <f>"200620122715"</f>
        <v>200620122715</v>
      </c>
      <c r="D435" s="14" t="str">
        <f>"戴敏军"</f>
        <v>戴敏军</v>
      </c>
      <c r="E435" s="11" t="s">
        <v>4</v>
      </c>
      <c r="F435" s="12" t="s">
        <v>54</v>
      </c>
      <c r="G435" s="12" t="s">
        <v>62</v>
      </c>
      <c r="H435" s="12" t="s">
        <v>63</v>
      </c>
    </row>
    <row r="436" spans="1:8" s="1" customFormat="1" ht="45" customHeight="1">
      <c r="A436" s="9">
        <v>434</v>
      </c>
      <c r="B436" s="14" t="s">
        <v>37</v>
      </c>
      <c r="C436" s="14" t="str">
        <f>"200620122705"</f>
        <v>200620122705</v>
      </c>
      <c r="D436" s="14" t="str">
        <f>"刘高群"</f>
        <v>刘高群</v>
      </c>
      <c r="E436" s="11" t="s">
        <v>4</v>
      </c>
      <c r="F436" s="12" t="s">
        <v>54</v>
      </c>
      <c r="G436" s="12" t="s">
        <v>62</v>
      </c>
      <c r="H436" s="12" t="s">
        <v>63</v>
      </c>
    </row>
    <row r="437" spans="1:8" s="1" customFormat="1" ht="45" customHeight="1">
      <c r="A437" s="9">
        <v>435</v>
      </c>
      <c r="B437" s="14" t="s">
        <v>37</v>
      </c>
      <c r="C437" s="14" t="str">
        <f>"200620122820"</f>
        <v>200620122820</v>
      </c>
      <c r="D437" s="14" t="str">
        <f>"廖秀兰"</f>
        <v>廖秀兰</v>
      </c>
      <c r="E437" s="11" t="s">
        <v>4</v>
      </c>
      <c r="F437" s="12" t="s">
        <v>54</v>
      </c>
      <c r="G437" s="12" t="s">
        <v>62</v>
      </c>
      <c r="H437" s="12" t="s">
        <v>63</v>
      </c>
    </row>
    <row r="438" spans="1:8" s="1" customFormat="1" ht="45" customHeight="1">
      <c r="A438" s="9">
        <v>436</v>
      </c>
      <c r="B438" s="14" t="s">
        <v>37</v>
      </c>
      <c r="C438" s="14" t="str">
        <f>"200620122814"</f>
        <v>200620122814</v>
      </c>
      <c r="D438" s="14" t="str">
        <f>"曾婧岚"</f>
        <v>曾婧岚</v>
      </c>
      <c r="E438" s="9" t="s">
        <v>4</v>
      </c>
      <c r="F438" s="12" t="s">
        <v>54</v>
      </c>
      <c r="G438" s="12" t="s">
        <v>62</v>
      </c>
      <c r="H438" s="12" t="s">
        <v>63</v>
      </c>
    </row>
    <row r="439" spans="1:8" s="1" customFormat="1" ht="45" customHeight="1">
      <c r="A439" s="9">
        <v>437</v>
      </c>
      <c r="B439" s="14" t="s">
        <v>37</v>
      </c>
      <c r="C439" s="14" t="str">
        <f>"200620122829"</f>
        <v>200620122829</v>
      </c>
      <c r="D439" s="14" t="str">
        <f>"贺桃花"</f>
        <v>贺桃花</v>
      </c>
      <c r="E439" s="9" t="s">
        <v>4</v>
      </c>
      <c r="F439" s="12" t="s">
        <v>54</v>
      </c>
      <c r="G439" s="12" t="s">
        <v>62</v>
      </c>
      <c r="H439" s="12" t="s">
        <v>63</v>
      </c>
    </row>
    <row r="440" spans="1:8" s="1" customFormat="1" ht="45" customHeight="1">
      <c r="A440" s="9">
        <v>438</v>
      </c>
      <c r="B440" s="14" t="s">
        <v>37</v>
      </c>
      <c r="C440" s="14" t="str">
        <f>"200620123011"</f>
        <v>200620123011</v>
      </c>
      <c r="D440" s="14" t="str">
        <f>"黄金凤"</f>
        <v>黄金凤</v>
      </c>
      <c r="E440" s="9" t="s">
        <v>4</v>
      </c>
      <c r="F440" s="12" t="s">
        <v>54</v>
      </c>
      <c r="G440" s="12" t="s">
        <v>62</v>
      </c>
      <c r="H440" s="12" t="s">
        <v>63</v>
      </c>
    </row>
    <row r="441" spans="1:8" s="1" customFormat="1" ht="45" customHeight="1">
      <c r="A441" s="9">
        <v>439</v>
      </c>
      <c r="B441" s="14" t="s">
        <v>37</v>
      </c>
      <c r="C441" s="14" t="str">
        <f>"200620122909"</f>
        <v>200620122909</v>
      </c>
      <c r="D441" s="14" t="str">
        <f>"刘敏"</f>
        <v>刘敏</v>
      </c>
      <c r="E441" s="11" t="s">
        <v>4</v>
      </c>
      <c r="F441" s="12" t="s">
        <v>54</v>
      </c>
      <c r="G441" s="12" t="s">
        <v>62</v>
      </c>
      <c r="H441" s="12" t="s">
        <v>63</v>
      </c>
    </row>
    <row r="442" spans="1:8" s="1" customFormat="1" ht="45" customHeight="1">
      <c r="A442" s="9">
        <v>440</v>
      </c>
      <c r="B442" s="14" t="s">
        <v>37</v>
      </c>
      <c r="C442" s="14" t="str">
        <f>"200620123006"</f>
        <v>200620123006</v>
      </c>
      <c r="D442" s="14" t="str">
        <f>"王靓"</f>
        <v>王靓</v>
      </c>
      <c r="E442" s="9" t="s">
        <v>4</v>
      </c>
      <c r="F442" s="12" t="s">
        <v>54</v>
      </c>
      <c r="G442" s="12" t="s">
        <v>62</v>
      </c>
      <c r="H442" s="12" t="s">
        <v>63</v>
      </c>
    </row>
    <row r="443" spans="1:8" s="1" customFormat="1" ht="45" customHeight="1">
      <c r="A443" s="9">
        <v>441</v>
      </c>
      <c r="B443" s="14" t="s">
        <v>37</v>
      </c>
      <c r="C443" s="14" t="str">
        <f>"200620122629"</f>
        <v>200620122629</v>
      </c>
      <c r="D443" s="14" t="str">
        <f>"旷兴"</f>
        <v>旷兴</v>
      </c>
      <c r="E443" s="9" t="s">
        <v>4</v>
      </c>
      <c r="F443" s="12" t="s">
        <v>54</v>
      </c>
      <c r="G443" s="12" t="s">
        <v>62</v>
      </c>
      <c r="H443" s="12" t="s">
        <v>63</v>
      </c>
    </row>
    <row r="444" spans="1:8" s="1" customFormat="1" ht="45" customHeight="1">
      <c r="A444" s="9">
        <v>442</v>
      </c>
      <c r="B444" s="14" t="s">
        <v>37</v>
      </c>
      <c r="C444" s="14" t="str">
        <f>"200620122907"</f>
        <v>200620122907</v>
      </c>
      <c r="D444" s="14" t="str">
        <f>"彭露露"</f>
        <v>彭露露</v>
      </c>
      <c r="E444" s="16" t="s">
        <v>55</v>
      </c>
      <c r="F444" s="12" t="s">
        <v>54</v>
      </c>
      <c r="G444" s="12" t="s">
        <v>62</v>
      </c>
      <c r="H444" s="12" t="s">
        <v>63</v>
      </c>
    </row>
    <row r="445" spans="1:8" s="1" customFormat="1" ht="45" customHeight="1">
      <c r="A445" s="9">
        <v>443</v>
      </c>
      <c r="B445" s="14" t="s">
        <v>37</v>
      </c>
      <c r="C445" s="14" t="str">
        <f>"200620122908"</f>
        <v>200620122908</v>
      </c>
      <c r="D445" s="14" t="str">
        <f>"谭丽文"</f>
        <v>谭丽文</v>
      </c>
      <c r="E445" s="9" t="s">
        <v>4</v>
      </c>
      <c r="F445" s="12" t="s">
        <v>54</v>
      </c>
      <c r="G445" s="12" t="s">
        <v>62</v>
      </c>
      <c r="H445" s="12" t="s">
        <v>63</v>
      </c>
    </row>
    <row r="446" spans="1:8" s="1" customFormat="1" ht="45" customHeight="1">
      <c r="A446" s="9">
        <v>444</v>
      </c>
      <c r="B446" s="14" t="s">
        <v>37</v>
      </c>
      <c r="C446" s="14" t="str">
        <f>"200620123110"</f>
        <v>200620123110</v>
      </c>
      <c r="D446" s="14" t="str">
        <f>"凌欢"</f>
        <v>凌欢</v>
      </c>
      <c r="E446" s="9" t="s">
        <v>4</v>
      </c>
      <c r="F446" s="12" t="s">
        <v>54</v>
      </c>
      <c r="G446" s="12" t="s">
        <v>62</v>
      </c>
      <c r="H446" s="12" t="s">
        <v>63</v>
      </c>
    </row>
    <row r="447" spans="1:8" s="1" customFormat="1" ht="45" customHeight="1">
      <c r="A447" s="9">
        <v>445</v>
      </c>
      <c r="B447" s="14" t="s">
        <v>37</v>
      </c>
      <c r="C447" s="14" t="str">
        <f>"200620123005"</f>
        <v>200620123005</v>
      </c>
      <c r="D447" s="14" t="str">
        <f>"张茜"</f>
        <v>张茜</v>
      </c>
      <c r="E447" s="9" t="s">
        <v>4</v>
      </c>
      <c r="F447" s="12" t="s">
        <v>54</v>
      </c>
      <c r="G447" s="12" t="s">
        <v>62</v>
      </c>
      <c r="H447" s="12" t="s">
        <v>63</v>
      </c>
    </row>
    <row r="448" spans="1:8" s="1" customFormat="1" ht="45" customHeight="1">
      <c r="A448" s="9">
        <v>446</v>
      </c>
      <c r="B448" s="14" t="s">
        <v>37</v>
      </c>
      <c r="C448" s="14" t="str">
        <f>"200620123020"</f>
        <v>200620123020</v>
      </c>
      <c r="D448" s="14" t="str">
        <f>"刘秋华"</f>
        <v>刘秋华</v>
      </c>
      <c r="E448" s="9" t="s">
        <v>4</v>
      </c>
      <c r="F448" s="12" t="s">
        <v>54</v>
      </c>
      <c r="G448" s="12" t="s">
        <v>62</v>
      </c>
      <c r="H448" s="12" t="s">
        <v>63</v>
      </c>
    </row>
    <row r="449" spans="1:8" s="1" customFormat="1" ht="45" customHeight="1">
      <c r="A449" s="9">
        <v>447</v>
      </c>
      <c r="B449" s="14" t="s">
        <v>37</v>
      </c>
      <c r="C449" s="14" t="str">
        <f>"200620122618"</f>
        <v>200620122618</v>
      </c>
      <c r="D449" s="14" t="str">
        <f>"刘利君"</f>
        <v>刘利君</v>
      </c>
      <c r="E449" s="9" t="s">
        <v>4</v>
      </c>
      <c r="F449" s="12" t="s">
        <v>54</v>
      </c>
      <c r="G449" s="12" t="s">
        <v>62</v>
      </c>
      <c r="H449" s="12" t="s">
        <v>63</v>
      </c>
    </row>
    <row r="450" spans="1:8" s="1" customFormat="1" ht="45" customHeight="1">
      <c r="A450" s="9">
        <v>448</v>
      </c>
      <c r="B450" s="14" t="s">
        <v>37</v>
      </c>
      <c r="C450" s="14" t="str">
        <f>"200620122614"</f>
        <v>200620122614</v>
      </c>
      <c r="D450" s="14" t="str">
        <f>"陈芊"</f>
        <v>陈芊</v>
      </c>
      <c r="E450" s="9" t="s">
        <v>4</v>
      </c>
      <c r="F450" s="12" t="s">
        <v>54</v>
      </c>
      <c r="G450" s="12" t="s">
        <v>62</v>
      </c>
      <c r="H450" s="12" t="s">
        <v>63</v>
      </c>
    </row>
    <row r="451" spans="1:8" s="1" customFormat="1" ht="45" customHeight="1">
      <c r="A451" s="9">
        <v>449</v>
      </c>
      <c r="B451" s="14" t="s">
        <v>37</v>
      </c>
      <c r="C451" s="14" t="str">
        <f>"200620122804"</f>
        <v>200620122804</v>
      </c>
      <c r="D451" s="14" t="str">
        <f>"葛心媛"</f>
        <v>葛心媛</v>
      </c>
      <c r="E451" s="9" t="s">
        <v>4</v>
      </c>
      <c r="F451" s="12" t="s">
        <v>54</v>
      </c>
      <c r="G451" s="12" t="s">
        <v>62</v>
      </c>
      <c r="H451" s="12" t="s">
        <v>63</v>
      </c>
    </row>
    <row r="452" spans="1:8" s="1" customFormat="1" ht="45" customHeight="1">
      <c r="A452" s="9">
        <v>450</v>
      </c>
      <c r="B452" s="14" t="s">
        <v>37</v>
      </c>
      <c r="C452" s="14" t="str">
        <f>"200620122812"</f>
        <v>200620122812</v>
      </c>
      <c r="D452" s="14" t="str">
        <f>"阳莹"</f>
        <v>阳莹</v>
      </c>
      <c r="E452" s="9" t="s">
        <v>55</v>
      </c>
      <c r="F452" s="12" t="s">
        <v>54</v>
      </c>
      <c r="G452" s="12" t="s">
        <v>62</v>
      </c>
      <c r="H452" s="12" t="s">
        <v>63</v>
      </c>
    </row>
    <row r="453" spans="1:8" s="1" customFormat="1" ht="45" customHeight="1">
      <c r="A453" s="9">
        <v>451</v>
      </c>
      <c r="B453" s="14" t="s">
        <v>37</v>
      </c>
      <c r="C453" s="14" t="str">
        <f>"200620122703"</f>
        <v>200620122703</v>
      </c>
      <c r="D453" s="14" t="str">
        <f>"彭清"</f>
        <v>彭清</v>
      </c>
      <c r="E453" s="9" t="s">
        <v>4</v>
      </c>
      <c r="F453" s="12" t="s">
        <v>54</v>
      </c>
      <c r="G453" s="12" t="s">
        <v>62</v>
      </c>
      <c r="H453" s="12" t="s">
        <v>63</v>
      </c>
    </row>
    <row r="454" spans="1:8" s="1" customFormat="1" ht="45" customHeight="1">
      <c r="A454" s="9">
        <v>452</v>
      </c>
      <c r="B454" s="14" t="s">
        <v>37</v>
      </c>
      <c r="C454" s="14" t="str">
        <f>"200620123009"</f>
        <v>200620123009</v>
      </c>
      <c r="D454" s="14" t="str">
        <f>"肖婷婷"</f>
        <v>肖婷婷</v>
      </c>
      <c r="E454" s="9" t="s">
        <v>4</v>
      </c>
      <c r="F454" s="12" t="s">
        <v>54</v>
      </c>
      <c r="G454" s="12" t="s">
        <v>62</v>
      </c>
      <c r="H454" s="12" t="s">
        <v>63</v>
      </c>
    </row>
    <row r="455" spans="1:8" s="1" customFormat="1" ht="45" customHeight="1">
      <c r="A455" s="9">
        <v>453</v>
      </c>
      <c r="B455" s="14" t="s">
        <v>37</v>
      </c>
      <c r="C455" s="14" t="str">
        <f>"200620122918"</f>
        <v>200620122918</v>
      </c>
      <c r="D455" s="14" t="str">
        <f>"刘静漩"</f>
        <v>刘静漩</v>
      </c>
      <c r="E455" s="9" t="s">
        <v>4</v>
      </c>
      <c r="F455" s="12" t="s">
        <v>54</v>
      </c>
      <c r="G455" s="12" t="s">
        <v>62</v>
      </c>
      <c r="H455" s="12" t="s">
        <v>63</v>
      </c>
    </row>
    <row r="456" spans="1:8" s="1" customFormat="1" ht="45" customHeight="1">
      <c r="A456" s="9">
        <v>454</v>
      </c>
      <c r="B456" s="14" t="s">
        <v>37</v>
      </c>
      <c r="C456" s="14" t="str">
        <f>"200620122722"</f>
        <v>200620122722</v>
      </c>
      <c r="D456" s="14" t="str">
        <f>"曾倩"</f>
        <v>曾倩</v>
      </c>
      <c r="E456" s="9" t="s">
        <v>4</v>
      </c>
      <c r="F456" s="12" t="s">
        <v>54</v>
      </c>
      <c r="G456" s="12" t="s">
        <v>62</v>
      </c>
      <c r="H456" s="12" t="s">
        <v>63</v>
      </c>
    </row>
    <row r="457" spans="1:8" s="1" customFormat="1" ht="45" customHeight="1">
      <c r="A457" s="9">
        <v>455</v>
      </c>
      <c r="B457" s="14" t="s">
        <v>37</v>
      </c>
      <c r="C457" s="14" t="str">
        <f>"200620123012"</f>
        <v>200620123012</v>
      </c>
      <c r="D457" s="14" t="str">
        <f>"文妙"</f>
        <v>文妙</v>
      </c>
      <c r="E457" s="9" t="s">
        <v>4</v>
      </c>
      <c r="F457" s="12" t="s">
        <v>54</v>
      </c>
      <c r="G457" s="12" t="s">
        <v>62</v>
      </c>
      <c r="H457" s="12" t="s">
        <v>63</v>
      </c>
    </row>
    <row r="458" spans="1:8" s="1" customFormat="1" ht="45" customHeight="1">
      <c r="A458" s="9">
        <v>456</v>
      </c>
      <c r="B458" s="14" t="s">
        <v>37</v>
      </c>
      <c r="C458" s="14" t="str">
        <f>"200620122922"</f>
        <v>200620122922</v>
      </c>
      <c r="D458" s="14" t="str">
        <f>"游园园"</f>
        <v>游园园</v>
      </c>
      <c r="E458" s="9" t="s">
        <v>4</v>
      </c>
      <c r="F458" s="12" t="s">
        <v>54</v>
      </c>
      <c r="G458" s="12" t="s">
        <v>62</v>
      </c>
      <c r="H458" s="12" t="s">
        <v>63</v>
      </c>
    </row>
    <row r="459" spans="1:8" s="1" customFormat="1" ht="45" customHeight="1">
      <c r="A459" s="9">
        <v>457</v>
      </c>
      <c r="B459" s="14" t="s">
        <v>37</v>
      </c>
      <c r="C459" s="14" t="str">
        <f>"200620122826"</f>
        <v>200620122826</v>
      </c>
      <c r="D459" s="14" t="str">
        <f>"鲁婵"</f>
        <v>鲁婵</v>
      </c>
      <c r="E459" s="9" t="s">
        <v>4</v>
      </c>
      <c r="F459" s="12" t="s">
        <v>54</v>
      </c>
      <c r="G459" s="12" t="s">
        <v>62</v>
      </c>
      <c r="H459" s="12" t="s">
        <v>63</v>
      </c>
    </row>
    <row r="460" spans="1:8" s="1" customFormat="1" ht="45" customHeight="1">
      <c r="A460" s="9">
        <v>458</v>
      </c>
      <c r="B460" s="14" t="s">
        <v>37</v>
      </c>
      <c r="C460" s="14" t="str">
        <f>"200620122625"</f>
        <v>200620122625</v>
      </c>
      <c r="D460" s="14" t="str">
        <f>"欧阳师"</f>
        <v>欧阳师</v>
      </c>
      <c r="E460" s="9" t="s">
        <v>4</v>
      </c>
      <c r="F460" s="12" t="s">
        <v>54</v>
      </c>
      <c r="G460" s="12" t="s">
        <v>62</v>
      </c>
      <c r="H460" s="12" t="s">
        <v>63</v>
      </c>
    </row>
    <row r="461" spans="1:8" s="1" customFormat="1" ht="45" customHeight="1">
      <c r="A461" s="9">
        <v>459</v>
      </c>
      <c r="B461" s="14" t="s">
        <v>37</v>
      </c>
      <c r="C461" s="14" t="str">
        <f>"200620122709"</f>
        <v>200620122709</v>
      </c>
      <c r="D461" s="14" t="str">
        <f>"谢漫川"</f>
        <v>谢漫川</v>
      </c>
      <c r="E461" s="9" t="s">
        <v>4</v>
      </c>
      <c r="F461" s="12" t="s">
        <v>54</v>
      </c>
      <c r="G461" s="12" t="s">
        <v>62</v>
      </c>
      <c r="H461" s="12" t="s">
        <v>63</v>
      </c>
    </row>
    <row r="462" spans="1:8" s="1" customFormat="1" ht="45" customHeight="1">
      <c r="A462" s="9">
        <v>460</v>
      </c>
      <c r="B462" s="14" t="s">
        <v>37</v>
      </c>
      <c r="C462" s="14" t="str">
        <f>"200620122926"</f>
        <v>200620122926</v>
      </c>
      <c r="D462" s="14" t="str">
        <f>"罗珊妮"</f>
        <v>罗珊妮</v>
      </c>
      <c r="E462" s="9" t="s">
        <v>4</v>
      </c>
      <c r="F462" s="12" t="s">
        <v>54</v>
      </c>
      <c r="G462" s="12" t="s">
        <v>62</v>
      </c>
      <c r="H462" s="12" t="s">
        <v>63</v>
      </c>
    </row>
    <row r="463" spans="1:8" s="1" customFormat="1" ht="45" customHeight="1">
      <c r="A463" s="9">
        <v>461</v>
      </c>
      <c r="B463" s="14" t="s">
        <v>37</v>
      </c>
      <c r="C463" s="14" t="str">
        <f>"200620122710"</f>
        <v>200620122710</v>
      </c>
      <c r="D463" s="14" t="str">
        <f>"詹飘"</f>
        <v>詹飘</v>
      </c>
      <c r="E463" s="9" t="s">
        <v>4</v>
      </c>
      <c r="F463" s="12" t="s">
        <v>54</v>
      </c>
      <c r="G463" s="12" t="s">
        <v>62</v>
      </c>
      <c r="H463" s="12" t="s">
        <v>63</v>
      </c>
    </row>
    <row r="464" spans="1:8" s="1" customFormat="1" ht="45" customHeight="1">
      <c r="A464" s="9">
        <v>462</v>
      </c>
      <c r="B464" s="14" t="s">
        <v>37</v>
      </c>
      <c r="C464" s="14" t="str">
        <f>"200620122809"</f>
        <v>200620122809</v>
      </c>
      <c r="D464" s="14" t="str">
        <f>"佘芳"</f>
        <v>佘芳</v>
      </c>
      <c r="E464" s="9" t="s">
        <v>4</v>
      </c>
      <c r="F464" s="12" t="s">
        <v>54</v>
      </c>
      <c r="G464" s="12" t="s">
        <v>62</v>
      </c>
      <c r="H464" s="12" t="s">
        <v>63</v>
      </c>
    </row>
    <row r="465" spans="1:11" s="1" customFormat="1" ht="45" customHeight="1">
      <c r="A465" s="9">
        <v>463</v>
      </c>
      <c r="B465" s="14" t="s">
        <v>37</v>
      </c>
      <c r="C465" s="14" t="str">
        <f>"200620122602"</f>
        <v>200620122602</v>
      </c>
      <c r="D465" s="14" t="str">
        <f>"李君"</f>
        <v>李君</v>
      </c>
      <c r="E465" s="9" t="s">
        <v>4</v>
      </c>
      <c r="F465" s="12" t="s">
        <v>54</v>
      </c>
      <c r="G465" s="12" t="s">
        <v>62</v>
      </c>
      <c r="H465" s="12" t="s">
        <v>63</v>
      </c>
    </row>
    <row r="466" spans="1:11" s="1" customFormat="1" ht="45" customHeight="1">
      <c r="A466" s="9">
        <v>464</v>
      </c>
      <c r="B466" s="14" t="s">
        <v>37</v>
      </c>
      <c r="C466" s="14" t="str">
        <f>"200620122911"</f>
        <v>200620122911</v>
      </c>
      <c r="D466" s="14" t="str">
        <f>"陈雪梅"</f>
        <v>陈雪梅</v>
      </c>
      <c r="E466" s="9" t="s">
        <v>4</v>
      </c>
      <c r="F466" s="12" t="s">
        <v>54</v>
      </c>
      <c r="G466" s="12" t="s">
        <v>62</v>
      </c>
      <c r="H466" s="12" t="s">
        <v>63</v>
      </c>
    </row>
    <row r="467" spans="1:11" s="1" customFormat="1" ht="45" customHeight="1">
      <c r="A467" s="9">
        <v>465</v>
      </c>
      <c r="B467" s="14" t="s">
        <v>37</v>
      </c>
      <c r="C467" s="14" t="str">
        <f>"200620122701"</f>
        <v>200620122701</v>
      </c>
      <c r="D467" s="14" t="str">
        <f>"王妍"</f>
        <v>王妍</v>
      </c>
      <c r="E467" s="9" t="s">
        <v>4</v>
      </c>
      <c r="F467" s="12" t="s">
        <v>54</v>
      </c>
      <c r="G467" s="12" t="s">
        <v>62</v>
      </c>
      <c r="H467" s="12" t="s">
        <v>63</v>
      </c>
    </row>
    <row r="468" spans="1:11" s="1" customFormat="1" ht="45" customHeight="1">
      <c r="A468" s="9">
        <v>466</v>
      </c>
      <c r="B468" s="14" t="s">
        <v>37</v>
      </c>
      <c r="C468" s="14" t="str">
        <f>"200620122723"</f>
        <v>200620122723</v>
      </c>
      <c r="D468" s="14" t="str">
        <f>"颜榆哲"</f>
        <v>颜榆哲</v>
      </c>
      <c r="E468" s="9" t="s">
        <v>4</v>
      </c>
      <c r="F468" s="12" t="s">
        <v>54</v>
      </c>
      <c r="G468" s="12" t="s">
        <v>62</v>
      </c>
      <c r="H468" s="12" t="s">
        <v>63</v>
      </c>
    </row>
    <row r="469" spans="1:11" s="1" customFormat="1" ht="45" customHeight="1">
      <c r="A469" s="9">
        <v>467</v>
      </c>
      <c r="B469" s="14" t="s">
        <v>37</v>
      </c>
      <c r="C469" s="14" t="str">
        <f>"200620123025"</f>
        <v>200620123025</v>
      </c>
      <c r="D469" s="14" t="str">
        <f>"喻接贵"</f>
        <v>喻接贵</v>
      </c>
      <c r="E469" s="9" t="s">
        <v>4</v>
      </c>
      <c r="F469" s="12" t="s">
        <v>54</v>
      </c>
      <c r="G469" s="12" t="s">
        <v>62</v>
      </c>
      <c r="H469" s="12" t="s">
        <v>63</v>
      </c>
    </row>
    <row r="470" spans="1:11" s="1" customFormat="1" ht="45" customHeight="1">
      <c r="A470" s="9">
        <v>468</v>
      </c>
      <c r="B470" s="14" t="s">
        <v>37</v>
      </c>
      <c r="C470" s="14" t="str">
        <f>"200620123010"</f>
        <v>200620123010</v>
      </c>
      <c r="D470" s="14" t="str">
        <f>"施林元"</f>
        <v>施林元</v>
      </c>
      <c r="E470" s="9" t="s">
        <v>4</v>
      </c>
      <c r="F470" s="12" t="s">
        <v>54</v>
      </c>
      <c r="G470" s="12" t="s">
        <v>62</v>
      </c>
      <c r="H470" s="12" t="s">
        <v>63</v>
      </c>
    </row>
    <row r="471" spans="1:11" s="1" customFormat="1" ht="45" customHeight="1">
      <c r="A471" s="9">
        <v>469</v>
      </c>
      <c r="B471" s="14" t="s">
        <v>37</v>
      </c>
      <c r="C471" s="14" t="str">
        <f>"200620122702"</f>
        <v>200620122702</v>
      </c>
      <c r="D471" s="14" t="str">
        <f>"谢凤"</f>
        <v>谢凤</v>
      </c>
      <c r="E471" s="9" t="s">
        <v>4</v>
      </c>
      <c r="F471" s="12" t="s">
        <v>54</v>
      </c>
      <c r="G471" s="12" t="s">
        <v>62</v>
      </c>
      <c r="H471" s="12" t="s">
        <v>63</v>
      </c>
    </row>
    <row r="472" spans="1:11" s="1" customFormat="1" ht="45" customHeight="1">
      <c r="A472" s="9">
        <v>470</v>
      </c>
      <c r="B472" s="10" t="s">
        <v>37</v>
      </c>
      <c r="C472" s="10" t="str">
        <f>"200620122714"</f>
        <v>200620122714</v>
      </c>
      <c r="D472" s="10" t="str">
        <f>"胡舒慧"</f>
        <v>胡舒慧</v>
      </c>
      <c r="E472" s="9" t="s">
        <v>4</v>
      </c>
      <c r="F472" s="12" t="s">
        <v>54</v>
      </c>
      <c r="G472" s="12" t="s">
        <v>62</v>
      </c>
      <c r="H472" s="12" t="s">
        <v>63</v>
      </c>
    </row>
    <row r="473" spans="1:11" s="1" customFormat="1" ht="45" customHeight="1">
      <c r="A473" s="9">
        <v>471</v>
      </c>
      <c r="B473" s="14" t="s">
        <v>37</v>
      </c>
      <c r="C473" s="14" t="str">
        <f>"200620122930"</f>
        <v>200620122930</v>
      </c>
      <c r="D473" s="14" t="str">
        <f>"张丽"</f>
        <v>张丽</v>
      </c>
      <c r="E473" s="9" t="s">
        <v>4</v>
      </c>
      <c r="F473" s="12" t="s">
        <v>54</v>
      </c>
      <c r="G473" s="12" t="s">
        <v>62</v>
      </c>
      <c r="H473" s="12" t="s">
        <v>63</v>
      </c>
    </row>
    <row r="474" spans="1:11" s="1" customFormat="1" ht="45" customHeight="1">
      <c r="A474" s="9">
        <v>472</v>
      </c>
      <c r="B474" s="14" t="s">
        <v>37</v>
      </c>
      <c r="C474" s="14" t="str">
        <f>"200620123107"</f>
        <v>200620123107</v>
      </c>
      <c r="D474" s="14" t="str">
        <f>"谢群英"</f>
        <v>谢群英</v>
      </c>
      <c r="E474" s="9" t="s">
        <v>4</v>
      </c>
      <c r="F474" s="12" t="s">
        <v>54</v>
      </c>
      <c r="G474" s="12" t="s">
        <v>62</v>
      </c>
      <c r="H474" s="12" t="s">
        <v>63</v>
      </c>
    </row>
    <row r="475" spans="1:11" s="1" customFormat="1" ht="45" customHeight="1">
      <c r="A475" s="9">
        <v>473</v>
      </c>
      <c r="B475" s="10" t="s">
        <v>39</v>
      </c>
      <c r="C475" s="10" t="str">
        <f>"200620123411"</f>
        <v>200620123411</v>
      </c>
      <c r="D475" s="10" t="str">
        <f>"章雅凯"</f>
        <v>章雅凯</v>
      </c>
      <c r="E475" s="11" t="s">
        <v>4</v>
      </c>
      <c r="F475" s="12" t="s">
        <v>54</v>
      </c>
      <c r="G475" s="12" t="s">
        <v>62</v>
      </c>
      <c r="H475" s="12" t="s">
        <v>63</v>
      </c>
    </row>
    <row r="476" spans="1:11" s="1" customFormat="1" ht="45" customHeight="1">
      <c r="A476" s="9">
        <v>474</v>
      </c>
      <c r="B476" s="14" t="s">
        <v>39</v>
      </c>
      <c r="C476" s="14" t="str">
        <f>"200620123424"</f>
        <v>200620123424</v>
      </c>
      <c r="D476" s="14" t="str">
        <f>"江丽蓉"</f>
        <v>江丽蓉</v>
      </c>
      <c r="E476" s="9" t="s">
        <v>4</v>
      </c>
      <c r="F476" s="12" t="s">
        <v>54</v>
      </c>
      <c r="G476" s="12" t="s">
        <v>62</v>
      </c>
      <c r="H476" s="12" t="s">
        <v>63</v>
      </c>
    </row>
    <row r="477" spans="1:11" s="1" customFormat="1" ht="45" customHeight="1">
      <c r="A477" s="9">
        <v>475</v>
      </c>
      <c r="B477" s="14" t="s">
        <v>39</v>
      </c>
      <c r="C477" s="14" t="str">
        <f>"200620123412"</f>
        <v>200620123412</v>
      </c>
      <c r="D477" s="14" t="str">
        <f>"卢晓章"</f>
        <v>卢晓章</v>
      </c>
      <c r="E477" s="9" t="s">
        <v>4</v>
      </c>
      <c r="F477" s="12" t="s">
        <v>54</v>
      </c>
      <c r="G477" s="12" t="s">
        <v>62</v>
      </c>
      <c r="H477" s="12" t="s">
        <v>63</v>
      </c>
    </row>
    <row r="478" spans="1:11" s="1" customFormat="1" ht="45" customHeight="1">
      <c r="A478" s="9">
        <v>476</v>
      </c>
      <c r="B478" s="14" t="s">
        <v>39</v>
      </c>
      <c r="C478" s="14" t="str">
        <f>"200620123425"</f>
        <v>200620123425</v>
      </c>
      <c r="D478" s="14" t="str">
        <f>"陈淑婷"</f>
        <v>陈淑婷</v>
      </c>
      <c r="E478" s="9" t="s">
        <v>4</v>
      </c>
      <c r="F478" s="12" t="s">
        <v>54</v>
      </c>
      <c r="G478" s="12" t="s">
        <v>62</v>
      </c>
      <c r="H478" s="12" t="s">
        <v>63</v>
      </c>
    </row>
    <row r="479" spans="1:11" s="1" customFormat="1" ht="45" customHeight="1">
      <c r="A479" s="9">
        <v>477</v>
      </c>
      <c r="B479" s="14" t="s">
        <v>39</v>
      </c>
      <c r="C479" s="14" t="str">
        <f>"200620123421"</f>
        <v>200620123421</v>
      </c>
      <c r="D479" s="14" t="str">
        <f>"刘妍"</f>
        <v>刘妍</v>
      </c>
      <c r="E479" s="9" t="s">
        <v>4</v>
      </c>
      <c r="F479" s="12" t="s">
        <v>54</v>
      </c>
      <c r="G479" s="12" t="s">
        <v>62</v>
      </c>
      <c r="H479" s="12" t="s">
        <v>63</v>
      </c>
    </row>
    <row r="480" spans="1:11" s="2" customFormat="1" ht="45" customHeight="1">
      <c r="A480" s="9">
        <v>478</v>
      </c>
      <c r="B480" s="14" t="s">
        <v>39</v>
      </c>
      <c r="C480" s="14" t="str">
        <f>"200620123416"</f>
        <v>200620123416</v>
      </c>
      <c r="D480" s="14" t="str">
        <f>"陈洁窈"</f>
        <v>陈洁窈</v>
      </c>
      <c r="E480" s="9" t="s">
        <v>4</v>
      </c>
      <c r="F480" s="12" t="s">
        <v>54</v>
      </c>
      <c r="G480" s="12" t="s">
        <v>62</v>
      </c>
      <c r="H480" s="12" t="s">
        <v>63</v>
      </c>
      <c r="J480" s="1"/>
      <c r="K480" s="1"/>
    </row>
    <row r="481" spans="1:8" s="1" customFormat="1" ht="45" customHeight="1">
      <c r="A481" s="9">
        <v>479</v>
      </c>
      <c r="B481" s="14" t="s">
        <v>39</v>
      </c>
      <c r="C481" s="14" t="str">
        <f>"200620123414"</f>
        <v>200620123414</v>
      </c>
      <c r="D481" s="14" t="str">
        <f>"刘小凤"</f>
        <v>刘小凤</v>
      </c>
      <c r="E481" s="9" t="s">
        <v>4</v>
      </c>
      <c r="F481" s="12" t="s">
        <v>54</v>
      </c>
      <c r="G481" s="12" t="s">
        <v>62</v>
      </c>
      <c r="H481" s="12" t="s">
        <v>63</v>
      </c>
    </row>
    <row r="482" spans="1:8" s="1" customFormat="1" ht="45" customHeight="1">
      <c r="A482" s="9">
        <v>480</v>
      </c>
      <c r="B482" s="14" t="s">
        <v>39</v>
      </c>
      <c r="C482" s="14" t="str">
        <f>"200620123410"</f>
        <v>200620123410</v>
      </c>
      <c r="D482" s="14" t="str">
        <f>"唐静"</f>
        <v>唐静</v>
      </c>
      <c r="E482" s="9" t="s">
        <v>4</v>
      </c>
      <c r="F482" s="12" t="s">
        <v>54</v>
      </c>
      <c r="G482" s="12" t="s">
        <v>62</v>
      </c>
      <c r="H482" s="12" t="s">
        <v>63</v>
      </c>
    </row>
    <row r="483" spans="1:8" s="1" customFormat="1" ht="45" customHeight="1">
      <c r="A483" s="9">
        <v>481</v>
      </c>
      <c r="B483" s="14" t="s">
        <v>39</v>
      </c>
      <c r="C483" s="14" t="str">
        <f>"200620123427"</f>
        <v>200620123427</v>
      </c>
      <c r="D483" s="14" t="str">
        <f>"龙飞瑶"</f>
        <v>龙飞瑶</v>
      </c>
      <c r="E483" s="9" t="s">
        <v>55</v>
      </c>
      <c r="F483" s="12" t="s">
        <v>54</v>
      </c>
      <c r="G483" s="12" t="s">
        <v>62</v>
      </c>
      <c r="H483" s="12" t="s">
        <v>63</v>
      </c>
    </row>
    <row r="484" spans="1:8" s="1" customFormat="1" ht="45" customHeight="1">
      <c r="A484" s="9">
        <v>482</v>
      </c>
      <c r="B484" s="10" t="s">
        <v>16</v>
      </c>
      <c r="C484" s="10" t="str">
        <f>"200620123830"</f>
        <v>200620123830</v>
      </c>
      <c r="D484" s="10" t="str">
        <f>"郑爽"</f>
        <v>郑爽</v>
      </c>
      <c r="E484" s="11" t="s">
        <v>4</v>
      </c>
      <c r="F484" s="12" t="s">
        <v>54</v>
      </c>
      <c r="G484" s="12" t="s">
        <v>62</v>
      </c>
      <c r="H484" s="12" t="s">
        <v>63</v>
      </c>
    </row>
    <row r="485" spans="1:8" s="1" customFormat="1" ht="45" customHeight="1">
      <c r="A485" s="9">
        <v>483</v>
      </c>
      <c r="B485" s="14" t="s">
        <v>16</v>
      </c>
      <c r="C485" s="14" t="str">
        <f>"200620123730"</f>
        <v>200620123730</v>
      </c>
      <c r="D485" s="14" t="str">
        <f>"吴琪琴"</f>
        <v>吴琪琴</v>
      </c>
      <c r="E485" s="9" t="s">
        <v>4</v>
      </c>
      <c r="F485" s="12" t="s">
        <v>54</v>
      </c>
      <c r="G485" s="12" t="s">
        <v>62</v>
      </c>
      <c r="H485" s="12" t="s">
        <v>63</v>
      </c>
    </row>
    <row r="486" spans="1:8" s="1" customFormat="1" ht="45" customHeight="1">
      <c r="A486" s="9">
        <v>484</v>
      </c>
      <c r="B486" s="14" t="s">
        <v>16</v>
      </c>
      <c r="C486" s="14" t="str">
        <f>"200620123630"</f>
        <v>200620123630</v>
      </c>
      <c r="D486" s="14" t="str">
        <f>"陈苗苗"</f>
        <v>陈苗苗</v>
      </c>
      <c r="E486" s="9" t="s">
        <v>4</v>
      </c>
      <c r="F486" s="12" t="s">
        <v>54</v>
      </c>
      <c r="G486" s="12" t="s">
        <v>62</v>
      </c>
      <c r="H486" s="12" t="s">
        <v>63</v>
      </c>
    </row>
    <row r="487" spans="1:8" s="1" customFormat="1" ht="45" customHeight="1">
      <c r="A487" s="9">
        <v>485</v>
      </c>
      <c r="B487" s="14" t="s">
        <v>16</v>
      </c>
      <c r="C487" s="14" t="str">
        <f>"200620123817"</f>
        <v>200620123817</v>
      </c>
      <c r="D487" s="14" t="str">
        <f>"陈思婕"</f>
        <v>陈思婕</v>
      </c>
      <c r="E487" s="9" t="s">
        <v>4</v>
      </c>
      <c r="F487" s="12" t="s">
        <v>54</v>
      </c>
      <c r="G487" s="12" t="s">
        <v>62</v>
      </c>
      <c r="H487" s="12" t="s">
        <v>63</v>
      </c>
    </row>
    <row r="488" spans="1:8" s="1" customFormat="1" ht="45" customHeight="1">
      <c r="A488" s="9">
        <v>486</v>
      </c>
      <c r="B488" s="14" t="s">
        <v>16</v>
      </c>
      <c r="C488" s="14" t="str">
        <f>"200620123812"</f>
        <v>200620123812</v>
      </c>
      <c r="D488" s="14" t="str">
        <f>"胡边柳"</f>
        <v>胡边柳</v>
      </c>
      <c r="E488" s="11" t="s">
        <v>4</v>
      </c>
      <c r="F488" s="12" t="s">
        <v>54</v>
      </c>
      <c r="G488" s="12" t="s">
        <v>62</v>
      </c>
      <c r="H488" s="12" t="s">
        <v>63</v>
      </c>
    </row>
    <row r="489" spans="1:8" s="1" customFormat="1" ht="45" customHeight="1">
      <c r="A489" s="9">
        <v>487</v>
      </c>
      <c r="B489" s="14" t="s">
        <v>16</v>
      </c>
      <c r="C489" s="14" t="str">
        <f>"200620123832"</f>
        <v>200620123832</v>
      </c>
      <c r="D489" s="14" t="str">
        <f>"张延"</f>
        <v>张延</v>
      </c>
      <c r="E489" s="9" t="s">
        <v>4</v>
      </c>
      <c r="F489" s="12" t="s">
        <v>54</v>
      </c>
      <c r="G489" s="12" t="s">
        <v>62</v>
      </c>
      <c r="H489" s="12" t="s">
        <v>63</v>
      </c>
    </row>
    <row r="490" spans="1:8" s="1" customFormat="1" ht="45" customHeight="1">
      <c r="A490" s="9">
        <v>488</v>
      </c>
      <c r="B490" s="14" t="s">
        <v>16</v>
      </c>
      <c r="C490" s="14" t="str">
        <f>"200620123827"</f>
        <v>200620123827</v>
      </c>
      <c r="D490" s="14" t="str">
        <f>"何劲筠"</f>
        <v>何劲筠</v>
      </c>
      <c r="E490" s="9" t="s">
        <v>4</v>
      </c>
      <c r="F490" s="12" t="s">
        <v>54</v>
      </c>
      <c r="G490" s="12" t="s">
        <v>62</v>
      </c>
      <c r="H490" s="12" t="s">
        <v>63</v>
      </c>
    </row>
    <row r="491" spans="1:8" s="1" customFormat="1" ht="45" customHeight="1" thickBot="1">
      <c r="A491" s="25">
        <v>489</v>
      </c>
      <c r="B491" s="26" t="s">
        <v>16</v>
      </c>
      <c r="C491" s="26" t="str">
        <f>"200620123802"</f>
        <v>200620123802</v>
      </c>
      <c r="D491" s="26" t="str">
        <f>"刘谭琪"</f>
        <v>刘谭琪</v>
      </c>
      <c r="E491" s="25" t="s">
        <v>4</v>
      </c>
      <c r="F491" s="19" t="s">
        <v>54</v>
      </c>
      <c r="G491" s="19" t="s">
        <v>62</v>
      </c>
      <c r="H491" s="19" t="s">
        <v>63</v>
      </c>
    </row>
    <row r="492" spans="1:8" s="1" customFormat="1" ht="45" customHeight="1" thickTop="1">
      <c r="A492" s="11">
        <v>490</v>
      </c>
      <c r="B492" s="14" t="s">
        <v>38</v>
      </c>
      <c r="C492" s="14" t="str">
        <f>"200620123204"</f>
        <v>200620123204</v>
      </c>
      <c r="D492" s="14" t="str">
        <f>"陈淑会"</f>
        <v>陈淑会</v>
      </c>
      <c r="E492" s="11" t="s">
        <v>4</v>
      </c>
      <c r="F492" s="12" t="s">
        <v>54</v>
      </c>
      <c r="G492" s="12" t="s">
        <v>64</v>
      </c>
      <c r="H492" s="12" t="s">
        <v>65</v>
      </c>
    </row>
    <row r="493" spans="1:8" s="1" customFormat="1" ht="45" customHeight="1">
      <c r="A493" s="9">
        <v>491</v>
      </c>
      <c r="B493" s="14" t="s">
        <v>38</v>
      </c>
      <c r="C493" s="14" t="str">
        <f>"200620123329"</f>
        <v>200620123329</v>
      </c>
      <c r="D493" s="14" t="str">
        <f>"文丹"</f>
        <v>文丹</v>
      </c>
      <c r="E493" s="9" t="s">
        <v>4</v>
      </c>
      <c r="F493" s="12" t="s">
        <v>54</v>
      </c>
      <c r="G493" s="12" t="s">
        <v>64</v>
      </c>
      <c r="H493" s="12" t="s">
        <v>65</v>
      </c>
    </row>
    <row r="494" spans="1:8" s="1" customFormat="1" ht="45" customHeight="1">
      <c r="A494" s="9">
        <v>492</v>
      </c>
      <c r="B494" s="14" t="s">
        <v>38</v>
      </c>
      <c r="C494" s="14" t="str">
        <f>"200620123317"</f>
        <v>200620123317</v>
      </c>
      <c r="D494" s="14" t="str">
        <f>"谭凯霞"</f>
        <v>谭凯霞</v>
      </c>
      <c r="E494" s="9" t="s">
        <v>4</v>
      </c>
      <c r="F494" s="12" t="s">
        <v>54</v>
      </c>
      <c r="G494" s="12" t="s">
        <v>64</v>
      </c>
      <c r="H494" s="12" t="s">
        <v>65</v>
      </c>
    </row>
    <row r="495" spans="1:8" s="1" customFormat="1" ht="45" customHeight="1">
      <c r="A495" s="9">
        <v>493</v>
      </c>
      <c r="B495" s="14" t="s">
        <v>38</v>
      </c>
      <c r="C495" s="14" t="str">
        <f>"200620123321"</f>
        <v>200620123321</v>
      </c>
      <c r="D495" s="14" t="str">
        <f>"蒋贤丽"</f>
        <v>蒋贤丽</v>
      </c>
      <c r="E495" s="9" t="s">
        <v>4</v>
      </c>
      <c r="F495" s="12" t="s">
        <v>54</v>
      </c>
      <c r="G495" s="12" t="s">
        <v>64</v>
      </c>
      <c r="H495" s="12" t="s">
        <v>65</v>
      </c>
    </row>
    <row r="496" spans="1:8" s="1" customFormat="1" ht="45" customHeight="1">
      <c r="A496" s="9">
        <v>494</v>
      </c>
      <c r="B496" s="14" t="s">
        <v>38</v>
      </c>
      <c r="C496" s="14" t="str">
        <f>"200620123224"</f>
        <v>200620123224</v>
      </c>
      <c r="D496" s="14" t="str">
        <f>"周婷"</f>
        <v>周婷</v>
      </c>
      <c r="E496" s="9" t="s">
        <v>4</v>
      </c>
      <c r="F496" s="12" t="s">
        <v>54</v>
      </c>
      <c r="G496" s="12" t="s">
        <v>64</v>
      </c>
      <c r="H496" s="12" t="s">
        <v>65</v>
      </c>
    </row>
    <row r="497" spans="1:10" s="1" customFormat="1" ht="45" customHeight="1">
      <c r="A497" s="9">
        <v>495</v>
      </c>
      <c r="B497" s="14" t="s">
        <v>38</v>
      </c>
      <c r="C497" s="14" t="str">
        <f>"200620123222"</f>
        <v>200620123222</v>
      </c>
      <c r="D497" s="14" t="str">
        <f>"谭长富"</f>
        <v>谭长富</v>
      </c>
      <c r="E497" s="9" t="s">
        <v>4</v>
      </c>
      <c r="F497" s="12" t="s">
        <v>54</v>
      </c>
      <c r="G497" s="12" t="s">
        <v>64</v>
      </c>
      <c r="H497" s="12" t="s">
        <v>65</v>
      </c>
    </row>
    <row r="498" spans="1:10" ht="45" customHeight="1">
      <c r="A498" s="9">
        <v>496</v>
      </c>
      <c r="B498" s="14" t="s">
        <v>38</v>
      </c>
      <c r="C498" s="14" t="str">
        <f>"200620123303"</f>
        <v>200620123303</v>
      </c>
      <c r="D498" s="14" t="str">
        <f>"吴月红"</f>
        <v>吴月红</v>
      </c>
      <c r="E498" s="9" t="s">
        <v>55</v>
      </c>
      <c r="F498" s="12" t="s">
        <v>54</v>
      </c>
      <c r="G498" s="12" t="s">
        <v>64</v>
      </c>
      <c r="H498" s="12" t="s">
        <v>65</v>
      </c>
      <c r="J498" s="1"/>
    </row>
    <row r="499" spans="1:10" ht="45" customHeight="1">
      <c r="A499" s="9">
        <v>497</v>
      </c>
      <c r="B499" s="14" t="s">
        <v>38</v>
      </c>
      <c r="C499" s="14" t="str">
        <f>"200620123306"</f>
        <v>200620123306</v>
      </c>
      <c r="D499" s="14" t="str">
        <f>"段美容"</f>
        <v>段美容</v>
      </c>
      <c r="E499" s="9" t="s">
        <v>55</v>
      </c>
      <c r="F499" s="12" t="s">
        <v>54</v>
      </c>
      <c r="G499" s="12" t="s">
        <v>64</v>
      </c>
      <c r="H499" s="12" t="s">
        <v>65</v>
      </c>
      <c r="J499" s="1"/>
    </row>
    <row r="500" spans="1:10" ht="45" customHeight="1">
      <c r="A500" s="9">
        <v>498</v>
      </c>
      <c r="B500" s="14" t="s">
        <v>38</v>
      </c>
      <c r="C500" s="14" t="str">
        <f>"200620123311"</f>
        <v>200620123311</v>
      </c>
      <c r="D500" s="14" t="str">
        <f>"周琦"</f>
        <v>周琦</v>
      </c>
      <c r="E500" s="9" t="s">
        <v>4</v>
      </c>
      <c r="F500" s="12" t="s">
        <v>54</v>
      </c>
      <c r="G500" s="12" t="s">
        <v>64</v>
      </c>
      <c r="H500" s="12" t="s">
        <v>65</v>
      </c>
      <c r="J500" s="1"/>
    </row>
    <row r="501" spans="1:10" ht="45" customHeight="1">
      <c r="A501" s="9">
        <v>499</v>
      </c>
      <c r="B501" s="14" t="s">
        <v>38</v>
      </c>
      <c r="C501" s="14" t="str">
        <f>"200620123307"</f>
        <v>200620123307</v>
      </c>
      <c r="D501" s="14" t="str">
        <f>"彭凯丽"</f>
        <v>彭凯丽</v>
      </c>
      <c r="E501" s="9" t="s">
        <v>4</v>
      </c>
      <c r="F501" s="12" t="s">
        <v>54</v>
      </c>
      <c r="G501" s="12" t="s">
        <v>64</v>
      </c>
      <c r="H501" s="12" t="s">
        <v>65</v>
      </c>
      <c r="J501" s="1"/>
    </row>
    <row r="502" spans="1:10" ht="45" customHeight="1">
      <c r="A502" s="9">
        <v>500</v>
      </c>
      <c r="B502" s="14" t="s">
        <v>38</v>
      </c>
      <c r="C502" s="14" t="str">
        <f>"200620123225"</f>
        <v>200620123225</v>
      </c>
      <c r="D502" s="14" t="str">
        <f>"彭心怡"</f>
        <v>彭心怡</v>
      </c>
      <c r="E502" s="9" t="s">
        <v>4</v>
      </c>
      <c r="F502" s="12" t="s">
        <v>54</v>
      </c>
      <c r="G502" s="12" t="s">
        <v>64</v>
      </c>
      <c r="H502" s="12" t="s">
        <v>65</v>
      </c>
      <c r="J502" s="1"/>
    </row>
    <row r="503" spans="1:10" ht="45" customHeight="1">
      <c r="A503" s="9">
        <v>501</v>
      </c>
      <c r="B503" s="14" t="s">
        <v>38</v>
      </c>
      <c r="C503" s="14" t="str">
        <f>"200620123315"</f>
        <v>200620123315</v>
      </c>
      <c r="D503" s="14" t="str">
        <f>"陈红"</f>
        <v>陈红</v>
      </c>
      <c r="E503" s="9" t="s">
        <v>4</v>
      </c>
      <c r="F503" s="12" t="s">
        <v>54</v>
      </c>
      <c r="G503" s="12" t="s">
        <v>64</v>
      </c>
      <c r="H503" s="12" t="s">
        <v>65</v>
      </c>
      <c r="J503" s="1"/>
    </row>
    <row r="504" spans="1:10" ht="45" customHeight="1">
      <c r="A504" s="9">
        <v>502</v>
      </c>
      <c r="B504" s="14" t="s">
        <v>38</v>
      </c>
      <c r="C504" s="14" t="str">
        <f>"200620123202"</f>
        <v>200620123202</v>
      </c>
      <c r="D504" s="14" t="str">
        <f>"陈美清"</f>
        <v>陈美清</v>
      </c>
      <c r="E504" s="9" t="s">
        <v>4</v>
      </c>
      <c r="F504" s="12" t="s">
        <v>54</v>
      </c>
      <c r="G504" s="12" t="s">
        <v>64</v>
      </c>
      <c r="H504" s="12" t="s">
        <v>65</v>
      </c>
      <c r="J504" s="1"/>
    </row>
    <row r="505" spans="1:10" ht="45" customHeight="1">
      <c r="A505" s="9">
        <v>503</v>
      </c>
      <c r="B505" s="14" t="s">
        <v>38</v>
      </c>
      <c r="C505" s="14" t="str">
        <f>"200620123327"</f>
        <v>200620123327</v>
      </c>
      <c r="D505" s="14" t="str">
        <f>"付亚"</f>
        <v>付亚</v>
      </c>
      <c r="E505" s="9" t="s">
        <v>4</v>
      </c>
      <c r="F505" s="12" t="s">
        <v>54</v>
      </c>
      <c r="G505" s="12" t="s">
        <v>64</v>
      </c>
      <c r="H505" s="12" t="s">
        <v>65</v>
      </c>
      <c r="J505" s="1"/>
    </row>
    <row r="506" spans="1:10" ht="45" customHeight="1">
      <c r="A506" s="9">
        <v>504</v>
      </c>
      <c r="B506" s="14" t="s">
        <v>38</v>
      </c>
      <c r="C506" s="14" t="str">
        <f>"200620123208"</f>
        <v>200620123208</v>
      </c>
      <c r="D506" s="14" t="str">
        <f>"刘敏洁"</f>
        <v>刘敏洁</v>
      </c>
      <c r="E506" s="9" t="s">
        <v>4</v>
      </c>
      <c r="F506" s="12" t="s">
        <v>54</v>
      </c>
      <c r="G506" s="12" t="s">
        <v>64</v>
      </c>
      <c r="H506" s="12" t="s">
        <v>65</v>
      </c>
      <c r="J506" s="1"/>
    </row>
    <row r="507" spans="1:10" ht="45" customHeight="1">
      <c r="A507" s="9">
        <v>505</v>
      </c>
      <c r="B507" s="14" t="s">
        <v>38</v>
      </c>
      <c r="C507" s="14" t="str">
        <f>"200620123302"</f>
        <v>200620123302</v>
      </c>
      <c r="D507" s="14" t="str">
        <f>"陈娟娟"</f>
        <v>陈娟娟</v>
      </c>
      <c r="E507" s="9" t="s">
        <v>4</v>
      </c>
      <c r="F507" s="12" t="s">
        <v>54</v>
      </c>
      <c r="G507" s="12" t="s">
        <v>64</v>
      </c>
      <c r="H507" s="12" t="s">
        <v>65</v>
      </c>
      <c r="J507" s="1"/>
    </row>
    <row r="508" spans="1:10" ht="45" customHeight="1">
      <c r="A508" s="9">
        <v>506</v>
      </c>
      <c r="B508" s="14" t="s">
        <v>38</v>
      </c>
      <c r="C508" s="14" t="str">
        <f>"200620123129"</f>
        <v>200620123129</v>
      </c>
      <c r="D508" s="14" t="str">
        <f>"李瑶"</f>
        <v>李瑶</v>
      </c>
      <c r="E508" s="9" t="s">
        <v>4</v>
      </c>
      <c r="F508" s="12" t="s">
        <v>54</v>
      </c>
      <c r="G508" s="12" t="s">
        <v>64</v>
      </c>
      <c r="H508" s="12" t="s">
        <v>65</v>
      </c>
      <c r="J508" s="1"/>
    </row>
    <row r="509" spans="1:10" ht="45" customHeight="1">
      <c r="A509" s="9">
        <v>507</v>
      </c>
      <c r="B509" s="14" t="s">
        <v>38</v>
      </c>
      <c r="C509" s="14" t="str">
        <f>"200620123324"</f>
        <v>200620123324</v>
      </c>
      <c r="D509" s="14" t="str">
        <f>"谭紫微"</f>
        <v>谭紫微</v>
      </c>
      <c r="E509" s="9" t="s">
        <v>4</v>
      </c>
      <c r="F509" s="12" t="s">
        <v>54</v>
      </c>
      <c r="G509" s="12" t="s">
        <v>64</v>
      </c>
      <c r="H509" s="12" t="s">
        <v>65</v>
      </c>
      <c r="J509" s="1"/>
    </row>
    <row r="510" spans="1:10" ht="45" customHeight="1">
      <c r="A510" s="9">
        <v>508</v>
      </c>
      <c r="B510" s="14" t="s">
        <v>38</v>
      </c>
      <c r="C510" s="14" t="str">
        <f>"200620123205"</f>
        <v>200620123205</v>
      </c>
      <c r="D510" s="14" t="str">
        <f>"胡刘霞"</f>
        <v>胡刘霞</v>
      </c>
      <c r="E510" s="9" t="s">
        <v>4</v>
      </c>
      <c r="F510" s="12" t="s">
        <v>54</v>
      </c>
      <c r="G510" s="12" t="s">
        <v>64</v>
      </c>
      <c r="H510" s="12" t="s">
        <v>65</v>
      </c>
      <c r="J510" s="1"/>
    </row>
    <row r="511" spans="1:10" ht="45" customHeight="1">
      <c r="A511" s="9">
        <v>509</v>
      </c>
      <c r="B511" s="14" t="s">
        <v>38</v>
      </c>
      <c r="C511" s="14" t="str">
        <f>"200620123207"</f>
        <v>200620123207</v>
      </c>
      <c r="D511" s="14" t="str">
        <f>"陈发琼"</f>
        <v>陈发琼</v>
      </c>
      <c r="E511" s="9" t="s">
        <v>4</v>
      </c>
      <c r="F511" s="12" t="s">
        <v>54</v>
      </c>
      <c r="G511" s="12" t="s">
        <v>64</v>
      </c>
      <c r="H511" s="12" t="s">
        <v>65</v>
      </c>
      <c r="J511" s="1"/>
    </row>
    <row r="512" spans="1:10" ht="45" customHeight="1">
      <c r="A512" s="9">
        <v>510</v>
      </c>
      <c r="B512" s="14" t="s">
        <v>38</v>
      </c>
      <c r="C512" s="14" t="str">
        <f>"200620123310"</f>
        <v>200620123310</v>
      </c>
      <c r="D512" s="14" t="str">
        <f>"刘燕玲"</f>
        <v>刘燕玲</v>
      </c>
      <c r="E512" s="21" t="s">
        <v>55</v>
      </c>
      <c r="F512" s="12" t="s">
        <v>54</v>
      </c>
      <c r="G512" s="12" t="s">
        <v>64</v>
      </c>
      <c r="H512" s="12" t="s">
        <v>65</v>
      </c>
      <c r="J512" s="1"/>
    </row>
    <row r="513" spans="1:10" ht="45" customHeight="1">
      <c r="A513" s="9">
        <v>511</v>
      </c>
      <c r="B513" s="14" t="s">
        <v>38</v>
      </c>
      <c r="C513" s="14" t="str">
        <f>"200620123213"</f>
        <v>200620123213</v>
      </c>
      <c r="D513" s="14" t="str">
        <f>"李嘉慧"</f>
        <v>李嘉慧</v>
      </c>
      <c r="E513" s="21" t="s">
        <v>55</v>
      </c>
      <c r="F513" s="12" t="s">
        <v>54</v>
      </c>
      <c r="G513" s="12" t="s">
        <v>64</v>
      </c>
      <c r="H513" s="12" t="s">
        <v>65</v>
      </c>
      <c r="J513" s="1"/>
    </row>
    <row r="514" spans="1:10" ht="45" customHeight="1">
      <c r="A514" s="9">
        <v>512</v>
      </c>
      <c r="B514" s="14" t="s">
        <v>38</v>
      </c>
      <c r="C514" s="14" t="str">
        <f>"200620123227"</f>
        <v>200620123227</v>
      </c>
      <c r="D514" s="14" t="str">
        <f>"吴俊仪"</f>
        <v>吴俊仪</v>
      </c>
      <c r="E514" s="21" t="s">
        <v>55</v>
      </c>
      <c r="F514" s="12" t="s">
        <v>54</v>
      </c>
      <c r="G514" s="12" t="s">
        <v>64</v>
      </c>
      <c r="H514" s="12" t="s">
        <v>65</v>
      </c>
      <c r="J514" s="1"/>
    </row>
    <row r="515" spans="1:10" ht="45" customHeight="1">
      <c r="A515" s="9">
        <v>513</v>
      </c>
      <c r="B515" s="14" t="s">
        <v>38</v>
      </c>
      <c r="C515" s="14" t="str">
        <f>"200620123121"</f>
        <v>200620123121</v>
      </c>
      <c r="D515" s="14" t="str">
        <f>"王子娟"</f>
        <v>王子娟</v>
      </c>
      <c r="E515" s="9" t="s">
        <v>4</v>
      </c>
      <c r="F515" s="12" t="s">
        <v>54</v>
      </c>
      <c r="G515" s="12" t="s">
        <v>64</v>
      </c>
      <c r="H515" s="12" t="s">
        <v>65</v>
      </c>
      <c r="J515" s="1"/>
    </row>
    <row r="516" spans="1:10" ht="45" customHeight="1">
      <c r="A516" s="9">
        <v>514</v>
      </c>
      <c r="B516" s="14" t="s">
        <v>38</v>
      </c>
      <c r="C516" s="14" t="str">
        <f>"200620123301"</f>
        <v>200620123301</v>
      </c>
      <c r="D516" s="14" t="str">
        <f>"贺郁希"</f>
        <v>贺郁希</v>
      </c>
      <c r="E516" s="9" t="s">
        <v>4</v>
      </c>
      <c r="F516" s="12" t="s">
        <v>54</v>
      </c>
      <c r="G516" s="12" t="s">
        <v>64</v>
      </c>
      <c r="H516" s="12" t="s">
        <v>65</v>
      </c>
      <c r="J516" s="1"/>
    </row>
    <row r="517" spans="1:10" ht="45" customHeight="1">
      <c r="A517" s="9">
        <v>515</v>
      </c>
      <c r="B517" s="14" t="s">
        <v>38</v>
      </c>
      <c r="C517" s="14" t="str">
        <f>"200620123216"</f>
        <v>200620123216</v>
      </c>
      <c r="D517" s="14" t="str">
        <f>"谭淑华"</f>
        <v>谭淑华</v>
      </c>
      <c r="E517" s="9" t="s">
        <v>4</v>
      </c>
      <c r="F517" s="12" t="s">
        <v>54</v>
      </c>
      <c r="G517" s="12" t="s">
        <v>64</v>
      </c>
      <c r="H517" s="12" t="s">
        <v>65</v>
      </c>
      <c r="J517" s="1"/>
    </row>
    <row r="518" spans="1:10" ht="45" customHeight="1">
      <c r="A518" s="9">
        <v>516</v>
      </c>
      <c r="B518" s="14" t="s">
        <v>38</v>
      </c>
      <c r="C518" s="14" t="str">
        <f>"200620123215"</f>
        <v>200620123215</v>
      </c>
      <c r="D518" s="14" t="str">
        <f>"吴珍妮"</f>
        <v>吴珍妮</v>
      </c>
      <c r="E518" s="9" t="s">
        <v>4</v>
      </c>
      <c r="F518" s="12" t="s">
        <v>54</v>
      </c>
      <c r="G518" s="12" t="s">
        <v>64</v>
      </c>
      <c r="H518" s="12" t="s">
        <v>65</v>
      </c>
      <c r="J518" s="1"/>
    </row>
    <row r="519" spans="1:10" ht="45" customHeight="1">
      <c r="A519" s="9">
        <v>517</v>
      </c>
      <c r="B519" s="14" t="s">
        <v>38</v>
      </c>
      <c r="C519" s="14" t="str">
        <f>"200620123309"</f>
        <v>200620123309</v>
      </c>
      <c r="D519" s="14" t="str">
        <f>"陈思维"</f>
        <v>陈思维</v>
      </c>
      <c r="E519" s="9" t="s">
        <v>4</v>
      </c>
      <c r="F519" s="12" t="s">
        <v>54</v>
      </c>
      <c r="G519" s="12" t="s">
        <v>64</v>
      </c>
      <c r="H519" s="12" t="s">
        <v>65</v>
      </c>
      <c r="J519" s="1"/>
    </row>
    <row r="520" spans="1:10" ht="45" customHeight="1">
      <c r="A520" s="9">
        <v>518</v>
      </c>
      <c r="B520" s="14" t="s">
        <v>38</v>
      </c>
      <c r="C520" s="14" t="str">
        <f>"200620123401"</f>
        <v>200620123401</v>
      </c>
      <c r="D520" s="14" t="str">
        <f>"戴惠惠"</f>
        <v>戴惠惠</v>
      </c>
      <c r="E520" s="9" t="s">
        <v>4</v>
      </c>
      <c r="F520" s="12" t="s">
        <v>54</v>
      </c>
      <c r="G520" s="12" t="s">
        <v>64</v>
      </c>
      <c r="H520" s="12" t="s">
        <v>65</v>
      </c>
      <c r="J520" s="1"/>
    </row>
    <row r="521" spans="1:10" ht="45" customHeight="1">
      <c r="A521" s="9">
        <v>519</v>
      </c>
      <c r="B521" s="14" t="s">
        <v>38</v>
      </c>
      <c r="C521" s="14" t="str">
        <f>"200620123130"</f>
        <v>200620123130</v>
      </c>
      <c r="D521" s="14" t="str">
        <f>"谭乐戎"</f>
        <v>谭乐戎</v>
      </c>
      <c r="E521" s="9" t="s">
        <v>4</v>
      </c>
      <c r="F521" s="12" t="s">
        <v>54</v>
      </c>
      <c r="G521" s="12" t="s">
        <v>64</v>
      </c>
      <c r="H521" s="12" t="s">
        <v>65</v>
      </c>
      <c r="J521" s="1"/>
    </row>
    <row r="522" spans="1:10" ht="45" customHeight="1">
      <c r="A522" s="9">
        <v>520</v>
      </c>
      <c r="B522" s="14" t="s">
        <v>38</v>
      </c>
      <c r="C522" s="14" t="str">
        <f>"200620123322"</f>
        <v>200620123322</v>
      </c>
      <c r="D522" s="14" t="str">
        <f>"谢雅静"</f>
        <v>谢雅静</v>
      </c>
      <c r="E522" s="9" t="s">
        <v>4</v>
      </c>
      <c r="F522" s="12" t="s">
        <v>54</v>
      </c>
      <c r="G522" s="12" t="s">
        <v>64</v>
      </c>
      <c r="H522" s="12" t="s">
        <v>65</v>
      </c>
      <c r="J522" s="1"/>
    </row>
    <row r="523" spans="1:10" ht="45" customHeight="1">
      <c r="A523" s="9">
        <v>521</v>
      </c>
      <c r="B523" s="14" t="s">
        <v>38</v>
      </c>
      <c r="C523" s="14" t="str">
        <f>"200620123128"</f>
        <v>200620123128</v>
      </c>
      <c r="D523" s="14" t="str">
        <f>"刘婷"</f>
        <v>刘婷</v>
      </c>
      <c r="E523" s="9" t="s">
        <v>4</v>
      </c>
      <c r="F523" s="12" t="s">
        <v>54</v>
      </c>
      <c r="G523" s="12" t="s">
        <v>64</v>
      </c>
      <c r="H523" s="12" t="s">
        <v>65</v>
      </c>
      <c r="J523" s="1"/>
    </row>
    <row r="524" spans="1:10" ht="45" customHeight="1">
      <c r="A524" s="9">
        <v>522</v>
      </c>
      <c r="B524" s="14" t="s">
        <v>38</v>
      </c>
      <c r="C524" s="14" t="str">
        <f>"200620123119"</f>
        <v>200620123119</v>
      </c>
      <c r="D524" s="14" t="str">
        <f>"钟艳慧"</f>
        <v>钟艳慧</v>
      </c>
      <c r="E524" s="9" t="s">
        <v>4</v>
      </c>
      <c r="F524" s="12" t="s">
        <v>54</v>
      </c>
      <c r="G524" s="12" t="s">
        <v>64</v>
      </c>
      <c r="H524" s="12" t="s">
        <v>65</v>
      </c>
      <c r="J524" s="1"/>
    </row>
    <row r="525" spans="1:10" s="5" customFormat="1" ht="45" customHeight="1">
      <c r="A525" s="9">
        <v>523</v>
      </c>
      <c r="B525" s="14" t="s">
        <v>38</v>
      </c>
      <c r="C525" s="14" t="str">
        <f>"200620123304"</f>
        <v>200620123304</v>
      </c>
      <c r="D525" s="14" t="str">
        <f>"谭淑"</f>
        <v>谭淑</v>
      </c>
      <c r="E525" s="9" t="s">
        <v>4</v>
      </c>
      <c r="F525" s="12" t="s">
        <v>54</v>
      </c>
      <c r="G525" s="12" t="s">
        <v>64</v>
      </c>
      <c r="H525" s="12" t="s">
        <v>65</v>
      </c>
      <c r="J525" s="1"/>
    </row>
    <row r="526" spans="1:10" ht="45" customHeight="1">
      <c r="A526" s="9">
        <v>524</v>
      </c>
      <c r="B526" s="14" t="s">
        <v>38</v>
      </c>
      <c r="C526" s="14" t="str">
        <f>"200620123319"</f>
        <v>200620123319</v>
      </c>
      <c r="D526" s="14" t="str">
        <f>"王金玉"</f>
        <v>王金玉</v>
      </c>
      <c r="E526" s="9" t="s">
        <v>4</v>
      </c>
      <c r="F526" s="12" t="s">
        <v>54</v>
      </c>
      <c r="G526" s="12" t="s">
        <v>64</v>
      </c>
      <c r="H526" s="12" t="s">
        <v>65</v>
      </c>
      <c r="J526" s="1"/>
    </row>
    <row r="527" spans="1:10" ht="45" customHeight="1">
      <c r="A527" s="9">
        <v>525</v>
      </c>
      <c r="B527" s="14" t="s">
        <v>38</v>
      </c>
      <c r="C527" s="14" t="str">
        <f>"200620123127"</f>
        <v>200620123127</v>
      </c>
      <c r="D527" s="14" t="str">
        <f>"颜艳芳"</f>
        <v>颜艳芳</v>
      </c>
      <c r="E527" s="9" t="s">
        <v>4</v>
      </c>
      <c r="F527" s="12" t="s">
        <v>54</v>
      </c>
      <c r="G527" s="12" t="s">
        <v>64</v>
      </c>
      <c r="H527" s="12" t="s">
        <v>65</v>
      </c>
      <c r="J527" s="1"/>
    </row>
    <row r="528" spans="1:10" ht="45" customHeight="1">
      <c r="A528" s="9">
        <v>526</v>
      </c>
      <c r="B528" s="14" t="s">
        <v>38</v>
      </c>
      <c r="C528" s="14" t="str">
        <f>"200620123203"</f>
        <v>200620123203</v>
      </c>
      <c r="D528" s="14" t="str">
        <f>"刘平文"</f>
        <v>刘平文</v>
      </c>
      <c r="E528" s="9" t="s">
        <v>4</v>
      </c>
      <c r="F528" s="12" t="s">
        <v>54</v>
      </c>
      <c r="G528" s="12" t="s">
        <v>64</v>
      </c>
      <c r="H528" s="12" t="s">
        <v>65</v>
      </c>
      <c r="J528" s="1"/>
    </row>
    <row r="529" spans="1:10" ht="45" customHeight="1">
      <c r="A529" s="9">
        <v>527</v>
      </c>
      <c r="B529" s="14" t="s">
        <v>38</v>
      </c>
      <c r="C529" s="14" t="str">
        <f>"200620123403"</f>
        <v>200620123403</v>
      </c>
      <c r="D529" s="14" t="str">
        <f>"肖容"</f>
        <v>肖容</v>
      </c>
      <c r="E529" s="9" t="s">
        <v>4</v>
      </c>
      <c r="F529" s="12" t="s">
        <v>54</v>
      </c>
      <c r="G529" s="12" t="s">
        <v>64</v>
      </c>
      <c r="H529" s="12" t="s">
        <v>65</v>
      </c>
      <c r="J529" s="1"/>
    </row>
    <row r="530" spans="1:10" ht="45" customHeight="1">
      <c r="A530" s="9">
        <v>528</v>
      </c>
      <c r="B530" s="14" t="s">
        <v>38</v>
      </c>
      <c r="C530" s="14" t="str">
        <f>"200620123221"</f>
        <v>200620123221</v>
      </c>
      <c r="D530" s="14" t="str">
        <f>"罗璐芳"</f>
        <v>罗璐芳</v>
      </c>
      <c r="E530" s="9" t="s">
        <v>4</v>
      </c>
      <c r="F530" s="12" t="s">
        <v>54</v>
      </c>
      <c r="G530" s="12" t="s">
        <v>64</v>
      </c>
      <c r="H530" s="12" t="s">
        <v>65</v>
      </c>
      <c r="J530" s="1"/>
    </row>
    <row r="531" spans="1:10" ht="45" customHeight="1">
      <c r="A531" s="9">
        <v>529</v>
      </c>
      <c r="B531" s="14" t="s">
        <v>38</v>
      </c>
      <c r="C531" s="14" t="str">
        <f>"200620123230"</f>
        <v>200620123230</v>
      </c>
      <c r="D531" s="14" t="str">
        <f>"王徐娟"</f>
        <v>王徐娟</v>
      </c>
      <c r="E531" s="9" t="s">
        <v>4</v>
      </c>
      <c r="F531" s="12" t="s">
        <v>54</v>
      </c>
      <c r="G531" s="12" t="s">
        <v>64</v>
      </c>
      <c r="H531" s="12" t="s">
        <v>65</v>
      </c>
      <c r="J531" s="1"/>
    </row>
    <row r="532" spans="1:10" ht="45" customHeight="1">
      <c r="A532" s="9">
        <v>530</v>
      </c>
      <c r="B532" s="14" t="s">
        <v>38</v>
      </c>
      <c r="C532" s="14" t="str">
        <f>"200620123330"</f>
        <v>200620123330</v>
      </c>
      <c r="D532" s="14" t="str">
        <f>"李海珍"</f>
        <v>李海珍</v>
      </c>
      <c r="E532" s="9" t="s">
        <v>4</v>
      </c>
      <c r="F532" s="12" t="s">
        <v>54</v>
      </c>
      <c r="G532" s="12" t="s">
        <v>64</v>
      </c>
      <c r="H532" s="12" t="s">
        <v>65</v>
      </c>
      <c r="J532" s="1"/>
    </row>
    <row r="533" spans="1:10" ht="45" customHeight="1">
      <c r="A533" s="9">
        <v>531</v>
      </c>
      <c r="B533" s="14" t="s">
        <v>38</v>
      </c>
      <c r="C533" s="14" t="str">
        <f>"200620123229"</f>
        <v>200620123229</v>
      </c>
      <c r="D533" s="14" t="str">
        <f>"刘佳妮"</f>
        <v>刘佳妮</v>
      </c>
      <c r="E533" s="9" t="s">
        <v>4</v>
      </c>
      <c r="F533" s="12" t="s">
        <v>54</v>
      </c>
      <c r="G533" s="12" t="s">
        <v>64</v>
      </c>
      <c r="H533" s="12" t="s">
        <v>65</v>
      </c>
      <c r="J533" s="1"/>
    </row>
    <row r="534" spans="1:10" ht="45" customHeight="1">
      <c r="A534" s="9">
        <v>532</v>
      </c>
      <c r="B534" s="14" t="s">
        <v>38</v>
      </c>
      <c r="C534" s="14" t="str">
        <f>"200620123220"</f>
        <v>200620123220</v>
      </c>
      <c r="D534" s="14" t="str">
        <f>"朱晓红"</f>
        <v>朱晓红</v>
      </c>
      <c r="E534" s="9" t="s">
        <v>4</v>
      </c>
      <c r="F534" s="12" t="s">
        <v>54</v>
      </c>
      <c r="G534" s="12" t="s">
        <v>64</v>
      </c>
      <c r="H534" s="12" t="s">
        <v>65</v>
      </c>
      <c r="J534" s="1"/>
    </row>
    <row r="535" spans="1:10" ht="45" customHeight="1">
      <c r="A535" s="9">
        <v>533</v>
      </c>
      <c r="B535" s="14" t="s">
        <v>38</v>
      </c>
      <c r="C535" s="14" t="str">
        <f>"200620123126"</f>
        <v>200620123126</v>
      </c>
      <c r="D535" s="14" t="str">
        <f>"刘婧"</f>
        <v>刘婧</v>
      </c>
      <c r="E535" s="9" t="s">
        <v>4</v>
      </c>
      <c r="F535" s="12" t="s">
        <v>54</v>
      </c>
      <c r="G535" s="12" t="s">
        <v>64</v>
      </c>
      <c r="H535" s="12" t="s">
        <v>65</v>
      </c>
      <c r="J535" s="1"/>
    </row>
    <row r="536" spans="1:10" ht="45" customHeight="1">
      <c r="A536" s="9">
        <v>534</v>
      </c>
      <c r="B536" s="14" t="s">
        <v>38</v>
      </c>
      <c r="C536" s="14" t="str">
        <f>"200620123405"</f>
        <v>200620123405</v>
      </c>
      <c r="D536" s="14" t="str">
        <f>"陈鲸如"</f>
        <v>陈鲸如</v>
      </c>
      <c r="E536" s="9" t="s">
        <v>4</v>
      </c>
      <c r="F536" s="12" t="s">
        <v>54</v>
      </c>
      <c r="G536" s="12" t="s">
        <v>64</v>
      </c>
      <c r="H536" s="12" t="s">
        <v>65</v>
      </c>
      <c r="J536" s="1"/>
    </row>
    <row r="537" spans="1:10" ht="45" customHeight="1">
      <c r="A537" s="9">
        <v>535</v>
      </c>
      <c r="B537" s="14" t="s">
        <v>38</v>
      </c>
      <c r="C537" s="14" t="str">
        <f>"200620123123"</f>
        <v>200620123123</v>
      </c>
      <c r="D537" s="14" t="str">
        <f>"周艳清"</f>
        <v>周艳清</v>
      </c>
      <c r="E537" s="9" t="s">
        <v>4</v>
      </c>
      <c r="F537" s="12" t="s">
        <v>54</v>
      </c>
      <c r="G537" s="12" t="s">
        <v>64</v>
      </c>
      <c r="H537" s="12" t="s">
        <v>65</v>
      </c>
      <c r="J537" s="1"/>
    </row>
    <row r="538" spans="1:10" ht="45" customHeight="1">
      <c r="A538" s="9">
        <v>536</v>
      </c>
      <c r="B538" s="14" t="s">
        <v>38</v>
      </c>
      <c r="C538" s="14" t="str">
        <f>"200620123210"</f>
        <v>200620123210</v>
      </c>
      <c r="D538" s="14" t="str">
        <f>"刘霞"</f>
        <v>刘霞</v>
      </c>
      <c r="E538" s="9" t="s">
        <v>4</v>
      </c>
      <c r="F538" s="12" t="s">
        <v>54</v>
      </c>
      <c r="G538" s="12" t="s">
        <v>64</v>
      </c>
      <c r="H538" s="12" t="s">
        <v>65</v>
      </c>
      <c r="J538" s="1"/>
    </row>
    <row r="539" spans="1:10" ht="45" customHeight="1">
      <c r="A539" s="9">
        <v>537</v>
      </c>
      <c r="B539" s="14" t="s">
        <v>38</v>
      </c>
      <c r="C539" s="14" t="str">
        <f>"200620123326"</f>
        <v>200620123326</v>
      </c>
      <c r="D539" s="14" t="str">
        <f>"刘蓉"</f>
        <v>刘蓉</v>
      </c>
      <c r="E539" s="9" t="s">
        <v>4</v>
      </c>
      <c r="F539" s="12" t="s">
        <v>54</v>
      </c>
      <c r="G539" s="12" t="s">
        <v>64</v>
      </c>
      <c r="H539" s="12" t="s">
        <v>65</v>
      </c>
      <c r="J539" s="1"/>
    </row>
    <row r="540" spans="1:10" ht="45" customHeight="1">
      <c r="A540" s="9">
        <v>538</v>
      </c>
      <c r="B540" s="14" t="s">
        <v>38</v>
      </c>
      <c r="C540" s="14" t="str">
        <f>"200620123124"</f>
        <v>200620123124</v>
      </c>
      <c r="D540" s="14" t="str">
        <f>"刘红瑛"</f>
        <v>刘红瑛</v>
      </c>
      <c r="E540" s="9" t="s">
        <v>4</v>
      </c>
      <c r="F540" s="12" t="s">
        <v>54</v>
      </c>
      <c r="G540" s="12" t="s">
        <v>64</v>
      </c>
      <c r="H540" s="12" t="s">
        <v>65</v>
      </c>
      <c r="J540" s="1"/>
    </row>
    <row r="541" spans="1:10" ht="45" customHeight="1">
      <c r="A541" s="9">
        <v>539</v>
      </c>
      <c r="B541" s="14" t="s">
        <v>38</v>
      </c>
      <c r="C541" s="14" t="str">
        <f>"200620123228"</f>
        <v>200620123228</v>
      </c>
      <c r="D541" s="14" t="str">
        <f>"杨爱玲"</f>
        <v>杨爱玲</v>
      </c>
      <c r="E541" s="9" t="s">
        <v>4</v>
      </c>
      <c r="F541" s="12" t="s">
        <v>54</v>
      </c>
      <c r="G541" s="12" t="s">
        <v>64</v>
      </c>
      <c r="H541" s="12" t="s">
        <v>65</v>
      </c>
      <c r="J541" s="1"/>
    </row>
    <row r="542" spans="1:10" ht="45" customHeight="1">
      <c r="A542" s="9">
        <v>540</v>
      </c>
      <c r="B542" s="14" t="s">
        <v>38</v>
      </c>
      <c r="C542" s="14" t="str">
        <f>"200620123323"</f>
        <v>200620123323</v>
      </c>
      <c r="D542" s="14" t="str">
        <f>"唐洁琼"</f>
        <v>唐洁琼</v>
      </c>
      <c r="E542" s="9" t="s">
        <v>4</v>
      </c>
      <c r="F542" s="12" t="s">
        <v>54</v>
      </c>
      <c r="G542" s="12" t="s">
        <v>64</v>
      </c>
      <c r="H542" s="12" t="s">
        <v>65</v>
      </c>
      <c r="J542" s="1"/>
    </row>
    <row r="543" spans="1:10" ht="45" customHeight="1">
      <c r="A543" s="9">
        <v>541</v>
      </c>
      <c r="B543" s="14" t="s">
        <v>38</v>
      </c>
      <c r="C543" s="14" t="str">
        <f>"200620123211"</f>
        <v>200620123211</v>
      </c>
      <c r="D543" s="14" t="str">
        <f>"刘正美"</f>
        <v>刘正美</v>
      </c>
      <c r="E543" s="9" t="s">
        <v>4</v>
      </c>
      <c r="F543" s="12" t="s">
        <v>54</v>
      </c>
      <c r="G543" s="12" t="s">
        <v>64</v>
      </c>
      <c r="H543" s="12" t="s">
        <v>65</v>
      </c>
      <c r="J543" s="1"/>
    </row>
    <row r="544" spans="1:10" ht="45" customHeight="1">
      <c r="A544" s="9">
        <v>542</v>
      </c>
      <c r="B544" s="14" t="s">
        <v>38</v>
      </c>
      <c r="C544" s="14" t="str">
        <f>"200620123328"</f>
        <v>200620123328</v>
      </c>
      <c r="D544" s="14" t="str">
        <f>"李莹"</f>
        <v>李莹</v>
      </c>
      <c r="E544" s="9" t="s">
        <v>4</v>
      </c>
      <c r="F544" s="12" t="s">
        <v>54</v>
      </c>
      <c r="G544" s="12" t="s">
        <v>64</v>
      </c>
      <c r="H544" s="12" t="s">
        <v>65</v>
      </c>
      <c r="J544" s="1"/>
    </row>
    <row r="545" spans="1:10" ht="45" customHeight="1" thickBot="1">
      <c r="A545" s="25">
        <v>543</v>
      </c>
      <c r="B545" s="27" t="s">
        <v>38</v>
      </c>
      <c r="C545" s="27" t="str">
        <f>"200620123305"</f>
        <v>200620123305</v>
      </c>
      <c r="D545" s="27" t="str">
        <f>"罗思"</f>
        <v>罗思</v>
      </c>
      <c r="E545" s="28" t="s">
        <v>55</v>
      </c>
      <c r="F545" s="19" t="s">
        <v>54</v>
      </c>
      <c r="G545" s="19" t="s">
        <v>64</v>
      </c>
      <c r="H545" s="19" t="s">
        <v>65</v>
      </c>
      <c r="J545" s="1"/>
    </row>
    <row r="546" spans="1:10" ht="45" customHeight="1" thickTop="1">
      <c r="A546" s="11">
        <v>544</v>
      </c>
      <c r="B546" s="14" t="s">
        <v>3</v>
      </c>
      <c r="C546" s="14" t="str">
        <f>"200620112504"</f>
        <v>200620112504</v>
      </c>
      <c r="D546" s="14" t="str">
        <f>"张佳丽"</f>
        <v>张佳丽</v>
      </c>
      <c r="E546" s="9" t="s">
        <v>4</v>
      </c>
      <c r="F546" s="12" t="s">
        <v>54</v>
      </c>
      <c r="G546" s="12" t="s">
        <v>68</v>
      </c>
      <c r="H546" s="12" t="s">
        <v>67</v>
      </c>
    </row>
    <row r="547" spans="1:10" ht="45" customHeight="1">
      <c r="A547" s="9">
        <v>545</v>
      </c>
      <c r="B547" s="14" t="s">
        <v>3</v>
      </c>
      <c r="C547" s="14" t="str">
        <f>"200620112508"</f>
        <v>200620112508</v>
      </c>
      <c r="D547" s="14" t="str">
        <f>"谭俊晖"</f>
        <v>谭俊晖</v>
      </c>
      <c r="E547" s="9" t="s">
        <v>4</v>
      </c>
      <c r="F547" s="12" t="s">
        <v>54</v>
      </c>
      <c r="G547" s="12" t="s">
        <v>68</v>
      </c>
      <c r="H547" s="12" t="s">
        <v>67</v>
      </c>
    </row>
    <row r="548" spans="1:10" ht="45" customHeight="1">
      <c r="A548" s="9">
        <v>546</v>
      </c>
      <c r="B548" s="14" t="s">
        <v>15</v>
      </c>
      <c r="C548" s="14" t="str">
        <f>"200620112613"</f>
        <v>200620112613</v>
      </c>
      <c r="D548" s="14" t="str">
        <f>"侯艳芳"</f>
        <v>侯艳芳</v>
      </c>
      <c r="E548" s="9" t="s">
        <v>4</v>
      </c>
      <c r="F548" s="12" t="s">
        <v>54</v>
      </c>
      <c r="G548" s="12" t="s">
        <v>68</v>
      </c>
      <c r="H548" s="12" t="s">
        <v>67</v>
      </c>
    </row>
    <row r="549" spans="1:10" ht="45" customHeight="1">
      <c r="A549" s="9">
        <v>547</v>
      </c>
      <c r="B549" s="14" t="s">
        <v>15</v>
      </c>
      <c r="C549" s="14" t="str">
        <f>"200620112609"</f>
        <v>200620112609</v>
      </c>
      <c r="D549" s="14" t="str">
        <f>"谭旭晴"</f>
        <v>谭旭晴</v>
      </c>
      <c r="E549" s="9" t="s">
        <v>4</v>
      </c>
      <c r="F549" s="12" t="s">
        <v>54</v>
      </c>
      <c r="G549" s="12" t="s">
        <v>68</v>
      </c>
      <c r="H549" s="12" t="s">
        <v>67</v>
      </c>
    </row>
    <row r="550" spans="1:10" ht="45" customHeight="1">
      <c r="A550" s="9">
        <v>548</v>
      </c>
      <c r="B550" s="14" t="s">
        <v>8</v>
      </c>
      <c r="C550" s="14" t="str">
        <f>"200620112628"</f>
        <v>200620112628</v>
      </c>
      <c r="D550" s="14" t="str">
        <f>"刘艳玲"</f>
        <v>刘艳玲</v>
      </c>
      <c r="E550" s="9" t="s">
        <v>4</v>
      </c>
      <c r="F550" s="12" t="s">
        <v>54</v>
      </c>
      <c r="G550" s="12" t="s">
        <v>68</v>
      </c>
      <c r="H550" s="12" t="s">
        <v>67</v>
      </c>
    </row>
    <row r="551" spans="1:10" ht="45" customHeight="1">
      <c r="A551" s="9">
        <v>549</v>
      </c>
      <c r="B551" s="14" t="s">
        <v>8</v>
      </c>
      <c r="C551" s="14" t="str">
        <f>"200620112626"</f>
        <v>200620112626</v>
      </c>
      <c r="D551" s="14" t="str">
        <f>"陈星"</f>
        <v>陈星</v>
      </c>
      <c r="E551" s="9" t="s">
        <v>4</v>
      </c>
      <c r="F551" s="12" t="s">
        <v>54</v>
      </c>
      <c r="G551" s="12" t="s">
        <v>68</v>
      </c>
      <c r="H551" s="12" t="s">
        <v>67</v>
      </c>
    </row>
    <row r="552" spans="1:10" ht="45" customHeight="1">
      <c r="A552" s="9">
        <v>550</v>
      </c>
      <c r="B552" s="14" t="s">
        <v>20</v>
      </c>
      <c r="C552" s="14" t="str">
        <f>"200620113522"</f>
        <v>200620113522</v>
      </c>
      <c r="D552" s="14" t="str">
        <f>"刘波"</f>
        <v>刘波</v>
      </c>
      <c r="E552" s="9" t="s">
        <v>4</v>
      </c>
      <c r="F552" s="12" t="s">
        <v>54</v>
      </c>
      <c r="G552" s="12" t="s">
        <v>68</v>
      </c>
      <c r="H552" s="12" t="s">
        <v>67</v>
      </c>
    </row>
    <row r="553" spans="1:10" ht="45" customHeight="1">
      <c r="A553" s="9">
        <v>551</v>
      </c>
      <c r="B553" s="14" t="s">
        <v>9</v>
      </c>
      <c r="C553" s="14" t="str">
        <f>"200620112411"</f>
        <v>200620112411</v>
      </c>
      <c r="D553" s="14" t="str">
        <f>"李学锋"</f>
        <v>李学锋</v>
      </c>
      <c r="E553" s="21" t="s">
        <v>55</v>
      </c>
      <c r="F553" s="12" t="s">
        <v>54</v>
      </c>
      <c r="G553" s="12" t="s">
        <v>68</v>
      </c>
      <c r="H553" s="12" t="s">
        <v>67</v>
      </c>
    </row>
    <row r="554" spans="1:10" ht="45" customHeight="1">
      <c r="A554" s="9">
        <v>552</v>
      </c>
      <c r="B554" s="14" t="s">
        <v>9</v>
      </c>
      <c r="C554" s="14" t="str">
        <f>"200620112408"</f>
        <v>200620112408</v>
      </c>
      <c r="D554" s="14" t="str">
        <f>"罗莎"</f>
        <v>罗莎</v>
      </c>
      <c r="E554" s="9" t="s">
        <v>56</v>
      </c>
      <c r="F554" s="12" t="s">
        <v>54</v>
      </c>
      <c r="G554" s="12" t="s">
        <v>68</v>
      </c>
      <c r="H554" s="12" t="s">
        <v>67</v>
      </c>
    </row>
    <row r="555" spans="1:10" ht="45" customHeight="1">
      <c r="A555" s="9">
        <v>553</v>
      </c>
      <c r="B555" s="14" t="s">
        <v>21</v>
      </c>
      <c r="C555" s="14" t="str">
        <f>"200620112313"</f>
        <v>200620112313</v>
      </c>
      <c r="D555" s="14" t="str">
        <f>"高亭亭 "</f>
        <v xml:space="preserve">高亭亭 </v>
      </c>
      <c r="E555" s="9" t="s">
        <v>4</v>
      </c>
      <c r="F555" s="12" t="s">
        <v>54</v>
      </c>
      <c r="G555" s="12" t="s">
        <v>68</v>
      </c>
      <c r="H555" s="12" t="s">
        <v>67</v>
      </c>
    </row>
    <row r="556" spans="1:10" ht="45" customHeight="1">
      <c r="A556" s="9">
        <v>554</v>
      </c>
      <c r="B556" s="14" t="s">
        <v>21</v>
      </c>
      <c r="C556" s="14" t="str">
        <f>"200620112312"</f>
        <v>200620112312</v>
      </c>
      <c r="D556" s="14" t="str">
        <f>"罗莉莎"</f>
        <v>罗莉莎</v>
      </c>
      <c r="E556" s="9" t="s">
        <v>4</v>
      </c>
      <c r="F556" s="12" t="s">
        <v>54</v>
      </c>
      <c r="G556" s="12" t="s">
        <v>68</v>
      </c>
      <c r="H556" s="12" t="s">
        <v>67</v>
      </c>
    </row>
    <row r="557" spans="1:10" ht="45" customHeight="1">
      <c r="A557" s="9">
        <v>555</v>
      </c>
      <c r="B557" s="14" t="s">
        <v>21</v>
      </c>
      <c r="C557" s="14" t="str">
        <f>"200620112328"</f>
        <v>200620112328</v>
      </c>
      <c r="D557" s="14" t="str">
        <f>"邓香"</f>
        <v>邓香</v>
      </c>
      <c r="E557" s="9" t="s">
        <v>4</v>
      </c>
      <c r="F557" s="12" t="s">
        <v>54</v>
      </c>
      <c r="G557" s="12" t="s">
        <v>68</v>
      </c>
      <c r="H557" s="12" t="s">
        <v>67</v>
      </c>
    </row>
    <row r="558" spans="1:10" ht="45" customHeight="1">
      <c r="A558" s="9">
        <v>556</v>
      </c>
      <c r="B558" s="14" t="s">
        <v>21</v>
      </c>
      <c r="C558" s="14" t="str">
        <f>"200620112322"</f>
        <v>200620112322</v>
      </c>
      <c r="D558" s="14" t="str">
        <f>"孙悦"</f>
        <v>孙悦</v>
      </c>
      <c r="E558" s="9" t="s">
        <v>4</v>
      </c>
      <c r="F558" s="12" t="s">
        <v>54</v>
      </c>
      <c r="G558" s="12" t="s">
        <v>68</v>
      </c>
      <c r="H558" s="12" t="s">
        <v>67</v>
      </c>
    </row>
    <row r="559" spans="1:10" ht="45" customHeight="1">
      <c r="A559" s="9">
        <v>557</v>
      </c>
      <c r="B559" s="14" t="s">
        <v>21</v>
      </c>
      <c r="C559" s="14" t="str">
        <f>"200620112326"</f>
        <v>200620112326</v>
      </c>
      <c r="D559" s="14" t="str">
        <f>"谭明琦"</f>
        <v>谭明琦</v>
      </c>
      <c r="E559" s="9" t="s">
        <v>4</v>
      </c>
      <c r="F559" s="12" t="s">
        <v>54</v>
      </c>
      <c r="G559" s="12" t="s">
        <v>68</v>
      </c>
      <c r="H559" s="12" t="s">
        <v>67</v>
      </c>
    </row>
    <row r="560" spans="1:10" ht="45" customHeight="1">
      <c r="A560" s="9">
        <v>558</v>
      </c>
      <c r="B560" s="14" t="s">
        <v>21</v>
      </c>
      <c r="C560" s="14" t="str">
        <f>"200620112320"</f>
        <v>200620112320</v>
      </c>
      <c r="D560" s="14" t="str">
        <f>"陈港"</f>
        <v>陈港</v>
      </c>
      <c r="E560" s="9" t="s">
        <v>4</v>
      </c>
      <c r="F560" s="12" t="s">
        <v>54</v>
      </c>
      <c r="G560" s="12" t="s">
        <v>68</v>
      </c>
      <c r="H560" s="12" t="s">
        <v>67</v>
      </c>
    </row>
    <row r="561" spans="1:11" ht="45" customHeight="1">
      <c r="A561" s="9">
        <v>559</v>
      </c>
      <c r="B561" s="14" t="s">
        <v>10</v>
      </c>
      <c r="C561" s="14" t="str">
        <f>"200620112426"</f>
        <v>200620112426</v>
      </c>
      <c r="D561" s="14" t="str">
        <f>"尹玉婷"</f>
        <v>尹玉婷</v>
      </c>
      <c r="E561" s="9" t="s">
        <v>4</v>
      </c>
      <c r="F561" s="12" t="s">
        <v>54</v>
      </c>
      <c r="G561" s="12" t="s">
        <v>68</v>
      </c>
      <c r="H561" s="12" t="s">
        <v>67</v>
      </c>
    </row>
    <row r="562" spans="1:11" ht="45" customHeight="1">
      <c r="A562" s="9">
        <v>560</v>
      </c>
      <c r="B562" s="14" t="s">
        <v>10</v>
      </c>
      <c r="C562" s="14" t="str">
        <f>"200620112425"</f>
        <v>200620112425</v>
      </c>
      <c r="D562" s="14" t="str">
        <f>"陈宇婷"</f>
        <v>陈宇婷</v>
      </c>
      <c r="E562" s="9" t="s">
        <v>4</v>
      </c>
      <c r="F562" s="12" t="s">
        <v>54</v>
      </c>
      <c r="G562" s="12" t="s">
        <v>68</v>
      </c>
      <c r="H562" s="12" t="s">
        <v>67</v>
      </c>
    </row>
    <row r="563" spans="1:11" ht="45" customHeight="1">
      <c r="A563" s="9">
        <v>561</v>
      </c>
      <c r="B563" s="14" t="s">
        <v>10</v>
      </c>
      <c r="C563" s="14" t="str">
        <f>"200620112417"</f>
        <v>200620112417</v>
      </c>
      <c r="D563" s="14" t="str">
        <f>"陈李婷"</f>
        <v>陈李婷</v>
      </c>
      <c r="E563" s="9" t="s">
        <v>4</v>
      </c>
      <c r="F563" s="12" t="s">
        <v>54</v>
      </c>
      <c r="G563" s="12" t="s">
        <v>68</v>
      </c>
      <c r="H563" s="12" t="s">
        <v>67</v>
      </c>
    </row>
    <row r="564" spans="1:11" ht="45" customHeight="1">
      <c r="A564" s="9">
        <v>562</v>
      </c>
      <c r="B564" s="14" t="s">
        <v>10</v>
      </c>
      <c r="C564" s="14" t="str">
        <f>"200620112420"</f>
        <v>200620112420</v>
      </c>
      <c r="D564" s="14" t="str">
        <f>"谭星星"</f>
        <v>谭星星</v>
      </c>
      <c r="E564" s="21" t="s">
        <v>55</v>
      </c>
      <c r="F564" s="29" t="s">
        <v>54</v>
      </c>
      <c r="G564" s="29" t="s">
        <v>68</v>
      </c>
      <c r="H564" s="29" t="s">
        <v>67</v>
      </c>
    </row>
    <row r="565" spans="1:11" ht="45" customHeight="1">
      <c r="A565" s="9">
        <v>563</v>
      </c>
      <c r="B565" s="14" t="s">
        <v>12</v>
      </c>
      <c r="C565" s="14" t="str">
        <f>"200620112718"</f>
        <v>200620112718</v>
      </c>
      <c r="D565" s="14" t="str">
        <f>"李嘉慧"</f>
        <v>李嘉慧</v>
      </c>
      <c r="E565" s="9" t="s">
        <v>4</v>
      </c>
      <c r="F565" s="29" t="s">
        <v>54</v>
      </c>
      <c r="G565" s="29" t="s">
        <v>68</v>
      </c>
      <c r="H565" s="29" t="s">
        <v>67</v>
      </c>
    </row>
    <row r="566" spans="1:11" ht="45" customHeight="1">
      <c r="A566" s="9">
        <v>564</v>
      </c>
      <c r="B566" s="14" t="s">
        <v>12</v>
      </c>
      <c r="C566" s="14" t="str">
        <f>"200620112729"</f>
        <v>200620112729</v>
      </c>
      <c r="D566" s="14" t="str">
        <f>"李翠翠"</f>
        <v>李翠翠</v>
      </c>
      <c r="E566" s="9" t="s">
        <v>4</v>
      </c>
      <c r="F566" s="12" t="s">
        <v>54</v>
      </c>
      <c r="G566" s="29" t="s">
        <v>68</v>
      </c>
      <c r="H566" s="29" t="s">
        <v>67</v>
      </c>
    </row>
    <row r="567" spans="1:11" s="5" customFormat="1" ht="45" customHeight="1">
      <c r="A567" s="9">
        <v>565</v>
      </c>
      <c r="B567" s="14" t="s">
        <v>23</v>
      </c>
      <c r="C567" s="14" t="str">
        <f>"200620113104"</f>
        <v>200620113104</v>
      </c>
      <c r="D567" s="14" t="str">
        <f>"陈可"</f>
        <v>陈可</v>
      </c>
      <c r="E567" s="9" t="s">
        <v>4</v>
      </c>
      <c r="F567" s="12" t="s">
        <v>54</v>
      </c>
      <c r="G567" s="29" t="s">
        <v>68</v>
      </c>
      <c r="H567" s="29" t="s">
        <v>67</v>
      </c>
      <c r="J567" s="3"/>
      <c r="K567" s="3"/>
    </row>
    <row r="568" spans="1:11" ht="45" customHeight="1">
      <c r="A568" s="9">
        <v>566</v>
      </c>
      <c r="B568" s="14" t="s">
        <v>23</v>
      </c>
      <c r="C568" s="14" t="str">
        <f>"200620113222"</f>
        <v>200620113222</v>
      </c>
      <c r="D568" s="14" t="str">
        <f>"刘志强"</f>
        <v>刘志强</v>
      </c>
      <c r="E568" s="9" t="s">
        <v>4</v>
      </c>
      <c r="F568" s="12" t="s">
        <v>54</v>
      </c>
      <c r="G568" s="29" t="s">
        <v>68</v>
      </c>
      <c r="H568" s="29" t="s">
        <v>67</v>
      </c>
    </row>
    <row r="569" spans="1:11" ht="45" customHeight="1">
      <c r="A569" s="9">
        <v>567</v>
      </c>
      <c r="B569" s="14" t="s">
        <v>23</v>
      </c>
      <c r="C569" s="14" t="str">
        <f>"200620113207"</f>
        <v>200620113207</v>
      </c>
      <c r="D569" s="14" t="str">
        <f>"刘鹏鹏"</f>
        <v>刘鹏鹏</v>
      </c>
      <c r="E569" s="9" t="s">
        <v>4</v>
      </c>
      <c r="F569" s="12" t="s">
        <v>54</v>
      </c>
      <c r="G569" s="29" t="s">
        <v>68</v>
      </c>
      <c r="H569" s="29" t="s">
        <v>67</v>
      </c>
    </row>
    <row r="570" spans="1:11" ht="45" customHeight="1">
      <c r="A570" s="9">
        <v>568</v>
      </c>
      <c r="B570" s="14" t="s">
        <v>23</v>
      </c>
      <c r="C570" s="14" t="str">
        <f>"200620113102"</f>
        <v>200620113102</v>
      </c>
      <c r="D570" s="14" t="str">
        <f>"谭志伟"</f>
        <v>谭志伟</v>
      </c>
      <c r="E570" s="9" t="s">
        <v>55</v>
      </c>
      <c r="F570" s="12" t="s">
        <v>54</v>
      </c>
      <c r="G570" s="29" t="s">
        <v>68</v>
      </c>
      <c r="H570" s="29" t="s">
        <v>67</v>
      </c>
    </row>
    <row r="571" spans="1:11" ht="45" customHeight="1">
      <c r="A571" s="9">
        <v>569</v>
      </c>
      <c r="B571" s="14" t="s">
        <v>23</v>
      </c>
      <c r="C571" s="14" t="str">
        <f>"200620113004"</f>
        <v>200620113004</v>
      </c>
      <c r="D571" s="14" t="str">
        <f>"黄萌"</f>
        <v>黄萌</v>
      </c>
      <c r="E571" s="9" t="s">
        <v>4</v>
      </c>
      <c r="F571" s="12" t="s">
        <v>54</v>
      </c>
      <c r="G571" s="29" t="s">
        <v>68</v>
      </c>
      <c r="H571" s="29" t="s">
        <v>67</v>
      </c>
    </row>
    <row r="572" spans="1:11" ht="45" customHeight="1">
      <c r="A572" s="9">
        <v>570</v>
      </c>
      <c r="B572" s="24" t="s">
        <v>23</v>
      </c>
      <c r="C572" s="24" t="str">
        <f>"200620113016"</f>
        <v>200620113016</v>
      </c>
      <c r="D572" s="24" t="str">
        <f>"刘健"</f>
        <v>刘健</v>
      </c>
      <c r="E572" s="21" t="s">
        <v>55</v>
      </c>
      <c r="F572" s="12" t="s">
        <v>54</v>
      </c>
      <c r="G572" s="29" t="s">
        <v>68</v>
      </c>
      <c r="H572" s="29" t="s">
        <v>67</v>
      </c>
    </row>
    <row r="573" spans="1:11" ht="45" customHeight="1">
      <c r="A573" s="9">
        <v>571</v>
      </c>
      <c r="B573" s="24" t="s">
        <v>23</v>
      </c>
      <c r="C573" s="24" t="str">
        <f>"200620113110"</f>
        <v>200620113110</v>
      </c>
      <c r="D573" s="24" t="str">
        <f>"刘易博"</f>
        <v>刘易博</v>
      </c>
      <c r="E573" s="21" t="s">
        <v>55</v>
      </c>
      <c r="F573" s="29" t="s">
        <v>54</v>
      </c>
      <c r="G573" s="29" t="s">
        <v>68</v>
      </c>
      <c r="H573" s="29" t="s">
        <v>67</v>
      </c>
    </row>
    <row r="574" spans="1:11" ht="45" customHeight="1">
      <c r="A574" s="9">
        <v>572</v>
      </c>
      <c r="B574" s="14" t="s">
        <v>13</v>
      </c>
      <c r="C574" s="14" t="str">
        <f>"200620112522"</f>
        <v>200620112522</v>
      </c>
      <c r="D574" s="14" t="str">
        <f>"陈欢"</f>
        <v>陈欢</v>
      </c>
      <c r="E574" s="9" t="s">
        <v>4</v>
      </c>
      <c r="F574" s="29" t="s">
        <v>54</v>
      </c>
      <c r="G574" s="29" t="s">
        <v>68</v>
      </c>
      <c r="H574" s="29" t="s">
        <v>67</v>
      </c>
    </row>
    <row r="575" spans="1:11" ht="45" customHeight="1">
      <c r="A575" s="9">
        <v>573</v>
      </c>
      <c r="B575" s="14" t="s">
        <v>13</v>
      </c>
      <c r="C575" s="14" t="str">
        <f>"200620112527"</f>
        <v>200620112527</v>
      </c>
      <c r="D575" s="14" t="str">
        <f>"杨鑫"</f>
        <v>杨鑫</v>
      </c>
      <c r="E575" s="9" t="s">
        <v>4</v>
      </c>
      <c r="F575" s="12" t="s">
        <v>54</v>
      </c>
      <c r="G575" s="29" t="s">
        <v>68</v>
      </c>
      <c r="H575" s="29" t="s">
        <v>67</v>
      </c>
    </row>
    <row r="576" spans="1:11" ht="45" customHeight="1">
      <c r="A576" s="9">
        <v>574</v>
      </c>
      <c r="B576" s="14" t="s">
        <v>25</v>
      </c>
      <c r="C576" s="14" t="str">
        <f>"200620112713"</f>
        <v>200620112713</v>
      </c>
      <c r="D576" s="14" t="str">
        <f>"陈静"</f>
        <v>陈静</v>
      </c>
      <c r="E576" s="9" t="s">
        <v>4</v>
      </c>
      <c r="F576" s="12" t="s">
        <v>54</v>
      </c>
      <c r="G576" s="29" t="s">
        <v>68</v>
      </c>
      <c r="H576" s="29" t="s">
        <v>67</v>
      </c>
    </row>
    <row r="577" spans="1:8" ht="45" customHeight="1" thickBot="1">
      <c r="A577" s="25">
        <v>575</v>
      </c>
      <c r="B577" s="22" t="s">
        <v>25</v>
      </c>
      <c r="C577" s="22" t="str">
        <f>"200620112710"</f>
        <v>200620112710</v>
      </c>
      <c r="D577" s="22" t="str">
        <f>"谭嫒嫒"</f>
        <v>谭嫒嫒</v>
      </c>
      <c r="E577" s="25" t="s">
        <v>4</v>
      </c>
      <c r="F577" s="19" t="s">
        <v>54</v>
      </c>
      <c r="G577" s="19" t="s">
        <v>68</v>
      </c>
      <c r="H577" s="19" t="s">
        <v>67</v>
      </c>
    </row>
    <row r="578" spans="1:8" ht="45" customHeight="1" thickTop="1">
      <c r="A578" s="11">
        <v>576</v>
      </c>
      <c r="B578" s="10" t="s">
        <v>14</v>
      </c>
      <c r="C578" s="10" t="str">
        <f>"200620123503"</f>
        <v>200620123503</v>
      </c>
      <c r="D578" s="10" t="str">
        <f>"陈子琪"</f>
        <v>陈子琪</v>
      </c>
      <c r="E578" s="9" t="s">
        <v>4</v>
      </c>
      <c r="F578" s="12" t="s">
        <v>54</v>
      </c>
      <c r="G578" s="12" t="s">
        <v>69</v>
      </c>
      <c r="H578" s="12" t="s">
        <v>70</v>
      </c>
    </row>
    <row r="579" spans="1:8" ht="45" customHeight="1">
      <c r="A579" s="9">
        <v>577</v>
      </c>
      <c r="B579" s="14" t="s">
        <v>14</v>
      </c>
      <c r="C579" s="14" t="str">
        <f>"200620123611"</f>
        <v>200620123611</v>
      </c>
      <c r="D579" s="14" t="str">
        <f>"刘珍艾"</f>
        <v>刘珍艾</v>
      </c>
      <c r="E579" s="9" t="s">
        <v>4</v>
      </c>
      <c r="F579" s="12" t="s">
        <v>54</v>
      </c>
      <c r="G579" s="12" t="s">
        <v>69</v>
      </c>
      <c r="H579" s="12" t="s">
        <v>70</v>
      </c>
    </row>
    <row r="580" spans="1:8" ht="45" customHeight="1">
      <c r="A580" s="9">
        <v>578</v>
      </c>
      <c r="B580" s="14" t="s">
        <v>14</v>
      </c>
      <c r="C580" s="14" t="str">
        <f>"200620123609"</f>
        <v>200620123609</v>
      </c>
      <c r="D580" s="14" t="str">
        <f>"谭瑶"</f>
        <v>谭瑶</v>
      </c>
      <c r="E580" s="9" t="s">
        <v>4</v>
      </c>
      <c r="F580" s="12" t="s">
        <v>54</v>
      </c>
      <c r="G580" s="12" t="s">
        <v>69</v>
      </c>
      <c r="H580" s="12" t="s">
        <v>70</v>
      </c>
    </row>
    <row r="581" spans="1:8" ht="45" customHeight="1">
      <c r="A581" s="9">
        <v>579</v>
      </c>
      <c r="B581" s="14" t="s">
        <v>14</v>
      </c>
      <c r="C581" s="14" t="str">
        <f>"200620123532"</f>
        <v>200620123532</v>
      </c>
      <c r="D581" s="14" t="str">
        <f>"易婷"</f>
        <v>易婷</v>
      </c>
      <c r="E581" s="11" t="s">
        <v>4</v>
      </c>
      <c r="F581" s="12" t="s">
        <v>79</v>
      </c>
      <c r="G581" s="12" t="s">
        <v>69</v>
      </c>
      <c r="H581" s="12" t="s">
        <v>70</v>
      </c>
    </row>
    <row r="582" spans="1:8" ht="45" customHeight="1">
      <c r="A582" s="9">
        <v>580</v>
      </c>
      <c r="B582" s="14" t="s">
        <v>14</v>
      </c>
      <c r="C582" s="14" t="str">
        <f>"200620123612"</f>
        <v>200620123612</v>
      </c>
      <c r="D582" s="14" t="str">
        <f>"刘文琪"</f>
        <v>刘文琪</v>
      </c>
      <c r="E582" s="9" t="s">
        <v>4</v>
      </c>
      <c r="F582" s="12" t="s">
        <v>54</v>
      </c>
      <c r="G582" s="12" t="s">
        <v>69</v>
      </c>
      <c r="H582" s="12" t="s">
        <v>70</v>
      </c>
    </row>
    <row r="583" spans="1:8" ht="45" customHeight="1">
      <c r="A583" s="9">
        <v>581</v>
      </c>
      <c r="B583" s="14" t="s">
        <v>14</v>
      </c>
      <c r="C583" s="14" t="str">
        <f>"200620123607"</f>
        <v>200620123607</v>
      </c>
      <c r="D583" s="14" t="str">
        <f>"刘巧"</f>
        <v>刘巧</v>
      </c>
      <c r="E583" s="9" t="s">
        <v>4</v>
      </c>
      <c r="F583" s="12" t="s">
        <v>54</v>
      </c>
      <c r="G583" s="12" t="s">
        <v>69</v>
      </c>
      <c r="H583" s="12" t="s">
        <v>70</v>
      </c>
    </row>
    <row r="584" spans="1:8" ht="45" customHeight="1">
      <c r="A584" s="9">
        <v>582</v>
      </c>
      <c r="B584" s="10" t="s">
        <v>5</v>
      </c>
      <c r="C584" s="10" t="str">
        <f>"200620112624"</f>
        <v>200620112624</v>
      </c>
      <c r="D584" s="10" t="str">
        <f>"谭春艳"</f>
        <v>谭春艳</v>
      </c>
      <c r="E584" s="16" t="s">
        <v>55</v>
      </c>
      <c r="F584" s="12" t="s">
        <v>54</v>
      </c>
      <c r="G584" s="12" t="s">
        <v>69</v>
      </c>
      <c r="H584" s="12" t="s">
        <v>70</v>
      </c>
    </row>
    <row r="585" spans="1:8" ht="45" customHeight="1">
      <c r="A585" s="9">
        <v>583</v>
      </c>
      <c r="B585" s="14" t="s">
        <v>5</v>
      </c>
      <c r="C585" s="14" t="str">
        <f>"200620112620"</f>
        <v>200620112620</v>
      </c>
      <c r="D585" s="14" t="str">
        <f>"江国琼"</f>
        <v>江国琼</v>
      </c>
      <c r="E585" s="9" t="s">
        <v>4</v>
      </c>
      <c r="F585" s="12" t="s">
        <v>54</v>
      </c>
      <c r="G585" s="12" t="s">
        <v>69</v>
      </c>
      <c r="H585" s="12" t="s">
        <v>70</v>
      </c>
    </row>
    <row r="586" spans="1:8" ht="45" customHeight="1">
      <c r="A586" s="9">
        <v>584</v>
      </c>
      <c r="B586" s="14" t="s">
        <v>17</v>
      </c>
      <c r="C586" s="14" t="str">
        <f>"200620112910"</f>
        <v>200620112910</v>
      </c>
      <c r="D586" s="14" t="str">
        <f>"易凡"</f>
        <v>易凡</v>
      </c>
      <c r="E586" s="11" t="s">
        <v>4</v>
      </c>
      <c r="F586" s="12" t="s">
        <v>54</v>
      </c>
      <c r="G586" s="12" t="s">
        <v>69</v>
      </c>
      <c r="H586" s="12" t="s">
        <v>70</v>
      </c>
    </row>
    <row r="587" spans="1:8" ht="45" customHeight="1">
      <c r="A587" s="9">
        <v>585</v>
      </c>
      <c r="B587" s="14" t="s">
        <v>17</v>
      </c>
      <c r="C587" s="14" t="str">
        <f>"200620112902"</f>
        <v>200620112902</v>
      </c>
      <c r="D587" s="14" t="str">
        <f>"邹巍伟"</f>
        <v>邹巍伟</v>
      </c>
      <c r="E587" s="9" t="s">
        <v>4</v>
      </c>
      <c r="F587" s="12" t="s">
        <v>54</v>
      </c>
      <c r="G587" s="12" t="s">
        <v>69</v>
      </c>
      <c r="H587" s="12" t="s">
        <v>70</v>
      </c>
    </row>
    <row r="588" spans="1:8" ht="45" customHeight="1">
      <c r="A588" s="9">
        <v>586</v>
      </c>
      <c r="B588" s="14" t="s">
        <v>17</v>
      </c>
      <c r="C588" s="14" t="str">
        <f>"200620112906"</f>
        <v>200620112906</v>
      </c>
      <c r="D588" s="14" t="str">
        <f>"谭芳丽"</f>
        <v>谭芳丽</v>
      </c>
      <c r="E588" s="9" t="s">
        <v>4</v>
      </c>
      <c r="F588" s="12" t="s">
        <v>54</v>
      </c>
      <c r="G588" s="12" t="s">
        <v>69</v>
      </c>
      <c r="H588" s="12" t="s">
        <v>70</v>
      </c>
    </row>
    <row r="589" spans="1:8" ht="45" customHeight="1">
      <c r="A589" s="9">
        <v>587</v>
      </c>
      <c r="B589" s="14" t="s">
        <v>17</v>
      </c>
      <c r="C589" s="14" t="str">
        <f>"200620112903"</f>
        <v>200620112903</v>
      </c>
      <c r="D589" s="14" t="str">
        <f>"谭钦文"</f>
        <v>谭钦文</v>
      </c>
      <c r="E589" s="9" t="s">
        <v>4</v>
      </c>
      <c r="F589" s="12" t="s">
        <v>54</v>
      </c>
      <c r="G589" s="12" t="s">
        <v>69</v>
      </c>
      <c r="H589" s="12" t="s">
        <v>70</v>
      </c>
    </row>
    <row r="590" spans="1:8" ht="45" customHeight="1">
      <c r="A590" s="9">
        <v>588</v>
      </c>
      <c r="B590" s="14" t="s">
        <v>17</v>
      </c>
      <c r="C590" s="14" t="str">
        <f>"200620112901"</f>
        <v>200620112901</v>
      </c>
      <c r="D590" s="14" t="str">
        <f>"毛灵香"</f>
        <v>毛灵香</v>
      </c>
      <c r="E590" s="9" t="s">
        <v>4</v>
      </c>
      <c r="F590" s="12" t="s">
        <v>54</v>
      </c>
      <c r="G590" s="12" t="s">
        <v>69</v>
      </c>
      <c r="H590" s="12" t="s">
        <v>70</v>
      </c>
    </row>
    <row r="591" spans="1:8" ht="45" customHeight="1">
      <c r="A591" s="9">
        <v>589</v>
      </c>
      <c r="B591" s="14" t="s">
        <v>6</v>
      </c>
      <c r="C591" s="14" t="str">
        <f>"200620113228"</f>
        <v>200620113228</v>
      </c>
      <c r="D591" s="14" t="str">
        <f>"张晓媚"</f>
        <v>张晓媚</v>
      </c>
      <c r="E591" s="9" t="s">
        <v>4</v>
      </c>
      <c r="F591" s="12" t="s">
        <v>54</v>
      </c>
      <c r="G591" s="12" t="s">
        <v>69</v>
      </c>
      <c r="H591" s="12" t="s">
        <v>70</v>
      </c>
    </row>
    <row r="592" spans="1:8" ht="45" customHeight="1">
      <c r="A592" s="9">
        <v>590</v>
      </c>
      <c r="B592" s="14" t="s">
        <v>6</v>
      </c>
      <c r="C592" s="14" t="str">
        <f>"200620113229"</f>
        <v>200620113229</v>
      </c>
      <c r="D592" s="14" t="str">
        <f>"何明慧"</f>
        <v>何明慧</v>
      </c>
      <c r="E592" s="9" t="s">
        <v>4</v>
      </c>
      <c r="F592" s="12" t="s">
        <v>54</v>
      </c>
      <c r="G592" s="12" t="s">
        <v>69</v>
      </c>
      <c r="H592" s="12" t="s">
        <v>70</v>
      </c>
    </row>
    <row r="593" spans="1:8" ht="45" customHeight="1">
      <c r="A593" s="9">
        <v>591</v>
      </c>
      <c r="B593" s="14" t="s">
        <v>18</v>
      </c>
      <c r="C593" s="14" t="str">
        <f>"200620112702"</f>
        <v>200620112702</v>
      </c>
      <c r="D593" s="14" t="str">
        <f>"鲜晓锋"</f>
        <v>鲜晓锋</v>
      </c>
      <c r="E593" s="9" t="s">
        <v>4</v>
      </c>
      <c r="F593" s="12" t="s">
        <v>54</v>
      </c>
      <c r="G593" s="12" t="s">
        <v>69</v>
      </c>
      <c r="H593" s="12" t="s">
        <v>70</v>
      </c>
    </row>
    <row r="594" spans="1:8" ht="45" customHeight="1">
      <c r="A594" s="9">
        <v>592</v>
      </c>
      <c r="B594" s="10" t="s">
        <v>7</v>
      </c>
      <c r="C594" s="10" t="str">
        <f>"200620112515"</f>
        <v>200620112515</v>
      </c>
      <c r="D594" s="10" t="str">
        <f>"谭若琪"</f>
        <v>谭若琪</v>
      </c>
      <c r="E594" s="11" t="s">
        <v>4</v>
      </c>
      <c r="F594" s="12" t="s">
        <v>54</v>
      </c>
      <c r="G594" s="12" t="s">
        <v>69</v>
      </c>
      <c r="H594" s="12" t="s">
        <v>70</v>
      </c>
    </row>
    <row r="595" spans="1:8" ht="45" customHeight="1">
      <c r="A595" s="9">
        <v>593</v>
      </c>
      <c r="B595" s="14" t="s">
        <v>7</v>
      </c>
      <c r="C595" s="14" t="str">
        <f>"200620112520"</f>
        <v>200620112520</v>
      </c>
      <c r="D595" s="14" t="str">
        <f>"刘琪"</f>
        <v>刘琪</v>
      </c>
      <c r="E595" s="9" t="s">
        <v>4</v>
      </c>
      <c r="F595" s="12" t="s">
        <v>54</v>
      </c>
      <c r="G595" s="12" t="s">
        <v>69</v>
      </c>
      <c r="H595" s="12" t="s">
        <v>70</v>
      </c>
    </row>
    <row r="596" spans="1:8" ht="45" customHeight="1">
      <c r="A596" s="9">
        <v>594</v>
      </c>
      <c r="B596" s="14" t="s">
        <v>19</v>
      </c>
      <c r="C596" s="14" t="str">
        <f>"200620112920"</f>
        <v>200620112920</v>
      </c>
      <c r="D596" s="14" t="str">
        <f>"刘珍"</f>
        <v>刘珍</v>
      </c>
      <c r="E596" s="9" t="s">
        <v>4</v>
      </c>
      <c r="F596" s="29" t="s">
        <v>54</v>
      </c>
      <c r="G596" s="29" t="s">
        <v>69</v>
      </c>
      <c r="H596" s="29" t="s">
        <v>70</v>
      </c>
    </row>
    <row r="597" spans="1:8" ht="45" customHeight="1">
      <c r="A597" s="9">
        <v>595</v>
      </c>
      <c r="B597" s="14" t="s">
        <v>11</v>
      </c>
      <c r="C597" s="14" t="str">
        <f>"200620113604"</f>
        <v>200620113604</v>
      </c>
      <c r="D597" s="14" t="str">
        <f>"肖丽利"</f>
        <v>肖丽利</v>
      </c>
      <c r="E597" s="9" t="s">
        <v>4</v>
      </c>
      <c r="F597" s="29" t="s">
        <v>54</v>
      </c>
      <c r="G597" s="29" t="s">
        <v>69</v>
      </c>
      <c r="H597" s="29" t="s">
        <v>70</v>
      </c>
    </row>
    <row r="598" spans="1:8" ht="45" customHeight="1">
      <c r="A598" s="9">
        <v>596</v>
      </c>
      <c r="B598" s="14" t="s">
        <v>11</v>
      </c>
      <c r="C598" s="14" t="str">
        <f>"200620113528"</f>
        <v>200620113528</v>
      </c>
      <c r="D598" s="14" t="str">
        <f>"向羽"</f>
        <v>向羽</v>
      </c>
      <c r="E598" s="9" t="s">
        <v>4</v>
      </c>
      <c r="F598" s="12" t="s">
        <v>54</v>
      </c>
      <c r="G598" s="29" t="s">
        <v>69</v>
      </c>
      <c r="H598" s="29" t="s">
        <v>70</v>
      </c>
    </row>
    <row r="599" spans="1:8" ht="45" customHeight="1">
      <c r="A599" s="9">
        <v>597</v>
      </c>
      <c r="B599" s="14" t="s">
        <v>22</v>
      </c>
      <c r="C599" s="14" t="str">
        <f>"200620112024"</f>
        <v>200620112024</v>
      </c>
      <c r="D599" s="14" t="str">
        <f>"冯婕"</f>
        <v>冯婕</v>
      </c>
      <c r="E599" s="9" t="s">
        <v>4</v>
      </c>
      <c r="F599" s="12" t="s">
        <v>54</v>
      </c>
      <c r="G599" s="29" t="s">
        <v>69</v>
      </c>
      <c r="H599" s="29" t="s">
        <v>70</v>
      </c>
    </row>
    <row r="600" spans="1:8" ht="45" customHeight="1">
      <c r="A600" s="9">
        <v>598</v>
      </c>
      <c r="B600" s="14" t="s">
        <v>22</v>
      </c>
      <c r="C600" s="14" t="str">
        <f>"200620112117"</f>
        <v>200620112117</v>
      </c>
      <c r="D600" s="14" t="str">
        <f>"谭小芳"</f>
        <v>谭小芳</v>
      </c>
      <c r="E600" s="9" t="s">
        <v>4</v>
      </c>
      <c r="F600" s="12" t="s">
        <v>54</v>
      </c>
      <c r="G600" s="29" t="s">
        <v>69</v>
      </c>
      <c r="H600" s="29" t="s">
        <v>70</v>
      </c>
    </row>
    <row r="601" spans="1:8" ht="45" customHeight="1">
      <c r="A601" s="9">
        <v>599</v>
      </c>
      <c r="B601" s="14" t="s">
        <v>22</v>
      </c>
      <c r="C601" s="14" t="str">
        <f>"200620112123"</f>
        <v>200620112123</v>
      </c>
      <c r="D601" s="14" t="str">
        <f>"颜文利娜"</f>
        <v>颜文利娜</v>
      </c>
      <c r="E601" s="9" t="s">
        <v>4</v>
      </c>
      <c r="F601" s="12" t="s">
        <v>54</v>
      </c>
      <c r="G601" s="29" t="s">
        <v>69</v>
      </c>
      <c r="H601" s="29" t="s">
        <v>70</v>
      </c>
    </row>
    <row r="602" spans="1:8" ht="45" customHeight="1">
      <c r="A602" s="9">
        <v>600</v>
      </c>
      <c r="B602" s="14" t="s">
        <v>22</v>
      </c>
      <c r="C602" s="14" t="str">
        <f>"200620112002"</f>
        <v>200620112002</v>
      </c>
      <c r="D602" s="14" t="str">
        <f>"彭佳欣"</f>
        <v>彭佳欣</v>
      </c>
      <c r="E602" s="9" t="s">
        <v>4</v>
      </c>
      <c r="F602" s="12" t="s">
        <v>54</v>
      </c>
      <c r="G602" s="29" t="s">
        <v>69</v>
      </c>
      <c r="H602" s="29" t="s">
        <v>70</v>
      </c>
    </row>
    <row r="603" spans="1:8" ht="45" customHeight="1">
      <c r="A603" s="9">
        <v>601</v>
      </c>
      <c r="B603" s="14" t="s">
        <v>22</v>
      </c>
      <c r="C603" s="14" t="str">
        <f>"200620112213"</f>
        <v>200620112213</v>
      </c>
      <c r="D603" s="14" t="str">
        <f>"贺青青"</f>
        <v>贺青青</v>
      </c>
      <c r="E603" s="9" t="s">
        <v>4</v>
      </c>
      <c r="F603" s="12" t="s">
        <v>54</v>
      </c>
      <c r="G603" s="29" t="s">
        <v>69</v>
      </c>
      <c r="H603" s="29" t="s">
        <v>70</v>
      </c>
    </row>
    <row r="604" spans="1:8" ht="45" customHeight="1">
      <c r="A604" s="9">
        <v>602</v>
      </c>
      <c r="B604" s="14" t="s">
        <v>22</v>
      </c>
      <c r="C604" s="14" t="str">
        <f>"200620112230"</f>
        <v>200620112230</v>
      </c>
      <c r="D604" s="14" t="str">
        <f>"刘俊俏"</f>
        <v>刘俊俏</v>
      </c>
      <c r="E604" s="9" t="s">
        <v>4</v>
      </c>
      <c r="F604" s="12" t="s">
        <v>54</v>
      </c>
      <c r="G604" s="29" t="s">
        <v>69</v>
      </c>
      <c r="H604" s="29" t="s">
        <v>70</v>
      </c>
    </row>
    <row r="605" spans="1:8" ht="45" customHeight="1">
      <c r="A605" s="9">
        <v>603</v>
      </c>
      <c r="B605" s="14" t="s">
        <v>24</v>
      </c>
      <c r="C605" s="14" t="str">
        <f>"200620113415"</f>
        <v>200620113415</v>
      </c>
      <c r="D605" s="14" t="str">
        <f>"陈丽娟"</f>
        <v>陈丽娟</v>
      </c>
      <c r="E605" s="9" t="s">
        <v>4</v>
      </c>
      <c r="F605" s="12" t="s">
        <v>54</v>
      </c>
      <c r="G605" s="29" t="s">
        <v>69</v>
      </c>
      <c r="H605" s="29" t="s">
        <v>70</v>
      </c>
    </row>
    <row r="606" spans="1:8" ht="45" customHeight="1">
      <c r="A606" s="9">
        <v>604</v>
      </c>
      <c r="B606" s="14" t="s">
        <v>24</v>
      </c>
      <c r="C606" s="14" t="str">
        <f>"200620113403"</f>
        <v>200620113403</v>
      </c>
      <c r="D606" s="14" t="str">
        <f>"杨利军"</f>
        <v>杨利军</v>
      </c>
      <c r="E606" s="9" t="s">
        <v>4</v>
      </c>
      <c r="F606" s="12" t="s">
        <v>54</v>
      </c>
      <c r="G606" s="29" t="s">
        <v>69</v>
      </c>
      <c r="H606" s="29" t="s">
        <v>70</v>
      </c>
    </row>
    <row r="607" spans="1:8" ht="45" customHeight="1">
      <c r="A607" s="9">
        <v>605</v>
      </c>
      <c r="B607" s="14" t="s">
        <v>24</v>
      </c>
      <c r="C607" s="14" t="str">
        <f>"200620113315"</f>
        <v>200620113315</v>
      </c>
      <c r="D607" s="14" t="str">
        <f>"易雨琦"</f>
        <v>易雨琦</v>
      </c>
      <c r="E607" s="9" t="s">
        <v>4</v>
      </c>
      <c r="F607" s="12" t="s">
        <v>54</v>
      </c>
      <c r="G607" s="29" t="s">
        <v>69</v>
      </c>
      <c r="H607" s="29" t="s">
        <v>70</v>
      </c>
    </row>
    <row r="608" spans="1:8" ht="45" customHeight="1">
      <c r="A608" s="9">
        <v>606</v>
      </c>
      <c r="B608" s="14" t="s">
        <v>24</v>
      </c>
      <c r="C608" s="14" t="str">
        <f>"200620113416"</f>
        <v>200620113416</v>
      </c>
      <c r="D608" s="14" t="str">
        <f>"周婉儿"</f>
        <v>周婉儿</v>
      </c>
      <c r="E608" s="9" t="s">
        <v>4</v>
      </c>
      <c r="F608" s="12" t="s">
        <v>54</v>
      </c>
      <c r="G608" s="29" t="s">
        <v>69</v>
      </c>
      <c r="H608" s="29" t="s">
        <v>70</v>
      </c>
    </row>
    <row r="609" spans="1:8" ht="45" customHeight="1">
      <c r="A609" s="9">
        <v>607</v>
      </c>
      <c r="B609" s="14" t="s">
        <v>24</v>
      </c>
      <c r="C609" s="14" t="str">
        <f>"200620113407"</f>
        <v>200620113407</v>
      </c>
      <c r="D609" s="14" t="str">
        <f>"陈佳慧"</f>
        <v>陈佳慧</v>
      </c>
      <c r="E609" s="9" t="s">
        <v>4</v>
      </c>
      <c r="F609" s="12" t="s">
        <v>54</v>
      </c>
      <c r="G609" s="29" t="s">
        <v>69</v>
      </c>
      <c r="H609" s="29" t="s">
        <v>70</v>
      </c>
    </row>
    <row r="610" spans="1:8" ht="45" customHeight="1">
      <c r="A610" s="9">
        <v>608</v>
      </c>
      <c r="B610" s="14" t="s">
        <v>24</v>
      </c>
      <c r="C610" s="14" t="str">
        <f>"200620113422"</f>
        <v>200620113422</v>
      </c>
      <c r="D610" s="14" t="str">
        <f>"岳思妮"</f>
        <v>岳思妮</v>
      </c>
      <c r="E610" s="9" t="s">
        <v>4</v>
      </c>
      <c r="F610" s="12" t="s">
        <v>54</v>
      </c>
      <c r="G610" s="29" t="s">
        <v>69</v>
      </c>
      <c r="H610" s="29" t="s">
        <v>70</v>
      </c>
    </row>
    <row r="611" spans="1:8" ht="45" customHeight="1" thickBot="1">
      <c r="A611" s="25">
        <v>609</v>
      </c>
      <c r="B611" s="17" t="s">
        <v>24</v>
      </c>
      <c r="C611" s="17" t="str">
        <f>"200620113514"</f>
        <v>200620113514</v>
      </c>
      <c r="D611" s="17" t="str">
        <f>"唐玲"</f>
        <v>唐玲</v>
      </c>
      <c r="E611" s="25" t="s">
        <v>4</v>
      </c>
      <c r="F611" s="19" t="s">
        <v>54</v>
      </c>
      <c r="G611" s="19" t="s">
        <v>69</v>
      </c>
      <c r="H611" s="19" t="s">
        <v>70</v>
      </c>
    </row>
    <row r="612" spans="1:8" ht="30" customHeight="1" thickTop="1"/>
  </sheetData>
  <mergeCells count="1">
    <mergeCell ref="A1:H1"/>
  </mergeCells>
  <phoneticPr fontId="3" type="noConversion"/>
  <pageMargins left="0.19685039370078741" right="0.19685039370078741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面试人员名单</vt:lpstr>
      <vt:lpstr>面试人员名单!Print_Titles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xbany</cp:lastModifiedBy>
  <cp:lastPrinted>2020-07-14T12:51:40Z</cp:lastPrinted>
  <dcterms:created xsi:type="dcterms:W3CDTF">2020-07-03T02:09:00Z</dcterms:created>
  <dcterms:modified xsi:type="dcterms:W3CDTF">2020-07-16T08:29:28Z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