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<sst xmlns="http://schemas.openxmlformats.org/spreadsheetml/2006/main" count="242" uniqueCount="16">
  <si>
    <t>2020年海口市龙华区面向全国公开招聘</t>
  </si>
  <si>
    <t>幼儿园正副园长报考资格初审合格人员名单</t>
  </si>
  <si>
    <t>序号</t>
  </si>
  <si>
    <t>报考号</t>
  </si>
  <si>
    <t>报考岗位</t>
  </si>
  <si>
    <t>姓名</t>
  </si>
  <si>
    <t>性别</t>
  </si>
  <si>
    <t>学历</t>
  </si>
  <si>
    <t>毕业院校</t>
  </si>
  <si>
    <t>所学专业</t>
  </si>
  <si>
    <t>教师资格证种类</t>
  </si>
  <si>
    <t>教师资格证编号</t>
  </si>
  <si>
    <t>备注</t>
  </si>
  <si>
    <t>0101_幼儿园岗位1组</t>
  </si>
  <si>
    <t>0102_幼儿园岗位2组</t>
  </si>
  <si>
    <t>0103_幼儿园岗位3组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</si>
</sst>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color indexed="8"/>
      <name val="宋体"/>
      <family val="0"/>
    </font>
    <font>
      <sz val="16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21" fillId="0" borderId="9" xfId="0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32"/>
  <sheetViews>
    <sheetView tabSelected="1" zoomScale="90" zoomScaleNormal="90" zoomScaleSheetLayoutView="100" workbookViewId="0" topLeftCell="A214">
      <selection activeCell="O12" sqref="O12"/>
    </sheetView>
  </sheetViews>
  <sheetFormatPr defaultColWidth="9.00390625" defaultRowHeight="14.25"/>
  <cols>
    <col min="1" max="1" width="4.875" style="2" customWidth="1"/>
    <col min="2" max="2" width="23.875" style="1" customWidth="1"/>
    <col min="3" max="3" width="18.875" style="1" customWidth="1"/>
    <col min="4" max="4" width="6.625" style="1" customWidth="1"/>
    <col min="5" max="5" width="5.00390625" style="1" customWidth="1"/>
    <col min="6" max="6" width="6.625" style="1" customWidth="1"/>
    <col min="7" max="7" width="21.00390625" style="1" customWidth="1"/>
    <col min="8" max="8" width="19.75390625" style="1" customWidth="1"/>
    <col min="9" max="9" width="14.625" style="1" customWidth="1"/>
    <col min="10" max="10" width="18.75390625" style="1" customWidth="1"/>
    <col min="11" max="16384" width="9.00390625" style="1" customWidth="1"/>
  </cols>
  <sheetData>
    <row r="1" spans="1:11" ht="33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33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s="1" customFormat="1" ht="30" customHeight="1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7" t="s">
        <v>12</v>
      </c>
    </row>
    <row r="4" spans="1:11" s="1" customFormat="1" ht="30" customHeight="1">
      <c r="A4" s="7">
        <v>1</v>
      </c>
      <c r="B4" s="8" t="str">
        <f>"23132020060808295125121"</f>
        <v>23132020060808295125121</v>
      </c>
      <c r="C4" s="8" t="s">
        <v>13</v>
      </c>
      <c r="D4" s="8" t="str">
        <f>"湛莉"</f>
        <v>湛莉</v>
      </c>
      <c r="E4" s="8" t="str">
        <f aca="true" t="shared" si="0" ref="E4:E16">"女"</f>
        <v>女</v>
      </c>
      <c r="F4" s="8" t="str">
        <f>"本科"</f>
        <v>本科</v>
      </c>
      <c r="G4" s="8" t="str">
        <f>"湖南师范大学"</f>
        <v>湖南师范大学</v>
      </c>
      <c r="H4" s="8" t="str">
        <f>"教育学"</f>
        <v>教育学</v>
      </c>
      <c r="I4" s="8" t="str">
        <f aca="true" t="shared" si="1" ref="I4:I67">"幼儿园教师资格"</f>
        <v>幼儿园教师资格</v>
      </c>
      <c r="J4" s="8" t="str">
        <f>"20114600612000097"</f>
        <v>20114600612000097</v>
      </c>
      <c r="K4" s="9"/>
    </row>
    <row r="5" spans="1:11" s="1" customFormat="1" ht="30" customHeight="1">
      <c r="A5" s="7">
        <v>2</v>
      </c>
      <c r="B5" s="8" t="str">
        <f>"23132020060809142225129"</f>
        <v>23132020060809142225129</v>
      </c>
      <c r="C5" s="8" t="s">
        <v>13</v>
      </c>
      <c r="D5" s="8" t="str">
        <f>"李宗霞"</f>
        <v>李宗霞</v>
      </c>
      <c r="E5" s="8" t="str">
        <f t="shared" si="0"/>
        <v>女</v>
      </c>
      <c r="F5" s="8" t="str">
        <f aca="true" t="shared" si="2" ref="F5:F11">"大专"</f>
        <v>大专</v>
      </c>
      <c r="G5" s="8" t="str">
        <f>"海南师范大学"</f>
        <v>海南师范大学</v>
      </c>
      <c r="H5" s="8" t="str">
        <f>"学前教育"</f>
        <v>学前教育</v>
      </c>
      <c r="I5" s="8" t="str">
        <f t="shared" si="1"/>
        <v>幼儿园教师资格</v>
      </c>
      <c r="J5" s="8" t="str">
        <f>"20104600112001270"</f>
        <v>20104600112001270</v>
      </c>
      <c r="K5" s="9"/>
    </row>
    <row r="6" spans="1:11" s="1" customFormat="1" ht="30" customHeight="1">
      <c r="A6" s="7">
        <v>3</v>
      </c>
      <c r="B6" s="8" t="str">
        <f>"23132020060809585425146"</f>
        <v>23132020060809585425146</v>
      </c>
      <c r="C6" s="8" t="s">
        <v>13</v>
      </c>
      <c r="D6" s="8" t="str">
        <f>"黄三莲"</f>
        <v>黄三莲</v>
      </c>
      <c r="E6" s="8" t="str">
        <f t="shared" si="0"/>
        <v>女</v>
      </c>
      <c r="F6" s="8" t="str">
        <f t="shared" si="2"/>
        <v>大专</v>
      </c>
      <c r="G6" s="8" t="str">
        <f>"广东文艺职业学院"</f>
        <v>广东文艺职业学院</v>
      </c>
      <c r="H6" s="8" t="str">
        <f>"舞蹈表演"</f>
        <v>舞蹈表演</v>
      </c>
      <c r="I6" s="8" t="str">
        <f t="shared" si="1"/>
        <v>幼儿园教师资格</v>
      </c>
      <c r="J6" s="8" t="str">
        <f>"20144405512000847"</f>
        <v>20144405512000847</v>
      </c>
      <c r="K6" s="9"/>
    </row>
    <row r="7" spans="1:11" s="1" customFormat="1" ht="30" customHeight="1">
      <c r="A7" s="7">
        <v>4</v>
      </c>
      <c r="B7" s="8" t="str">
        <f>"23132020060810294825150"</f>
        <v>23132020060810294825150</v>
      </c>
      <c r="C7" s="8" t="s">
        <v>13</v>
      </c>
      <c r="D7" s="8" t="str">
        <f>"王娜"</f>
        <v>王娜</v>
      </c>
      <c r="E7" s="8" t="str">
        <f t="shared" si="0"/>
        <v>女</v>
      </c>
      <c r="F7" s="8" t="str">
        <f t="shared" si="2"/>
        <v>大专</v>
      </c>
      <c r="G7" s="8" t="str">
        <f>"陇东学院"</f>
        <v>陇东学院</v>
      </c>
      <c r="H7" s="8" t="str">
        <f>"语文教育"</f>
        <v>语文教育</v>
      </c>
      <c r="I7" s="8" t="str">
        <f t="shared" si="1"/>
        <v>幼儿园教师资格</v>
      </c>
      <c r="J7" s="8" t="str">
        <f>"20164602412000013"</f>
        <v>20164602412000013</v>
      </c>
      <c r="K7" s="9"/>
    </row>
    <row r="8" spans="1:11" s="1" customFormat="1" ht="30" customHeight="1">
      <c r="A8" s="7">
        <v>5</v>
      </c>
      <c r="B8" s="8" t="str">
        <f>"23132020060812114125164"</f>
        <v>23132020060812114125164</v>
      </c>
      <c r="C8" s="8" t="s">
        <v>13</v>
      </c>
      <c r="D8" s="8" t="str">
        <f>"黎培菊"</f>
        <v>黎培菊</v>
      </c>
      <c r="E8" s="8" t="str">
        <f t="shared" si="0"/>
        <v>女</v>
      </c>
      <c r="F8" s="8" t="str">
        <f t="shared" si="2"/>
        <v>大专</v>
      </c>
      <c r="G8" s="8" t="str">
        <f>"琼州学院"</f>
        <v>琼州学院</v>
      </c>
      <c r="H8" s="8" t="str">
        <f>"生物教育"</f>
        <v>生物教育</v>
      </c>
      <c r="I8" s="8" t="str">
        <f t="shared" si="1"/>
        <v>幼儿园教师资格</v>
      </c>
      <c r="J8" s="8" t="str">
        <f>"20164602712000019"</f>
        <v>20164602712000019</v>
      </c>
      <c r="K8" s="9"/>
    </row>
    <row r="9" spans="1:11" s="1" customFormat="1" ht="30" customHeight="1">
      <c r="A9" s="7">
        <v>6</v>
      </c>
      <c r="B9" s="8" t="str">
        <f>"23132020060812114325165"</f>
        <v>23132020060812114325165</v>
      </c>
      <c r="C9" s="8" t="s">
        <v>13</v>
      </c>
      <c r="D9" s="8" t="str">
        <f>"符淑霞"</f>
        <v>符淑霞</v>
      </c>
      <c r="E9" s="8" t="str">
        <f t="shared" si="0"/>
        <v>女</v>
      </c>
      <c r="F9" s="8" t="str">
        <f t="shared" si="2"/>
        <v>大专</v>
      </c>
      <c r="G9" s="8" t="str">
        <f>"琼台师范高等专科学校"</f>
        <v>琼台师范高等专科学校</v>
      </c>
      <c r="H9" s="8" t="str">
        <f>"学前教育"</f>
        <v>学前教育</v>
      </c>
      <c r="I9" s="8" t="str">
        <f t="shared" si="1"/>
        <v>幼儿园教师资格</v>
      </c>
      <c r="J9" s="8" t="str">
        <f>"20114600112005147"</f>
        <v>20114600112005147</v>
      </c>
      <c r="K9" s="9"/>
    </row>
    <row r="10" spans="1:11" s="1" customFormat="1" ht="30" customHeight="1">
      <c r="A10" s="7">
        <v>7</v>
      </c>
      <c r="B10" s="8" t="str">
        <f>"23132020060812330925170"</f>
        <v>23132020060812330925170</v>
      </c>
      <c r="C10" s="8" t="s">
        <v>13</v>
      </c>
      <c r="D10" s="8" t="str">
        <f>"苏汝琴"</f>
        <v>苏汝琴</v>
      </c>
      <c r="E10" s="8" t="str">
        <f t="shared" si="0"/>
        <v>女</v>
      </c>
      <c r="F10" s="8" t="str">
        <f t="shared" si="2"/>
        <v>大专</v>
      </c>
      <c r="G10" s="8" t="str">
        <f>"海南师范学院"</f>
        <v>海南师范学院</v>
      </c>
      <c r="H10" s="8" t="str">
        <f>"应用电子技术"</f>
        <v>应用电子技术</v>
      </c>
      <c r="I10" s="8" t="str">
        <f t="shared" si="1"/>
        <v>幼儿园教师资格</v>
      </c>
      <c r="J10" s="8" t="str">
        <f>"20174601612000016"</f>
        <v>20174601612000016</v>
      </c>
      <c r="K10" s="9"/>
    </row>
    <row r="11" spans="1:11" s="1" customFormat="1" ht="30" customHeight="1">
      <c r="A11" s="7">
        <v>8</v>
      </c>
      <c r="B11" s="8" t="str">
        <f>"23132020060812563925174"</f>
        <v>23132020060812563925174</v>
      </c>
      <c r="C11" s="8" t="s">
        <v>13</v>
      </c>
      <c r="D11" s="8" t="str">
        <f>"李晶"</f>
        <v>李晶</v>
      </c>
      <c r="E11" s="8" t="str">
        <f t="shared" si="0"/>
        <v>女</v>
      </c>
      <c r="F11" s="8" t="str">
        <f t="shared" si="2"/>
        <v>大专</v>
      </c>
      <c r="G11" s="8" t="str">
        <f>"合肥师范学院"</f>
        <v>合肥师范学院</v>
      </c>
      <c r="H11" s="8" t="str">
        <f>"艺术设计"</f>
        <v>艺术设计</v>
      </c>
      <c r="I11" s="8" t="str">
        <f t="shared" si="1"/>
        <v>幼儿园教师资格</v>
      </c>
      <c r="J11" s="8" t="str">
        <f>"20194600412001313"</f>
        <v>20194600412001313</v>
      </c>
      <c r="K11" s="9"/>
    </row>
    <row r="12" spans="1:11" s="1" customFormat="1" ht="30" customHeight="1">
      <c r="A12" s="7">
        <v>9</v>
      </c>
      <c r="B12" s="8" t="str">
        <f>"23132020060813143125178"</f>
        <v>23132020060813143125178</v>
      </c>
      <c r="C12" s="8" t="s">
        <v>13</v>
      </c>
      <c r="D12" s="8" t="str">
        <f>"乔燕红"</f>
        <v>乔燕红</v>
      </c>
      <c r="E12" s="8" t="str">
        <f t="shared" si="0"/>
        <v>女</v>
      </c>
      <c r="F12" s="8" t="str">
        <f aca="true" t="shared" si="3" ref="F12:F14">"本科"</f>
        <v>本科</v>
      </c>
      <c r="G12" s="8" t="str">
        <f>"衡水学院"</f>
        <v>衡水学院</v>
      </c>
      <c r="H12" s="8" t="str">
        <f>"学前教育"</f>
        <v>学前教育</v>
      </c>
      <c r="I12" s="8" t="str">
        <f t="shared" si="1"/>
        <v>幼儿园教师资格</v>
      </c>
      <c r="J12" s="8" t="str">
        <f>"20121305112000230"</f>
        <v>20121305112000230</v>
      </c>
      <c r="K12" s="9"/>
    </row>
    <row r="13" spans="1:11" s="1" customFormat="1" ht="30" customHeight="1">
      <c r="A13" s="7">
        <v>10</v>
      </c>
      <c r="B13" s="8" t="str">
        <f>"23132020060813150425180"</f>
        <v>23132020060813150425180</v>
      </c>
      <c r="C13" s="8" t="s">
        <v>13</v>
      </c>
      <c r="D13" s="8" t="str">
        <f>"甘丽娟"</f>
        <v>甘丽娟</v>
      </c>
      <c r="E13" s="8" t="str">
        <f t="shared" si="0"/>
        <v>女</v>
      </c>
      <c r="F13" s="8" t="str">
        <f t="shared" si="3"/>
        <v>本科</v>
      </c>
      <c r="G13" s="8" t="str">
        <f>"海南大学"</f>
        <v>海南大学</v>
      </c>
      <c r="H13" s="8" t="str">
        <f>"英语（商务英语方向）"</f>
        <v>英语（商务英语方向）</v>
      </c>
      <c r="I13" s="8" t="str">
        <f t="shared" si="1"/>
        <v>幼儿园教师资格</v>
      </c>
      <c r="J13" s="8" t="str">
        <f>"20024600211000041"</f>
        <v>20024600211000041</v>
      </c>
      <c r="K13" s="9"/>
    </row>
    <row r="14" spans="1:11" s="1" customFormat="1" ht="30" customHeight="1">
      <c r="A14" s="7">
        <v>11</v>
      </c>
      <c r="B14" s="8" t="str">
        <f>"23132020060813222125183"</f>
        <v>23132020060813222125183</v>
      </c>
      <c r="C14" s="8" t="s">
        <v>13</v>
      </c>
      <c r="D14" s="8" t="str">
        <f>"李娟"</f>
        <v>李娟</v>
      </c>
      <c r="E14" s="8" t="str">
        <f t="shared" si="0"/>
        <v>女</v>
      </c>
      <c r="F14" s="8" t="str">
        <f t="shared" si="3"/>
        <v>本科</v>
      </c>
      <c r="G14" s="8" t="str">
        <f>"北京师范大学"</f>
        <v>北京师范大学</v>
      </c>
      <c r="H14" s="8" t="str">
        <f>"教育管理"</f>
        <v>教育管理</v>
      </c>
      <c r="I14" s="8" t="str">
        <f t="shared" si="1"/>
        <v>幼儿园教师资格</v>
      </c>
      <c r="J14" s="8" t="str">
        <f>"20014600511000282"</f>
        <v>20014600511000282</v>
      </c>
      <c r="K14" s="9"/>
    </row>
    <row r="15" spans="1:11" s="1" customFormat="1" ht="30" customHeight="1">
      <c r="A15" s="7">
        <v>12</v>
      </c>
      <c r="B15" s="8" t="str">
        <f>"23132020060814094225187"</f>
        <v>23132020060814094225187</v>
      </c>
      <c r="C15" s="8" t="s">
        <v>13</v>
      </c>
      <c r="D15" s="8" t="str">
        <f>"蔡文琪"</f>
        <v>蔡文琪</v>
      </c>
      <c r="E15" s="8" t="str">
        <f t="shared" si="0"/>
        <v>女</v>
      </c>
      <c r="F15" s="8" t="str">
        <f aca="true" t="shared" si="4" ref="F15:F19">"大专"</f>
        <v>大专</v>
      </c>
      <c r="G15" s="8" t="str">
        <f>"海南外国语职业学院"</f>
        <v>海南外国语职业学院</v>
      </c>
      <c r="H15" s="8" t="str">
        <f>"应用英语"</f>
        <v>应用英语</v>
      </c>
      <c r="I15" s="8" t="str">
        <f t="shared" si="1"/>
        <v>幼儿园教师资格</v>
      </c>
      <c r="J15" s="8" t="str">
        <f>"20184601512000066"</f>
        <v>20184601512000066</v>
      </c>
      <c r="K15" s="9"/>
    </row>
    <row r="16" spans="1:11" s="1" customFormat="1" ht="30" customHeight="1">
      <c r="A16" s="7">
        <v>13</v>
      </c>
      <c r="B16" s="8" t="str">
        <f>"23132020060815101225195"</f>
        <v>23132020060815101225195</v>
      </c>
      <c r="C16" s="8" t="s">
        <v>13</v>
      </c>
      <c r="D16" s="8" t="str">
        <f>"邢益婷"</f>
        <v>邢益婷</v>
      </c>
      <c r="E16" s="8" t="str">
        <f t="shared" si="0"/>
        <v>女</v>
      </c>
      <c r="F16" s="8" t="str">
        <f aca="true" t="shared" si="5" ref="F16:F20">"本科"</f>
        <v>本科</v>
      </c>
      <c r="G16" s="8" t="str">
        <f>"海南师范大学"</f>
        <v>海南师范大学</v>
      </c>
      <c r="H16" s="8" t="str">
        <f>"小学教育"</f>
        <v>小学教育</v>
      </c>
      <c r="I16" s="8" t="str">
        <f t="shared" si="1"/>
        <v>幼儿园教师资格</v>
      </c>
      <c r="J16" s="8" t="str">
        <f>"2044600111004245"</f>
        <v>2044600111004245</v>
      </c>
      <c r="K16" s="9"/>
    </row>
    <row r="17" spans="1:11" s="1" customFormat="1" ht="30" customHeight="1">
      <c r="A17" s="7">
        <v>14</v>
      </c>
      <c r="B17" s="8" t="str">
        <f>"23132020060815453325197"</f>
        <v>23132020060815453325197</v>
      </c>
      <c r="C17" s="8" t="s">
        <v>13</v>
      </c>
      <c r="D17" s="8" t="str">
        <f>"童呈祥"</f>
        <v>童呈祥</v>
      </c>
      <c r="E17" s="8" t="str">
        <f>"男"</f>
        <v>男</v>
      </c>
      <c r="F17" s="8" t="str">
        <f t="shared" si="4"/>
        <v>大专</v>
      </c>
      <c r="G17" s="8" t="str">
        <f>"井冈山大学"</f>
        <v>井冈山大学</v>
      </c>
      <c r="H17" s="8" t="str">
        <f aca="true" t="shared" si="6" ref="H17:H23">"学前教育"</f>
        <v>学前教育</v>
      </c>
      <c r="I17" s="8" t="str">
        <f t="shared" si="1"/>
        <v>幼儿园教师资格</v>
      </c>
      <c r="J17" s="8" t="str">
        <f>"20133671511000389"</f>
        <v>20133671511000389</v>
      </c>
      <c r="K17" s="9"/>
    </row>
    <row r="18" spans="1:11" s="1" customFormat="1" ht="30" customHeight="1">
      <c r="A18" s="7">
        <v>15</v>
      </c>
      <c r="B18" s="8" t="str">
        <f>"23132020060817475225205"</f>
        <v>23132020060817475225205</v>
      </c>
      <c r="C18" s="8" t="s">
        <v>13</v>
      </c>
      <c r="D18" s="8" t="str">
        <f>"孔现兰"</f>
        <v>孔现兰</v>
      </c>
      <c r="E18" s="8" t="str">
        <f aca="true" t="shared" si="7" ref="E18:E54">"女"</f>
        <v>女</v>
      </c>
      <c r="F18" s="8" t="str">
        <f t="shared" si="5"/>
        <v>本科</v>
      </c>
      <c r="G18" s="8" t="str">
        <f>"海南大学"</f>
        <v>海南大学</v>
      </c>
      <c r="H18" s="8" t="str">
        <f>"英语"</f>
        <v>英语</v>
      </c>
      <c r="I18" s="8" t="str">
        <f t="shared" si="1"/>
        <v>幼儿园教师资格</v>
      </c>
      <c r="J18" s="8" t="str">
        <f>"20034601010000071"</f>
        <v>20034601010000071</v>
      </c>
      <c r="K18" s="9"/>
    </row>
    <row r="19" spans="1:11" s="1" customFormat="1" ht="30" customHeight="1">
      <c r="A19" s="7">
        <v>16</v>
      </c>
      <c r="B19" s="8" t="str">
        <f>"23132020060821471225232"</f>
        <v>23132020060821471225232</v>
      </c>
      <c r="C19" s="8" t="s">
        <v>13</v>
      </c>
      <c r="D19" s="8" t="str">
        <f>"曾雅"</f>
        <v>曾雅</v>
      </c>
      <c r="E19" s="8" t="str">
        <f t="shared" si="7"/>
        <v>女</v>
      </c>
      <c r="F19" s="8" t="str">
        <f t="shared" si="4"/>
        <v>大专</v>
      </c>
      <c r="G19" s="8" t="str">
        <f>"琼台师范高等专科学校"</f>
        <v>琼台师范高等专科学校</v>
      </c>
      <c r="H19" s="8" t="str">
        <f>"小学教育（中文方向）"</f>
        <v>小学教育（中文方向）</v>
      </c>
      <c r="I19" s="8" t="str">
        <f t="shared" si="1"/>
        <v>幼儿园教师资格</v>
      </c>
      <c r="J19" s="8" t="str">
        <f>"20154601512000034"</f>
        <v>20154601512000034</v>
      </c>
      <c r="K19" s="9"/>
    </row>
    <row r="20" spans="1:11" s="1" customFormat="1" ht="30" customHeight="1">
      <c r="A20" s="7">
        <v>17</v>
      </c>
      <c r="B20" s="8" t="str">
        <f>"23132020060822174825237"</f>
        <v>23132020060822174825237</v>
      </c>
      <c r="C20" s="8" t="s">
        <v>13</v>
      </c>
      <c r="D20" s="8" t="str">
        <f>"高杨"</f>
        <v>高杨</v>
      </c>
      <c r="E20" s="8" t="str">
        <f t="shared" si="7"/>
        <v>女</v>
      </c>
      <c r="F20" s="8" t="str">
        <f t="shared" si="5"/>
        <v>本科</v>
      </c>
      <c r="G20" s="8" t="str">
        <f>"东北师范大学"</f>
        <v>东北师范大学</v>
      </c>
      <c r="H20" s="8" t="str">
        <f t="shared" si="6"/>
        <v>学前教育</v>
      </c>
      <c r="I20" s="8" t="str">
        <f t="shared" si="1"/>
        <v>幼儿园教师资格</v>
      </c>
      <c r="J20" s="8" t="str">
        <f>"20082330112000141"</f>
        <v>20082330112000141</v>
      </c>
      <c r="K20" s="9"/>
    </row>
    <row r="21" spans="1:11" s="1" customFormat="1" ht="30" customHeight="1">
      <c r="A21" s="7">
        <v>18</v>
      </c>
      <c r="B21" s="8" t="str">
        <f>"23132020060908124425248"</f>
        <v>23132020060908124425248</v>
      </c>
      <c r="C21" s="8" t="s">
        <v>13</v>
      </c>
      <c r="D21" s="8" t="str">
        <f>"李潇潇"</f>
        <v>李潇潇</v>
      </c>
      <c r="E21" s="8" t="str">
        <f t="shared" si="7"/>
        <v>女</v>
      </c>
      <c r="F21" s="8" t="str">
        <f aca="true" t="shared" si="8" ref="F21:F23">"大专"</f>
        <v>大专</v>
      </c>
      <c r="G21" s="8" t="str">
        <f>"潍坊教育学院"</f>
        <v>潍坊教育学院</v>
      </c>
      <c r="H21" s="8" t="str">
        <f t="shared" si="6"/>
        <v>学前教育</v>
      </c>
      <c r="I21" s="8" t="str">
        <f t="shared" si="1"/>
        <v>幼儿园教师资格</v>
      </c>
      <c r="J21" s="8" t="str">
        <f>"20143702512004557"</f>
        <v>20143702512004557</v>
      </c>
      <c r="K21" s="9"/>
    </row>
    <row r="22" spans="1:11" s="1" customFormat="1" ht="30" customHeight="1">
      <c r="A22" s="7">
        <v>19</v>
      </c>
      <c r="B22" s="8" t="str">
        <f>"23132020060908193325249"</f>
        <v>23132020060908193325249</v>
      </c>
      <c r="C22" s="8" t="s">
        <v>13</v>
      </c>
      <c r="D22" s="8" t="str">
        <f>"余颖颖"</f>
        <v>余颖颖</v>
      </c>
      <c r="E22" s="8" t="str">
        <f t="shared" si="7"/>
        <v>女</v>
      </c>
      <c r="F22" s="8" t="str">
        <f t="shared" si="8"/>
        <v>大专</v>
      </c>
      <c r="G22" s="8" t="str">
        <f>"海南省琼台高等专科学校"</f>
        <v>海南省琼台高等专科学校</v>
      </c>
      <c r="H22" s="8" t="str">
        <f t="shared" si="6"/>
        <v>学前教育</v>
      </c>
      <c r="I22" s="8" t="str">
        <f t="shared" si="1"/>
        <v>幼儿园教师资格</v>
      </c>
      <c r="J22" s="8" t="str">
        <f>"20084600112001876"</f>
        <v>20084600112001876</v>
      </c>
      <c r="K22" s="9"/>
    </row>
    <row r="23" spans="1:11" s="1" customFormat="1" ht="30" customHeight="1">
      <c r="A23" s="7">
        <v>20</v>
      </c>
      <c r="B23" s="8" t="str">
        <f>"23132020060908563325251"</f>
        <v>23132020060908563325251</v>
      </c>
      <c r="C23" s="8" t="s">
        <v>13</v>
      </c>
      <c r="D23" s="8" t="str">
        <f>"董晓莉"</f>
        <v>董晓莉</v>
      </c>
      <c r="E23" s="8" t="str">
        <f t="shared" si="7"/>
        <v>女</v>
      </c>
      <c r="F23" s="8" t="str">
        <f t="shared" si="8"/>
        <v>大专</v>
      </c>
      <c r="G23" s="8" t="str">
        <f>"西南大学"</f>
        <v>西南大学</v>
      </c>
      <c r="H23" s="8" t="str">
        <f t="shared" si="6"/>
        <v>学前教育</v>
      </c>
      <c r="I23" s="8" t="str">
        <f t="shared" si="1"/>
        <v>幼儿园教师资格</v>
      </c>
      <c r="J23" s="8" t="str">
        <f>"20164405512018644"</f>
        <v>20164405512018644</v>
      </c>
      <c r="K23" s="9"/>
    </row>
    <row r="24" spans="1:11" s="1" customFormat="1" ht="30" customHeight="1">
      <c r="A24" s="7">
        <v>21</v>
      </c>
      <c r="B24" s="8" t="str">
        <f>"23132020060910122525256"</f>
        <v>23132020060910122525256</v>
      </c>
      <c r="C24" s="8" t="s">
        <v>13</v>
      </c>
      <c r="D24" s="8" t="str">
        <f>"梁艳艳"</f>
        <v>梁艳艳</v>
      </c>
      <c r="E24" s="8" t="str">
        <f t="shared" si="7"/>
        <v>女</v>
      </c>
      <c r="F24" s="8" t="str">
        <f aca="true" t="shared" si="9" ref="F24:F28">"本科"</f>
        <v>本科</v>
      </c>
      <c r="G24" s="8" t="str">
        <f>"江西师范大学"</f>
        <v>江西师范大学</v>
      </c>
      <c r="H24" s="8" t="str">
        <f>"教育学"</f>
        <v>教育学</v>
      </c>
      <c r="I24" s="8" t="str">
        <f t="shared" si="1"/>
        <v>幼儿园教师资格</v>
      </c>
      <c r="J24" s="8" t="str">
        <f>"20134600712000085"</f>
        <v>20134600712000085</v>
      </c>
      <c r="K24" s="9"/>
    </row>
    <row r="25" spans="1:11" s="1" customFormat="1" ht="30" customHeight="1">
      <c r="A25" s="7">
        <v>22</v>
      </c>
      <c r="B25" s="8" t="str">
        <f>"23132020060911353025260"</f>
        <v>23132020060911353025260</v>
      </c>
      <c r="C25" s="8" t="s">
        <v>13</v>
      </c>
      <c r="D25" s="8" t="str">
        <f>"张雪芬"</f>
        <v>张雪芬</v>
      </c>
      <c r="E25" s="8" t="str">
        <f t="shared" si="7"/>
        <v>女</v>
      </c>
      <c r="F25" s="8" t="str">
        <f t="shared" si="9"/>
        <v>本科</v>
      </c>
      <c r="G25" s="8" t="str">
        <f>"怀化学院"</f>
        <v>怀化学院</v>
      </c>
      <c r="H25" s="8" t="str">
        <f aca="true" t="shared" si="10" ref="H25:H30">"学前教育"</f>
        <v>学前教育</v>
      </c>
      <c r="I25" s="8" t="str">
        <f t="shared" si="1"/>
        <v>幼儿园教师资格</v>
      </c>
      <c r="J25" s="8" t="str">
        <f>"20154310812001055"</f>
        <v>20154310812001055</v>
      </c>
      <c r="K25" s="9"/>
    </row>
    <row r="26" spans="1:11" s="1" customFormat="1" ht="30" customHeight="1">
      <c r="A26" s="7">
        <v>23</v>
      </c>
      <c r="B26" s="8" t="str">
        <f>"23132020060911434725261"</f>
        <v>23132020060911434725261</v>
      </c>
      <c r="C26" s="8" t="s">
        <v>13</v>
      </c>
      <c r="D26" s="8" t="str">
        <f>"翁香恒"</f>
        <v>翁香恒</v>
      </c>
      <c r="E26" s="8" t="str">
        <f t="shared" si="7"/>
        <v>女</v>
      </c>
      <c r="F26" s="8" t="str">
        <f aca="true" t="shared" si="11" ref="F26:F30">"大专"</f>
        <v>大专</v>
      </c>
      <c r="G26" s="8" t="str">
        <f>"衡水学院"</f>
        <v>衡水学院</v>
      </c>
      <c r="H26" s="8" t="str">
        <f t="shared" si="10"/>
        <v>学前教育</v>
      </c>
      <c r="I26" s="8" t="str">
        <f t="shared" si="1"/>
        <v>幼儿园教师资格</v>
      </c>
      <c r="J26" s="8" t="str">
        <f>"201305012001628"</f>
        <v>201305012001628</v>
      </c>
      <c r="K26" s="9"/>
    </row>
    <row r="27" spans="1:11" s="1" customFormat="1" ht="30" customHeight="1">
      <c r="A27" s="7">
        <v>24</v>
      </c>
      <c r="B27" s="8" t="str">
        <f>"23132020060911561025262"</f>
        <v>23132020060911561025262</v>
      </c>
      <c r="C27" s="8" t="s">
        <v>13</v>
      </c>
      <c r="D27" s="8" t="str">
        <f>"郭祺"</f>
        <v>郭祺</v>
      </c>
      <c r="E27" s="8" t="str">
        <f t="shared" si="7"/>
        <v>女</v>
      </c>
      <c r="F27" s="8" t="str">
        <f t="shared" si="11"/>
        <v>大专</v>
      </c>
      <c r="G27" s="8" t="str">
        <f>"琼台师范学院"</f>
        <v>琼台师范学院</v>
      </c>
      <c r="H27" s="8" t="str">
        <f t="shared" si="10"/>
        <v>学前教育</v>
      </c>
      <c r="I27" s="8" t="str">
        <f t="shared" si="1"/>
        <v>幼儿园教师资格</v>
      </c>
      <c r="J27" s="8" t="str">
        <f>"20174600412000948"</f>
        <v>20174600412000948</v>
      </c>
      <c r="K27" s="9"/>
    </row>
    <row r="28" spans="1:11" s="1" customFormat="1" ht="30" customHeight="1">
      <c r="A28" s="7">
        <v>25</v>
      </c>
      <c r="B28" s="8" t="str">
        <f>"23132020060912292925264"</f>
        <v>23132020060912292925264</v>
      </c>
      <c r="C28" s="8" t="s">
        <v>13</v>
      </c>
      <c r="D28" s="8" t="str">
        <f>"肖瑞星"</f>
        <v>肖瑞星</v>
      </c>
      <c r="E28" s="8" t="str">
        <f t="shared" si="7"/>
        <v>女</v>
      </c>
      <c r="F28" s="8" t="str">
        <f t="shared" si="9"/>
        <v>本科</v>
      </c>
      <c r="G28" s="8" t="str">
        <f>"山西师范大学"</f>
        <v>山西师范大学</v>
      </c>
      <c r="H28" s="8" t="str">
        <f t="shared" si="10"/>
        <v>学前教育</v>
      </c>
      <c r="I28" s="8" t="str">
        <f t="shared" si="1"/>
        <v>幼儿园教师资格</v>
      </c>
      <c r="J28" s="8" t="str">
        <f>"20044600411000048"</f>
        <v>20044600411000048</v>
      </c>
      <c r="K28" s="9"/>
    </row>
    <row r="29" spans="1:11" s="1" customFormat="1" ht="30" customHeight="1">
      <c r="A29" s="7">
        <v>26</v>
      </c>
      <c r="B29" s="8" t="str">
        <f>"23132020060912363625265"</f>
        <v>23132020060912363625265</v>
      </c>
      <c r="C29" s="8" t="s">
        <v>13</v>
      </c>
      <c r="D29" s="8" t="str">
        <f>"林淑梅"</f>
        <v>林淑梅</v>
      </c>
      <c r="E29" s="8" t="str">
        <f t="shared" si="7"/>
        <v>女</v>
      </c>
      <c r="F29" s="8" t="str">
        <f t="shared" si="11"/>
        <v>大专</v>
      </c>
      <c r="G29" s="8" t="str">
        <f>"琼台师范学院"</f>
        <v>琼台师范学院</v>
      </c>
      <c r="H29" s="8" t="str">
        <f t="shared" si="10"/>
        <v>学前教育</v>
      </c>
      <c r="I29" s="8" t="str">
        <f t="shared" si="1"/>
        <v>幼儿园教师资格</v>
      </c>
      <c r="J29" s="8" t="str">
        <f>"20174601612000091"</f>
        <v>20174601612000091</v>
      </c>
      <c r="K29" s="9"/>
    </row>
    <row r="30" spans="1:11" s="1" customFormat="1" ht="30" customHeight="1">
      <c r="A30" s="7">
        <v>27</v>
      </c>
      <c r="B30" s="8" t="str">
        <f>"23132020060913321125266"</f>
        <v>23132020060913321125266</v>
      </c>
      <c r="C30" s="8" t="s">
        <v>13</v>
      </c>
      <c r="D30" s="8" t="str">
        <f>"叶才泰"</f>
        <v>叶才泰</v>
      </c>
      <c r="E30" s="8" t="str">
        <f t="shared" si="7"/>
        <v>女</v>
      </c>
      <c r="F30" s="8" t="str">
        <f t="shared" si="11"/>
        <v>大专</v>
      </c>
      <c r="G30" s="8" t="str">
        <f>"琼台师范高等专科学校"</f>
        <v>琼台师范高等专科学校</v>
      </c>
      <c r="H30" s="8" t="str">
        <f t="shared" si="10"/>
        <v>学前教育</v>
      </c>
      <c r="I30" s="8" t="str">
        <f t="shared" si="1"/>
        <v>幼儿园教师资格</v>
      </c>
      <c r="J30" s="8" t="str">
        <f>"20174601212000072"</f>
        <v>20174601212000072</v>
      </c>
      <c r="K30" s="9"/>
    </row>
    <row r="31" spans="1:11" s="1" customFormat="1" ht="30" customHeight="1">
      <c r="A31" s="7">
        <v>28</v>
      </c>
      <c r="B31" s="8" t="str">
        <f>"23132020060916074125274"</f>
        <v>23132020060916074125274</v>
      </c>
      <c r="C31" s="8" t="s">
        <v>13</v>
      </c>
      <c r="D31" s="8" t="str">
        <f>"陈丽"</f>
        <v>陈丽</v>
      </c>
      <c r="E31" s="8" t="str">
        <f t="shared" si="7"/>
        <v>女</v>
      </c>
      <c r="F31" s="8" t="str">
        <f aca="true" t="shared" si="12" ref="F31:F34">"本科"</f>
        <v>本科</v>
      </c>
      <c r="G31" s="8" t="str">
        <f aca="true" t="shared" si="13" ref="G31:G34">"海南师范大学"</f>
        <v>海南师范大学</v>
      </c>
      <c r="H31" s="8" t="str">
        <f>"法学"</f>
        <v>法学</v>
      </c>
      <c r="I31" s="8" t="str">
        <f t="shared" si="1"/>
        <v>幼儿园教师资格</v>
      </c>
      <c r="J31" s="8" t="str">
        <f>"20154601812000044"</f>
        <v>20154601812000044</v>
      </c>
      <c r="K31" s="9"/>
    </row>
    <row r="32" spans="1:11" s="1" customFormat="1" ht="30" customHeight="1">
      <c r="A32" s="7">
        <v>29</v>
      </c>
      <c r="B32" s="8" t="str">
        <f>"23132020060918155025283"</f>
        <v>23132020060918155025283</v>
      </c>
      <c r="C32" s="8" t="s">
        <v>13</v>
      </c>
      <c r="D32" s="8" t="str">
        <f>"王惠妹"</f>
        <v>王惠妹</v>
      </c>
      <c r="E32" s="8" t="str">
        <f t="shared" si="7"/>
        <v>女</v>
      </c>
      <c r="F32" s="8" t="str">
        <f t="shared" si="12"/>
        <v>本科</v>
      </c>
      <c r="G32" s="8" t="str">
        <f t="shared" si="13"/>
        <v>海南师范大学</v>
      </c>
      <c r="H32" s="8" t="str">
        <f>"学前教育"</f>
        <v>学前教育</v>
      </c>
      <c r="I32" s="8" t="str">
        <f t="shared" si="1"/>
        <v>幼儿园教师资格</v>
      </c>
      <c r="J32" s="8" t="str">
        <f>"20074600811000064"</f>
        <v>20074600811000064</v>
      </c>
      <c r="K32" s="9"/>
    </row>
    <row r="33" spans="1:11" s="1" customFormat="1" ht="30" customHeight="1">
      <c r="A33" s="7">
        <v>30</v>
      </c>
      <c r="B33" s="8" t="str">
        <f>"23132020060919123725288"</f>
        <v>23132020060919123725288</v>
      </c>
      <c r="C33" s="8" t="s">
        <v>13</v>
      </c>
      <c r="D33" s="8" t="str">
        <f>"陈花"</f>
        <v>陈花</v>
      </c>
      <c r="E33" s="8" t="str">
        <f t="shared" si="7"/>
        <v>女</v>
      </c>
      <c r="F33" s="8" t="str">
        <f aca="true" t="shared" si="14" ref="F33:F39">"大专"</f>
        <v>大专</v>
      </c>
      <c r="G33" s="8" t="str">
        <f>"云南师范大学"</f>
        <v>云南师范大学</v>
      </c>
      <c r="H33" s="8" t="str">
        <f>"幼儿教育"</f>
        <v>幼儿教育</v>
      </c>
      <c r="I33" s="8" t="str">
        <f t="shared" si="1"/>
        <v>幼儿园教师资格</v>
      </c>
      <c r="J33" s="8" t="str">
        <f>"20104601212000052"</f>
        <v>20104601212000052</v>
      </c>
      <c r="K33" s="9"/>
    </row>
    <row r="34" spans="1:11" s="1" customFormat="1" ht="30" customHeight="1">
      <c r="A34" s="7">
        <v>31</v>
      </c>
      <c r="B34" s="8" t="str">
        <f>"23132020060921013325298"</f>
        <v>23132020060921013325298</v>
      </c>
      <c r="C34" s="8" t="s">
        <v>13</v>
      </c>
      <c r="D34" s="8" t="str">
        <f>"陈婷婷"</f>
        <v>陈婷婷</v>
      </c>
      <c r="E34" s="8" t="str">
        <f t="shared" si="7"/>
        <v>女</v>
      </c>
      <c r="F34" s="8" t="str">
        <f t="shared" si="12"/>
        <v>本科</v>
      </c>
      <c r="G34" s="8" t="str">
        <f t="shared" si="13"/>
        <v>海南师范大学</v>
      </c>
      <c r="H34" s="8" t="str">
        <f>"汉语言文学"</f>
        <v>汉语言文学</v>
      </c>
      <c r="I34" s="8" t="str">
        <f t="shared" si="1"/>
        <v>幼儿园教师资格</v>
      </c>
      <c r="J34" s="8" t="str">
        <f>"20144600412001886"</f>
        <v>20144600412001886</v>
      </c>
      <c r="K34" s="9"/>
    </row>
    <row r="35" spans="1:11" s="1" customFormat="1" ht="30" customHeight="1">
      <c r="A35" s="7">
        <v>32</v>
      </c>
      <c r="B35" s="8" t="str">
        <f>"23132020060921023825299"</f>
        <v>23132020060921023825299</v>
      </c>
      <c r="C35" s="8" t="s">
        <v>13</v>
      </c>
      <c r="D35" s="8" t="str">
        <f>"梁文姬"</f>
        <v>梁文姬</v>
      </c>
      <c r="E35" s="8" t="str">
        <f t="shared" si="7"/>
        <v>女</v>
      </c>
      <c r="F35" s="8" t="str">
        <f t="shared" si="14"/>
        <v>大专</v>
      </c>
      <c r="G35" s="8" t="str">
        <f>"江西财经大学"</f>
        <v>江西财经大学</v>
      </c>
      <c r="H35" s="8" t="str">
        <f>"计算机信息管理"</f>
        <v>计算机信息管理</v>
      </c>
      <c r="I35" s="8" t="str">
        <f t="shared" si="1"/>
        <v>幼儿园教师资格</v>
      </c>
      <c r="J35" s="8" t="str">
        <f>"2012460061200068"</f>
        <v>2012460061200068</v>
      </c>
      <c r="K35" s="9"/>
    </row>
    <row r="36" spans="1:11" s="1" customFormat="1" ht="30" customHeight="1">
      <c r="A36" s="7">
        <v>33</v>
      </c>
      <c r="B36" s="8" t="str">
        <f>"23132020060921233625300"</f>
        <v>23132020060921233625300</v>
      </c>
      <c r="C36" s="8" t="s">
        <v>13</v>
      </c>
      <c r="D36" s="8" t="str">
        <f>"陈瑜"</f>
        <v>陈瑜</v>
      </c>
      <c r="E36" s="8" t="str">
        <f t="shared" si="7"/>
        <v>女</v>
      </c>
      <c r="F36" s="8" t="str">
        <f aca="true" t="shared" si="15" ref="F36:F41">"本科"</f>
        <v>本科</v>
      </c>
      <c r="G36" s="8" t="str">
        <f aca="true" t="shared" si="16" ref="G36:G42">"海南师范大学"</f>
        <v>海南师范大学</v>
      </c>
      <c r="H36" s="8" t="str">
        <f>"小学教育（英语教育方向）"</f>
        <v>小学教育（英语教育方向）</v>
      </c>
      <c r="I36" s="8" t="str">
        <f t="shared" si="1"/>
        <v>幼儿园教师资格</v>
      </c>
      <c r="J36" s="8" t="str">
        <f>"20114600412000049"</f>
        <v>20114600412000049</v>
      </c>
      <c r="K36" s="9"/>
    </row>
    <row r="37" spans="1:11" s="1" customFormat="1" ht="30" customHeight="1">
      <c r="A37" s="7">
        <v>34</v>
      </c>
      <c r="B37" s="8" t="str">
        <f>"23132020060922190725310"</f>
        <v>23132020060922190725310</v>
      </c>
      <c r="C37" s="8" t="s">
        <v>13</v>
      </c>
      <c r="D37" s="8" t="str">
        <f>"翁秋蕾"</f>
        <v>翁秋蕾</v>
      </c>
      <c r="E37" s="8" t="str">
        <f t="shared" si="7"/>
        <v>女</v>
      </c>
      <c r="F37" s="8" t="str">
        <f t="shared" si="14"/>
        <v>大专</v>
      </c>
      <c r="G37" s="8" t="str">
        <f t="shared" si="16"/>
        <v>海南师范大学</v>
      </c>
      <c r="H37" s="8" t="str">
        <f>"学前教育"</f>
        <v>学前教育</v>
      </c>
      <c r="I37" s="8" t="str">
        <f t="shared" si="1"/>
        <v>幼儿园教师资格</v>
      </c>
      <c r="J37" s="8" t="str">
        <f>"20144600412000548"</f>
        <v>20144600412000548</v>
      </c>
      <c r="K37" s="9"/>
    </row>
    <row r="38" spans="1:11" s="1" customFormat="1" ht="30" customHeight="1">
      <c r="A38" s="7">
        <v>35</v>
      </c>
      <c r="B38" s="8" t="str">
        <f>"23132020061009125425323"</f>
        <v>23132020061009125425323</v>
      </c>
      <c r="C38" s="8" t="s">
        <v>13</v>
      </c>
      <c r="D38" s="8" t="str">
        <f>"孙多娥"</f>
        <v>孙多娥</v>
      </c>
      <c r="E38" s="8" t="str">
        <f t="shared" si="7"/>
        <v>女</v>
      </c>
      <c r="F38" s="8" t="str">
        <f t="shared" si="14"/>
        <v>大专</v>
      </c>
      <c r="G38" s="8" t="str">
        <f>"湖南师范大学"</f>
        <v>湖南师范大学</v>
      </c>
      <c r="H38" s="8" t="str">
        <f>"学前教育"</f>
        <v>学前教育</v>
      </c>
      <c r="I38" s="8" t="str">
        <f t="shared" si="1"/>
        <v>幼儿园教师资格</v>
      </c>
      <c r="J38" s="8" t="str">
        <f>"20034600911000670"</f>
        <v>20034600911000670</v>
      </c>
      <c r="K38" s="9"/>
    </row>
    <row r="39" spans="1:11" s="1" customFormat="1" ht="30" customHeight="1">
      <c r="A39" s="7">
        <v>36</v>
      </c>
      <c r="B39" s="8" t="str">
        <f>"23132020061018133125349"</f>
        <v>23132020061018133125349</v>
      </c>
      <c r="C39" s="8" t="s">
        <v>13</v>
      </c>
      <c r="D39" s="8" t="str">
        <f>"刘媛"</f>
        <v>刘媛</v>
      </c>
      <c r="E39" s="8" t="str">
        <f t="shared" si="7"/>
        <v>女</v>
      </c>
      <c r="F39" s="8" t="str">
        <f t="shared" si="14"/>
        <v>大专</v>
      </c>
      <c r="G39" s="8" t="str">
        <f>"达州职业技术学院"</f>
        <v>达州职业技术学院</v>
      </c>
      <c r="H39" s="8" t="str">
        <f>"护理"</f>
        <v>护理</v>
      </c>
      <c r="I39" s="8" t="str">
        <f t="shared" si="1"/>
        <v>幼儿园教师资格</v>
      </c>
      <c r="J39" s="8" t="str">
        <f>"20175190212000390"</f>
        <v>20175190212000390</v>
      </c>
      <c r="K39" s="9"/>
    </row>
    <row r="40" spans="1:11" s="1" customFormat="1" ht="30" customHeight="1">
      <c r="A40" s="7">
        <v>37</v>
      </c>
      <c r="B40" s="8" t="str">
        <f>"23132020061018163425350"</f>
        <v>23132020061018163425350</v>
      </c>
      <c r="C40" s="8" t="s">
        <v>13</v>
      </c>
      <c r="D40" s="8" t="str">
        <f>"林菲菲"</f>
        <v>林菲菲</v>
      </c>
      <c r="E40" s="8" t="str">
        <f t="shared" si="7"/>
        <v>女</v>
      </c>
      <c r="F40" s="8" t="str">
        <f t="shared" si="15"/>
        <v>本科</v>
      </c>
      <c r="G40" s="8" t="str">
        <f t="shared" si="16"/>
        <v>海南师范大学</v>
      </c>
      <c r="H40" s="8" t="str">
        <f>"小学教育"</f>
        <v>小学教育</v>
      </c>
      <c r="I40" s="8" t="str">
        <f t="shared" si="1"/>
        <v>幼儿园教师资格</v>
      </c>
      <c r="J40" s="8" t="str">
        <f>"20124600712000032"</f>
        <v>20124600712000032</v>
      </c>
      <c r="K40" s="9"/>
    </row>
    <row r="41" spans="1:11" s="1" customFormat="1" ht="30" customHeight="1">
      <c r="A41" s="7">
        <v>38</v>
      </c>
      <c r="B41" s="8" t="str">
        <f>"23132020061022330925365"</f>
        <v>23132020061022330925365</v>
      </c>
      <c r="C41" s="8" t="s">
        <v>13</v>
      </c>
      <c r="D41" s="8" t="str">
        <f>"黎妹"</f>
        <v>黎妹</v>
      </c>
      <c r="E41" s="8" t="str">
        <f t="shared" si="7"/>
        <v>女</v>
      </c>
      <c r="F41" s="8" t="str">
        <f t="shared" si="15"/>
        <v>本科</v>
      </c>
      <c r="G41" s="8" t="str">
        <f t="shared" si="16"/>
        <v>海南师范大学</v>
      </c>
      <c r="H41" s="8" t="str">
        <f>"教育学"</f>
        <v>教育学</v>
      </c>
      <c r="I41" s="8" t="str">
        <f t="shared" si="1"/>
        <v>幼儿园教师资格</v>
      </c>
      <c r="J41" s="8" t="str">
        <f>"20034600911000328"</f>
        <v>20034600911000328</v>
      </c>
      <c r="K41" s="9"/>
    </row>
    <row r="42" spans="1:11" s="1" customFormat="1" ht="30" customHeight="1">
      <c r="A42" s="7">
        <v>39</v>
      </c>
      <c r="B42" s="8" t="str">
        <f>"23132020061100402525368"</f>
        <v>23132020061100402525368</v>
      </c>
      <c r="C42" s="8" t="s">
        <v>13</v>
      </c>
      <c r="D42" s="8" t="str">
        <f>"蔡金平"</f>
        <v>蔡金平</v>
      </c>
      <c r="E42" s="8" t="str">
        <f t="shared" si="7"/>
        <v>女</v>
      </c>
      <c r="F42" s="8" t="str">
        <f aca="true" t="shared" si="17" ref="F42:F45">"大专"</f>
        <v>大专</v>
      </c>
      <c r="G42" s="8" t="str">
        <f t="shared" si="16"/>
        <v>海南师范大学</v>
      </c>
      <c r="H42" s="8" t="str">
        <f>"英语教育"</f>
        <v>英语教育</v>
      </c>
      <c r="I42" s="8" t="str">
        <f t="shared" si="1"/>
        <v>幼儿园教师资格</v>
      </c>
      <c r="J42" s="8" t="str">
        <f>"2017460131200055"</f>
        <v>2017460131200055</v>
      </c>
      <c r="K42" s="9"/>
    </row>
    <row r="43" spans="1:11" s="1" customFormat="1" ht="30" customHeight="1">
      <c r="A43" s="7">
        <v>40</v>
      </c>
      <c r="B43" s="8" t="str">
        <f>"23132020061110345025370"</f>
        <v>23132020061110345025370</v>
      </c>
      <c r="C43" s="8" t="s">
        <v>13</v>
      </c>
      <c r="D43" s="8" t="str">
        <f>"张运贵"</f>
        <v>张运贵</v>
      </c>
      <c r="E43" s="8" t="str">
        <f t="shared" si="7"/>
        <v>女</v>
      </c>
      <c r="F43" s="8" t="str">
        <f t="shared" si="17"/>
        <v>大专</v>
      </c>
      <c r="G43" s="8" t="str">
        <f>"江西师范大学"</f>
        <v>江西师范大学</v>
      </c>
      <c r="H43" s="8" t="str">
        <f>"汉语"</f>
        <v>汉语</v>
      </c>
      <c r="I43" s="8" t="str">
        <f t="shared" si="1"/>
        <v>幼儿园教师资格</v>
      </c>
      <c r="J43" s="8" t="str">
        <f>"20114600612000090"</f>
        <v>20114600612000090</v>
      </c>
      <c r="K43" s="9"/>
    </row>
    <row r="44" spans="1:11" s="1" customFormat="1" ht="30" customHeight="1">
      <c r="A44" s="7">
        <v>41</v>
      </c>
      <c r="B44" s="8" t="str">
        <f>"23132020061115174425376"</f>
        <v>23132020061115174425376</v>
      </c>
      <c r="C44" s="8" t="s">
        <v>13</v>
      </c>
      <c r="D44" s="8" t="str">
        <f>"梁灵"</f>
        <v>梁灵</v>
      </c>
      <c r="E44" s="8" t="str">
        <f t="shared" si="7"/>
        <v>女</v>
      </c>
      <c r="F44" s="8" t="str">
        <f aca="true" t="shared" si="18" ref="F44:F48">"本科"</f>
        <v>本科</v>
      </c>
      <c r="G44" s="8" t="str">
        <f>"武汉音乐学院"</f>
        <v>武汉音乐学院</v>
      </c>
      <c r="H44" s="8" t="str">
        <f>"声乐系音乐表演（演唱）"</f>
        <v>声乐系音乐表演（演唱）</v>
      </c>
      <c r="I44" s="8" t="str">
        <f t="shared" si="1"/>
        <v>幼儿园教师资格</v>
      </c>
      <c r="J44" s="8" t="str">
        <f>"20074206011000781"</f>
        <v>20074206011000781</v>
      </c>
      <c r="K44" s="9"/>
    </row>
    <row r="45" spans="1:11" s="1" customFormat="1" ht="30" customHeight="1">
      <c r="A45" s="7">
        <v>42</v>
      </c>
      <c r="B45" s="8" t="str">
        <f>"23132020061120465925381"</f>
        <v>23132020061120465925381</v>
      </c>
      <c r="C45" s="8" t="s">
        <v>13</v>
      </c>
      <c r="D45" s="8" t="str">
        <f>"曾芳芳"</f>
        <v>曾芳芳</v>
      </c>
      <c r="E45" s="8" t="str">
        <f t="shared" si="7"/>
        <v>女</v>
      </c>
      <c r="F45" s="8" t="str">
        <f t="shared" si="17"/>
        <v>大专</v>
      </c>
      <c r="G45" s="8" t="str">
        <f>"琼台师范高等专科学校"</f>
        <v>琼台师范高等专科学校</v>
      </c>
      <c r="H45" s="8" t="str">
        <f aca="true" t="shared" si="19" ref="H45:H50">"学前教育"</f>
        <v>学前教育</v>
      </c>
      <c r="I45" s="8" t="str">
        <f t="shared" si="1"/>
        <v>幼儿园教师资格</v>
      </c>
      <c r="J45" s="8" t="str">
        <f>"20124600112003691"</f>
        <v>20124600112003691</v>
      </c>
      <c r="K45" s="9"/>
    </row>
    <row r="46" spans="1:11" s="1" customFormat="1" ht="30" customHeight="1">
      <c r="A46" s="7">
        <v>43</v>
      </c>
      <c r="B46" s="8" t="str">
        <f>"23132020061121273825382"</f>
        <v>23132020061121273825382</v>
      </c>
      <c r="C46" s="8" t="s">
        <v>13</v>
      </c>
      <c r="D46" s="8" t="str">
        <f>"吴清紫"</f>
        <v>吴清紫</v>
      </c>
      <c r="E46" s="8" t="str">
        <f t="shared" si="7"/>
        <v>女</v>
      </c>
      <c r="F46" s="8" t="str">
        <f t="shared" si="18"/>
        <v>本科</v>
      </c>
      <c r="G46" s="8" t="str">
        <f>"湖南师范大学"</f>
        <v>湖南师范大学</v>
      </c>
      <c r="H46" s="8" t="str">
        <f>"汉语言文学"</f>
        <v>汉语言文学</v>
      </c>
      <c r="I46" s="8" t="str">
        <f t="shared" si="1"/>
        <v>幼儿园教师资格</v>
      </c>
      <c r="J46" s="8" t="str">
        <f>"20094600812000006"</f>
        <v>20094600812000006</v>
      </c>
      <c r="K46" s="9"/>
    </row>
    <row r="47" spans="1:11" s="1" customFormat="1" ht="30" customHeight="1">
      <c r="A47" s="7">
        <v>44</v>
      </c>
      <c r="B47" s="8" t="str">
        <f>"23132020061123152925385"</f>
        <v>23132020061123152925385</v>
      </c>
      <c r="C47" s="8" t="s">
        <v>13</v>
      </c>
      <c r="D47" s="8" t="str">
        <f>"吴筠"</f>
        <v>吴筠</v>
      </c>
      <c r="E47" s="8" t="str">
        <f t="shared" si="7"/>
        <v>女</v>
      </c>
      <c r="F47" s="8" t="str">
        <f t="shared" si="18"/>
        <v>本科</v>
      </c>
      <c r="G47" s="8" t="str">
        <f>"赣南师范学院"</f>
        <v>赣南师范学院</v>
      </c>
      <c r="H47" s="8" t="str">
        <f>"对外汉语"</f>
        <v>对外汉语</v>
      </c>
      <c r="I47" s="8" t="str">
        <f t="shared" si="1"/>
        <v>幼儿园教师资格</v>
      </c>
      <c r="J47" s="8" t="str">
        <f>"20144600612000007"</f>
        <v>20144600612000007</v>
      </c>
      <c r="K47" s="9"/>
    </row>
    <row r="48" spans="1:11" s="1" customFormat="1" ht="30" customHeight="1">
      <c r="A48" s="7">
        <v>45</v>
      </c>
      <c r="B48" s="8" t="str">
        <f>"23132020061213302625396"</f>
        <v>23132020061213302625396</v>
      </c>
      <c r="C48" s="8" t="s">
        <v>13</v>
      </c>
      <c r="D48" s="8" t="str">
        <f>"王杏芬"</f>
        <v>王杏芬</v>
      </c>
      <c r="E48" s="8" t="str">
        <f t="shared" si="7"/>
        <v>女</v>
      </c>
      <c r="F48" s="8" t="str">
        <f t="shared" si="18"/>
        <v>本科</v>
      </c>
      <c r="G48" s="8" t="str">
        <f aca="true" t="shared" si="20" ref="G48:G53">"海南师范大学"</f>
        <v>海南师范大学</v>
      </c>
      <c r="H48" s="8" t="str">
        <f t="shared" si="19"/>
        <v>学前教育</v>
      </c>
      <c r="I48" s="8" t="str">
        <f t="shared" si="1"/>
        <v>幼儿园教师资格</v>
      </c>
      <c r="J48" s="8" t="str">
        <f>"20034600911000459"</f>
        <v>20034600911000459</v>
      </c>
      <c r="K48" s="9"/>
    </row>
    <row r="49" spans="1:11" s="1" customFormat="1" ht="30" customHeight="1">
      <c r="A49" s="7">
        <v>46</v>
      </c>
      <c r="B49" s="8" t="str">
        <f>"23132020061214082525397"</f>
        <v>23132020061214082525397</v>
      </c>
      <c r="C49" s="8" t="s">
        <v>13</v>
      </c>
      <c r="D49" s="8" t="str">
        <f>"周晓蕊"</f>
        <v>周晓蕊</v>
      </c>
      <c r="E49" s="8" t="str">
        <f t="shared" si="7"/>
        <v>女</v>
      </c>
      <c r="F49" s="8" t="str">
        <f aca="true" t="shared" si="21" ref="F49:F51">"大专"</f>
        <v>大专</v>
      </c>
      <c r="G49" s="8" t="str">
        <f>"琼台师范高等专科学校"</f>
        <v>琼台师范高等专科学校</v>
      </c>
      <c r="H49" s="8" t="str">
        <f>"音乐教育"</f>
        <v>音乐教育</v>
      </c>
      <c r="I49" s="8" t="str">
        <f t="shared" si="1"/>
        <v>幼儿园教师资格</v>
      </c>
      <c r="J49" s="8" t="str">
        <f>"20164600612000068"</f>
        <v>20164600612000068</v>
      </c>
      <c r="K49" s="9"/>
    </row>
    <row r="50" spans="1:11" s="1" customFormat="1" ht="30" customHeight="1">
      <c r="A50" s="7">
        <v>47</v>
      </c>
      <c r="B50" s="8" t="str">
        <f>"23132020061216451625399"</f>
        <v>23132020061216451625399</v>
      </c>
      <c r="C50" s="8" t="s">
        <v>13</v>
      </c>
      <c r="D50" s="8" t="str">
        <f>"陈善河"</f>
        <v>陈善河</v>
      </c>
      <c r="E50" s="8" t="str">
        <f t="shared" si="7"/>
        <v>女</v>
      </c>
      <c r="F50" s="8" t="str">
        <f t="shared" si="21"/>
        <v>大专</v>
      </c>
      <c r="G50" s="8" t="str">
        <f>"海南师范学院"</f>
        <v>海南师范学院</v>
      </c>
      <c r="H50" s="8" t="str">
        <f t="shared" si="19"/>
        <v>学前教育</v>
      </c>
      <c r="I50" s="8" t="str">
        <f t="shared" si="1"/>
        <v>幼儿园教师资格</v>
      </c>
      <c r="J50" s="8" t="str">
        <f>"20134600612000097"</f>
        <v>20134600612000097</v>
      </c>
      <c r="K50" s="9"/>
    </row>
    <row r="51" spans="1:11" s="1" customFormat="1" ht="30" customHeight="1">
      <c r="A51" s="7">
        <v>48</v>
      </c>
      <c r="B51" s="8" t="str">
        <f>"23132020061222443525402"</f>
        <v>23132020061222443525402</v>
      </c>
      <c r="C51" s="8" t="s">
        <v>13</v>
      </c>
      <c r="D51" s="8" t="str">
        <f>"陈海娟"</f>
        <v>陈海娟</v>
      </c>
      <c r="E51" s="8" t="str">
        <f t="shared" si="7"/>
        <v>女</v>
      </c>
      <c r="F51" s="8" t="str">
        <f t="shared" si="21"/>
        <v>大专</v>
      </c>
      <c r="G51" s="8" t="str">
        <f t="shared" si="20"/>
        <v>海南师范大学</v>
      </c>
      <c r="H51" s="8" t="str">
        <f>"语文教育"</f>
        <v>语文教育</v>
      </c>
      <c r="I51" s="8" t="str">
        <f t="shared" si="1"/>
        <v>幼儿园教师资格</v>
      </c>
      <c r="J51" s="8" t="str">
        <f>"20134600712000217"</f>
        <v>20134600712000217</v>
      </c>
      <c r="K51" s="9"/>
    </row>
    <row r="52" spans="1:11" s="1" customFormat="1" ht="30" customHeight="1">
      <c r="A52" s="7">
        <v>49</v>
      </c>
      <c r="B52" s="8" t="str">
        <f>"23132020061223343425403"</f>
        <v>23132020061223343425403</v>
      </c>
      <c r="C52" s="8" t="s">
        <v>13</v>
      </c>
      <c r="D52" s="8" t="str">
        <f>"纪文"</f>
        <v>纪文</v>
      </c>
      <c r="E52" s="8" t="str">
        <f t="shared" si="7"/>
        <v>女</v>
      </c>
      <c r="F52" s="8" t="str">
        <f aca="true" t="shared" si="22" ref="F52:F56">"本科"</f>
        <v>本科</v>
      </c>
      <c r="G52" s="8" t="str">
        <f>"华中师范大学"</f>
        <v>华中师范大学</v>
      </c>
      <c r="H52" s="8" t="str">
        <f aca="true" t="shared" si="23" ref="H52:H56">"学前教育"</f>
        <v>学前教育</v>
      </c>
      <c r="I52" s="8" t="str">
        <f t="shared" si="1"/>
        <v>幼儿园教师资格</v>
      </c>
      <c r="J52" s="8" t="str">
        <f>"20084600112002199"</f>
        <v>20084600112002199</v>
      </c>
      <c r="K52" s="9"/>
    </row>
    <row r="53" spans="1:11" s="1" customFormat="1" ht="30" customHeight="1">
      <c r="A53" s="7">
        <v>50</v>
      </c>
      <c r="B53" s="8" t="str">
        <f>"23132020061315575925411"</f>
        <v>23132020061315575925411</v>
      </c>
      <c r="C53" s="8" t="s">
        <v>13</v>
      </c>
      <c r="D53" s="8" t="str">
        <f>"王业华"</f>
        <v>王业华</v>
      </c>
      <c r="E53" s="8" t="str">
        <f t="shared" si="7"/>
        <v>女</v>
      </c>
      <c r="F53" s="8" t="str">
        <f aca="true" t="shared" si="24" ref="F53:F57">"大专"</f>
        <v>大专</v>
      </c>
      <c r="G53" s="8" t="str">
        <f t="shared" si="20"/>
        <v>海南师范大学</v>
      </c>
      <c r="H53" s="8" t="str">
        <f t="shared" si="23"/>
        <v>学前教育</v>
      </c>
      <c r="I53" s="8" t="str">
        <f t="shared" si="1"/>
        <v>幼儿园教师资格</v>
      </c>
      <c r="J53" s="8" t="str">
        <f>"20154600712000351"</f>
        <v>20154600712000351</v>
      </c>
      <c r="K53" s="9"/>
    </row>
    <row r="54" spans="1:11" s="1" customFormat="1" ht="30" customHeight="1">
      <c r="A54" s="7">
        <v>51</v>
      </c>
      <c r="B54" s="8" t="str">
        <f>"23132020061323495625422"</f>
        <v>23132020061323495625422</v>
      </c>
      <c r="C54" s="8" t="s">
        <v>13</v>
      </c>
      <c r="D54" s="8" t="str">
        <f>"符杰敏"</f>
        <v>符杰敏</v>
      </c>
      <c r="E54" s="8" t="str">
        <f t="shared" si="7"/>
        <v>女</v>
      </c>
      <c r="F54" s="8" t="str">
        <f t="shared" si="22"/>
        <v>本科</v>
      </c>
      <c r="G54" s="8" t="str">
        <f>"海南热带海洋学院"</f>
        <v>海南热带海洋学院</v>
      </c>
      <c r="H54" s="8" t="str">
        <f>"旅游管理"</f>
        <v>旅游管理</v>
      </c>
      <c r="I54" s="8" t="str">
        <f t="shared" si="1"/>
        <v>幼儿园教师资格</v>
      </c>
      <c r="J54" s="8" t="str">
        <f>"20194602012000007"</f>
        <v>20194602012000007</v>
      </c>
      <c r="K54" s="9"/>
    </row>
    <row r="55" spans="1:11" s="1" customFormat="1" ht="30" customHeight="1">
      <c r="A55" s="7">
        <v>52</v>
      </c>
      <c r="B55" s="8" t="str">
        <f>"23132020061400135425423"</f>
        <v>23132020061400135425423</v>
      </c>
      <c r="C55" s="8" t="s">
        <v>13</v>
      </c>
      <c r="D55" s="8" t="str">
        <f>"高鹏"</f>
        <v>高鹏</v>
      </c>
      <c r="E55" s="8" t="str">
        <f>"男"</f>
        <v>男</v>
      </c>
      <c r="F55" s="8" t="str">
        <f t="shared" si="24"/>
        <v>大专</v>
      </c>
      <c r="G55" s="8" t="str">
        <f>"海南热带海洋学院"</f>
        <v>海南热带海洋学院</v>
      </c>
      <c r="H55" s="8" t="str">
        <f>"音乐教育"</f>
        <v>音乐教育</v>
      </c>
      <c r="I55" s="8" t="str">
        <f t="shared" si="1"/>
        <v>幼儿园教师资格</v>
      </c>
      <c r="J55" s="8" t="str">
        <f>"20184602611000043"</f>
        <v>20184602611000043</v>
      </c>
      <c r="K55" s="9"/>
    </row>
    <row r="56" spans="1:11" s="1" customFormat="1" ht="30" customHeight="1">
      <c r="A56" s="7">
        <v>53</v>
      </c>
      <c r="B56" s="8" t="str">
        <f>"23132020061409083925425"</f>
        <v>23132020061409083925425</v>
      </c>
      <c r="C56" s="8" t="s">
        <v>13</v>
      </c>
      <c r="D56" s="8" t="str">
        <f>"孙丽娟"</f>
        <v>孙丽娟</v>
      </c>
      <c r="E56" s="8" t="str">
        <f aca="true" t="shared" si="25" ref="E56:E75">"女"</f>
        <v>女</v>
      </c>
      <c r="F56" s="8" t="str">
        <f t="shared" si="22"/>
        <v>本科</v>
      </c>
      <c r="G56" s="8" t="str">
        <f aca="true" t="shared" si="26" ref="G56:G59">"海南师范大学"</f>
        <v>海南师范大学</v>
      </c>
      <c r="H56" s="8" t="str">
        <f t="shared" si="23"/>
        <v>学前教育</v>
      </c>
      <c r="I56" s="8" t="str">
        <f t="shared" si="1"/>
        <v>幼儿园教师资格</v>
      </c>
      <c r="J56" s="8" t="str">
        <f>"20144600712000215"</f>
        <v>20144600712000215</v>
      </c>
      <c r="K56" s="9"/>
    </row>
    <row r="57" spans="1:11" s="1" customFormat="1" ht="30" customHeight="1">
      <c r="A57" s="7">
        <v>54</v>
      </c>
      <c r="B57" s="8" t="str">
        <f>"23132020061413001425433"</f>
        <v>23132020061413001425433</v>
      </c>
      <c r="C57" s="8" t="s">
        <v>13</v>
      </c>
      <c r="D57" s="8" t="str">
        <f>"邱江琼"</f>
        <v>邱江琼</v>
      </c>
      <c r="E57" s="8" t="str">
        <f t="shared" si="25"/>
        <v>女</v>
      </c>
      <c r="F57" s="8" t="str">
        <f t="shared" si="24"/>
        <v>大专</v>
      </c>
      <c r="G57" s="8" t="str">
        <f>"琼台师范高等专科学校"</f>
        <v>琼台师范高等专科学校</v>
      </c>
      <c r="H57" s="8" t="str">
        <f>"初等教育"</f>
        <v>初等教育</v>
      </c>
      <c r="I57" s="8" t="str">
        <f t="shared" si="1"/>
        <v>幼儿园教师资格</v>
      </c>
      <c r="J57" s="8" t="str">
        <f>"20164601612000023"</f>
        <v>20164601612000023</v>
      </c>
      <c r="K57" s="9"/>
    </row>
    <row r="58" spans="1:11" s="1" customFormat="1" ht="30" customHeight="1">
      <c r="A58" s="7">
        <v>55</v>
      </c>
      <c r="B58" s="8" t="str">
        <f>"23132020060808031725116"</f>
        <v>23132020060808031725116</v>
      </c>
      <c r="C58" s="8" t="s">
        <v>14</v>
      </c>
      <c r="D58" s="8" t="str">
        <f>"陈明月"</f>
        <v>陈明月</v>
      </c>
      <c r="E58" s="8" t="str">
        <f t="shared" si="25"/>
        <v>女</v>
      </c>
      <c r="F58" s="8" t="str">
        <f>"本科"</f>
        <v>本科</v>
      </c>
      <c r="G58" s="8" t="str">
        <f t="shared" si="26"/>
        <v>海南师范大学</v>
      </c>
      <c r="H58" s="8" t="str">
        <f>"英语教育"</f>
        <v>英语教育</v>
      </c>
      <c r="I58" s="8" t="str">
        <f t="shared" si="1"/>
        <v>幼儿园教师资格</v>
      </c>
      <c r="J58" s="8" t="str">
        <f>"20184600712000820"</f>
        <v>20184600712000820</v>
      </c>
      <c r="K58" s="9"/>
    </row>
    <row r="59" spans="1:11" s="1" customFormat="1" ht="30" customHeight="1">
      <c r="A59" s="7">
        <v>56</v>
      </c>
      <c r="B59" s="8" t="str">
        <f>"23132020060808241425118"</f>
        <v>23132020060808241425118</v>
      </c>
      <c r="C59" s="8" t="s">
        <v>14</v>
      </c>
      <c r="D59" s="8" t="str">
        <f>"陈燕妮"</f>
        <v>陈燕妮</v>
      </c>
      <c r="E59" s="8" t="str">
        <f t="shared" si="25"/>
        <v>女</v>
      </c>
      <c r="F59" s="8" t="str">
        <f aca="true" t="shared" si="27" ref="F59:F61">"大专"</f>
        <v>大专</v>
      </c>
      <c r="G59" s="8" t="str">
        <f t="shared" si="26"/>
        <v>海南师范大学</v>
      </c>
      <c r="H59" s="8" t="str">
        <f aca="true" t="shared" si="28" ref="H59:H64">"学前教育"</f>
        <v>学前教育</v>
      </c>
      <c r="I59" s="8" t="str">
        <f t="shared" si="1"/>
        <v>幼儿园教师资格</v>
      </c>
      <c r="J59" s="8" t="str">
        <f>"20184600512000065"</f>
        <v>20184600512000065</v>
      </c>
      <c r="K59" s="9"/>
    </row>
    <row r="60" spans="1:11" s="1" customFormat="1" ht="30" customHeight="1">
      <c r="A60" s="7">
        <v>57</v>
      </c>
      <c r="B60" s="8" t="str">
        <f>"23132020060808251125119"</f>
        <v>23132020060808251125119</v>
      </c>
      <c r="C60" s="8" t="s">
        <v>14</v>
      </c>
      <c r="D60" s="8" t="str">
        <f>"卢海妮"</f>
        <v>卢海妮</v>
      </c>
      <c r="E60" s="8" t="str">
        <f t="shared" si="25"/>
        <v>女</v>
      </c>
      <c r="F60" s="8" t="str">
        <f t="shared" si="27"/>
        <v>大专</v>
      </c>
      <c r="G60" s="8" t="str">
        <f>"琼台师范高等专科学校"</f>
        <v>琼台师范高等专科学校</v>
      </c>
      <c r="H60" s="8" t="str">
        <f t="shared" si="28"/>
        <v>学前教育</v>
      </c>
      <c r="I60" s="8" t="str">
        <f t="shared" si="1"/>
        <v>幼儿园教师资格</v>
      </c>
      <c r="J60" s="8" t="str">
        <f>"20154600412000435"</f>
        <v>20154600412000435</v>
      </c>
      <c r="K60" s="9"/>
    </row>
    <row r="61" spans="1:11" s="1" customFormat="1" ht="30" customHeight="1">
      <c r="A61" s="7">
        <v>58</v>
      </c>
      <c r="B61" s="8" t="str">
        <f>"23132020060808422125123"</f>
        <v>23132020060808422125123</v>
      </c>
      <c r="C61" s="8" t="s">
        <v>14</v>
      </c>
      <c r="D61" s="8" t="str">
        <f>"李丹"</f>
        <v>李丹</v>
      </c>
      <c r="E61" s="8" t="str">
        <f t="shared" si="25"/>
        <v>女</v>
      </c>
      <c r="F61" s="8" t="str">
        <f t="shared" si="27"/>
        <v>大专</v>
      </c>
      <c r="G61" s="8" t="str">
        <f>"湖南师范大学"</f>
        <v>湖南师范大学</v>
      </c>
      <c r="H61" s="8" t="str">
        <f>"汉语"</f>
        <v>汉语</v>
      </c>
      <c r="I61" s="8" t="str">
        <f t="shared" si="1"/>
        <v>幼儿园教师资格</v>
      </c>
      <c r="J61" s="8" t="str">
        <f>"20074600511000036"</f>
        <v>20074600511000036</v>
      </c>
      <c r="K61" s="9"/>
    </row>
    <row r="62" spans="1:11" s="1" customFormat="1" ht="30" customHeight="1">
      <c r="A62" s="7">
        <v>59</v>
      </c>
      <c r="B62" s="8" t="str">
        <f>"23132020060808452425124"</f>
        <v>23132020060808452425124</v>
      </c>
      <c r="C62" s="8" t="s">
        <v>14</v>
      </c>
      <c r="D62" s="8" t="str">
        <f>"邓颖"</f>
        <v>邓颖</v>
      </c>
      <c r="E62" s="8" t="str">
        <f t="shared" si="25"/>
        <v>女</v>
      </c>
      <c r="F62" s="8" t="str">
        <f>"本科"</f>
        <v>本科</v>
      </c>
      <c r="G62" s="8" t="str">
        <f>"华中师范大学汉口分校"</f>
        <v>华中师范大学汉口分校</v>
      </c>
      <c r="H62" s="8" t="str">
        <f>"艺术设计"</f>
        <v>艺术设计</v>
      </c>
      <c r="I62" s="8" t="str">
        <f t="shared" si="1"/>
        <v>幼儿园教师资格</v>
      </c>
      <c r="J62" s="8" t="str">
        <f>"20184602412000041"</f>
        <v>20184602412000041</v>
      </c>
      <c r="K62" s="9"/>
    </row>
    <row r="63" spans="1:11" s="1" customFormat="1" ht="30" customHeight="1">
      <c r="A63" s="7">
        <v>60</v>
      </c>
      <c r="B63" s="8" t="str">
        <f>"23132020060808563625126"</f>
        <v>23132020060808563625126</v>
      </c>
      <c r="C63" s="8" t="s">
        <v>14</v>
      </c>
      <c r="D63" s="8" t="str">
        <f>"何少果"</f>
        <v>何少果</v>
      </c>
      <c r="E63" s="8" t="str">
        <f t="shared" si="25"/>
        <v>女</v>
      </c>
      <c r="F63" s="8" t="str">
        <f aca="true" t="shared" si="29" ref="F63:F66">"大专"</f>
        <v>大专</v>
      </c>
      <c r="G63" s="8" t="str">
        <f>"海南师范大学"</f>
        <v>海南师范大学</v>
      </c>
      <c r="H63" s="8" t="str">
        <f t="shared" si="28"/>
        <v>学前教育</v>
      </c>
      <c r="I63" s="8" t="str">
        <f t="shared" si="1"/>
        <v>幼儿园教师资格</v>
      </c>
      <c r="J63" s="8" t="str">
        <f>"20164405512048192"</f>
        <v>20164405512048192</v>
      </c>
      <c r="K63" s="9"/>
    </row>
    <row r="64" spans="1:11" s="1" customFormat="1" ht="30" customHeight="1">
      <c r="A64" s="7">
        <v>61</v>
      </c>
      <c r="B64" s="8" t="str">
        <f>"23132020060809002125127"</f>
        <v>23132020060809002125127</v>
      </c>
      <c r="C64" s="8" t="s">
        <v>14</v>
      </c>
      <c r="D64" s="8" t="str">
        <f>"李芳"</f>
        <v>李芳</v>
      </c>
      <c r="E64" s="8" t="str">
        <f t="shared" si="25"/>
        <v>女</v>
      </c>
      <c r="F64" s="8" t="str">
        <f t="shared" si="29"/>
        <v>大专</v>
      </c>
      <c r="G64" s="8" t="str">
        <f>"华中师范大学"</f>
        <v>华中师范大学</v>
      </c>
      <c r="H64" s="8" t="str">
        <f t="shared" si="28"/>
        <v>学前教育</v>
      </c>
      <c r="I64" s="8" t="str">
        <f t="shared" si="1"/>
        <v>幼儿园教师资格</v>
      </c>
      <c r="J64" s="8" t="str">
        <f>"20044600111003588"</f>
        <v>20044600111003588</v>
      </c>
      <c r="K64" s="9"/>
    </row>
    <row r="65" spans="1:11" s="1" customFormat="1" ht="30" customHeight="1">
      <c r="A65" s="7">
        <v>62</v>
      </c>
      <c r="B65" s="8" t="str">
        <f>"23132020060809163325130"</f>
        <v>23132020060809163325130</v>
      </c>
      <c r="C65" s="8" t="s">
        <v>14</v>
      </c>
      <c r="D65" s="8" t="str">
        <f>"潘娜"</f>
        <v>潘娜</v>
      </c>
      <c r="E65" s="8" t="str">
        <f t="shared" si="25"/>
        <v>女</v>
      </c>
      <c r="F65" s="8" t="str">
        <f t="shared" si="29"/>
        <v>大专</v>
      </c>
      <c r="G65" s="8" t="str">
        <f>"湖北省黄冈幼儿师范学校"</f>
        <v>湖北省黄冈幼儿师范学校</v>
      </c>
      <c r="H65" s="8" t="str">
        <f>"幼师专业"</f>
        <v>幼师专业</v>
      </c>
      <c r="I65" s="8" t="str">
        <f t="shared" si="1"/>
        <v>幼儿园教师资格</v>
      </c>
      <c r="J65" s="8" t="str">
        <f>"20074206711000164"</f>
        <v>20074206711000164</v>
      </c>
      <c r="K65" s="9"/>
    </row>
    <row r="66" spans="1:11" s="1" customFormat="1" ht="30" customHeight="1">
      <c r="A66" s="7">
        <v>63</v>
      </c>
      <c r="B66" s="8" t="str">
        <f>"23132020060809184125131"</f>
        <v>23132020060809184125131</v>
      </c>
      <c r="C66" s="8" t="s">
        <v>14</v>
      </c>
      <c r="D66" s="8" t="str">
        <f>"王玲"</f>
        <v>王玲</v>
      </c>
      <c r="E66" s="8" t="str">
        <f t="shared" si="25"/>
        <v>女</v>
      </c>
      <c r="F66" s="8" t="str">
        <f t="shared" si="29"/>
        <v>大专</v>
      </c>
      <c r="G66" s="8" t="str">
        <f>"琼台师范高等专科学校"</f>
        <v>琼台师范高等专科学校</v>
      </c>
      <c r="H66" s="8" t="str">
        <f aca="true" t="shared" si="30" ref="H66:H73">"学前教育"</f>
        <v>学前教育</v>
      </c>
      <c r="I66" s="8" t="str">
        <f t="shared" si="1"/>
        <v>幼儿园教师资格</v>
      </c>
      <c r="J66" s="8" t="str">
        <f>"20064600111002442"</f>
        <v>20064600111002442</v>
      </c>
      <c r="K66" s="9"/>
    </row>
    <row r="67" spans="1:11" s="1" customFormat="1" ht="30" customHeight="1">
      <c r="A67" s="7">
        <v>64</v>
      </c>
      <c r="B67" s="8" t="str">
        <f>"23132020060809194925133"</f>
        <v>23132020060809194925133</v>
      </c>
      <c r="C67" s="8" t="s">
        <v>14</v>
      </c>
      <c r="D67" s="8" t="str">
        <f>"袁肖肖"</f>
        <v>袁肖肖</v>
      </c>
      <c r="E67" s="8" t="str">
        <f t="shared" si="25"/>
        <v>女</v>
      </c>
      <c r="F67" s="8" t="str">
        <f>"研究生"</f>
        <v>研究生</v>
      </c>
      <c r="G67" s="8" t="str">
        <f>"南京农业大学"</f>
        <v>南京农业大学</v>
      </c>
      <c r="H67" s="8" t="str">
        <f>"发育生物学"</f>
        <v>发育生物学</v>
      </c>
      <c r="I67" s="8" t="str">
        <f t="shared" si="1"/>
        <v>幼儿园教师资格</v>
      </c>
      <c r="J67" s="8" t="str">
        <f>"20194600612000116"</f>
        <v>20194600612000116</v>
      </c>
      <c r="K67" s="9"/>
    </row>
    <row r="68" spans="1:11" s="1" customFormat="1" ht="30" customHeight="1">
      <c r="A68" s="7">
        <v>65</v>
      </c>
      <c r="B68" s="8" t="str">
        <f>"23132020060809285125137"</f>
        <v>23132020060809285125137</v>
      </c>
      <c r="C68" s="8" t="s">
        <v>14</v>
      </c>
      <c r="D68" s="8" t="str">
        <f>"夏晔"</f>
        <v>夏晔</v>
      </c>
      <c r="E68" s="8" t="str">
        <f t="shared" si="25"/>
        <v>女</v>
      </c>
      <c r="F68" s="8" t="str">
        <f aca="true" t="shared" si="31" ref="F68:F70">"大专"</f>
        <v>大专</v>
      </c>
      <c r="G68" s="8" t="str">
        <f>"湖南省第一师范学校"</f>
        <v>湖南省第一师范学校</v>
      </c>
      <c r="H68" s="8" t="str">
        <f t="shared" si="30"/>
        <v>学前教育</v>
      </c>
      <c r="I68" s="8" t="str">
        <f aca="true" t="shared" si="32" ref="I68:I131">"幼儿园教师资格"</f>
        <v>幼儿园教师资格</v>
      </c>
      <c r="J68" s="8" t="str">
        <f>"19994600431222251"</f>
        <v>19994600431222251</v>
      </c>
      <c r="K68" s="9"/>
    </row>
    <row r="69" spans="1:11" s="1" customFormat="1" ht="30" customHeight="1">
      <c r="A69" s="7">
        <v>66</v>
      </c>
      <c r="B69" s="8" t="str">
        <f>"23132020060809290425138"</f>
        <v>23132020060809290425138</v>
      </c>
      <c r="C69" s="8" t="s">
        <v>14</v>
      </c>
      <c r="D69" s="8" t="str">
        <f>"张金娣"</f>
        <v>张金娣</v>
      </c>
      <c r="E69" s="8" t="str">
        <f t="shared" si="25"/>
        <v>女</v>
      </c>
      <c r="F69" s="8" t="str">
        <f t="shared" si="31"/>
        <v>大专</v>
      </c>
      <c r="G69" s="8" t="str">
        <f>"湖北武汉音乐学院"</f>
        <v>湖北武汉音乐学院</v>
      </c>
      <c r="H69" s="8" t="str">
        <f>"艺术教育"</f>
        <v>艺术教育</v>
      </c>
      <c r="I69" s="8" t="str">
        <f t="shared" si="32"/>
        <v>幼儿园教师资格</v>
      </c>
      <c r="J69" s="8" t="str">
        <f>"20084306512000047"</f>
        <v>20084306512000047</v>
      </c>
      <c r="K69" s="9"/>
    </row>
    <row r="70" spans="1:11" s="1" customFormat="1" ht="30" customHeight="1">
      <c r="A70" s="7">
        <v>67</v>
      </c>
      <c r="B70" s="8" t="str">
        <f>"23132020060809380125143"</f>
        <v>23132020060809380125143</v>
      </c>
      <c r="C70" s="8" t="s">
        <v>14</v>
      </c>
      <c r="D70" s="8" t="str">
        <f>"王琼慧"</f>
        <v>王琼慧</v>
      </c>
      <c r="E70" s="8" t="str">
        <f t="shared" si="25"/>
        <v>女</v>
      </c>
      <c r="F70" s="8" t="str">
        <f t="shared" si="31"/>
        <v>大专</v>
      </c>
      <c r="G70" s="8" t="str">
        <f>"中央广播电视大学"</f>
        <v>中央广播电视大学</v>
      </c>
      <c r="H70" s="8" t="str">
        <f t="shared" si="30"/>
        <v>学前教育</v>
      </c>
      <c r="I70" s="8" t="str">
        <f t="shared" si="32"/>
        <v>幼儿园教师资格</v>
      </c>
      <c r="J70" s="8" t="str">
        <f>"20064600111002408"</f>
        <v>20064600111002408</v>
      </c>
      <c r="K70" s="9"/>
    </row>
    <row r="71" spans="1:11" s="1" customFormat="1" ht="30" customHeight="1">
      <c r="A71" s="7">
        <v>68</v>
      </c>
      <c r="B71" s="8" t="str">
        <f>"23132020060811302225158"</f>
        <v>23132020060811302225158</v>
      </c>
      <c r="C71" s="8" t="s">
        <v>14</v>
      </c>
      <c r="D71" s="8" t="str">
        <f>"蔡满"</f>
        <v>蔡满</v>
      </c>
      <c r="E71" s="8" t="str">
        <f t="shared" si="25"/>
        <v>女</v>
      </c>
      <c r="F71" s="8" t="str">
        <f aca="true" t="shared" si="33" ref="F71:F75">"本科"</f>
        <v>本科</v>
      </c>
      <c r="G71" s="8" t="str">
        <f>"海南师范大学"</f>
        <v>海南师范大学</v>
      </c>
      <c r="H71" s="8" t="str">
        <f t="shared" si="30"/>
        <v>学前教育</v>
      </c>
      <c r="I71" s="8" t="str">
        <f t="shared" si="32"/>
        <v>幼儿园教师资格</v>
      </c>
      <c r="J71" s="8" t="str">
        <f>"20094600512000026"</f>
        <v>20094600512000026</v>
      </c>
      <c r="K71" s="9"/>
    </row>
    <row r="72" spans="1:11" s="1" customFormat="1" ht="30" customHeight="1">
      <c r="A72" s="7">
        <v>69</v>
      </c>
      <c r="B72" s="8" t="str">
        <f>"23132020060811460425159"</f>
        <v>23132020060811460425159</v>
      </c>
      <c r="C72" s="8" t="s">
        <v>14</v>
      </c>
      <c r="D72" s="8" t="str">
        <f>"林云瑜"</f>
        <v>林云瑜</v>
      </c>
      <c r="E72" s="8" t="str">
        <f t="shared" si="25"/>
        <v>女</v>
      </c>
      <c r="F72" s="8" t="str">
        <f aca="true" t="shared" si="34" ref="F72:F76">"大专"</f>
        <v>大专</v>
      </c>
      <c r="G72" s="8" t="str">
        <f>"海南师范大学"</f>
        <v>海南师范大学</v>
      </c>
      <c r="H72" s="8" t="str">
        <f t="shared" si="30"/>
        <v>学前教育</v>
      </c>
      <c r="I72" s="8" t="str">
        <f t="shared" si="32"/>
        <v>幼儿园教师资格</v>
      </c>
      <c r="J72" s="8" t="str">
        <f>"200646001112425"</f>
        <v>200646001112425</v>
      </c>
      <c r="K72" s="9"/>
    </row>
    <row r="73" spans="1:11" s="1" customFormat="1" ht="30" customHeight="1">
      <c r="A73" s="7">
        <v>70</v>
      </c>
      <c r="B73" s="8" t="str">
        <f>"23132020060812003925161"</f>
        <v>23132020060812003925161</v>
      </c>
      <c r="C73" s="8" t="s">
        <v>14</v>
      </c>
      <c r="D73" s="8" t="str">
        <f>"王韵尧"</f>
        <v>王韵尧</v>
      </c>
      <c r="E73" s="8" t="str">
        <f t="shared" si="25"/>
        <v>女</v>
      </c>
      <c r="F73" s="8" t="str">
        <f t="shared" si="34"/>
        <v>大专</v>
      </c>
      <c r="G73" s="8" t="str">
        <f>"陕西师范大学"</f>
        <v>陕西师范大学</v>
      </c>
      <c r="H73" s="8" t="str">
        <f t="shared" si="30"/>
        <v>学前教育</v>
      </c>
      <c r="I73" s="8" t="str">
        <f t="shared" si="32"/>
        <v>幼儿园教师资格</v>
      </c>
      <c r="J73" s="8" t="str">
        <f>"20064600111002520"</f>
        <v>20064600111002520</v>
      </c>
      <c r="K73" s="9"/>
    </row>
    <row r="74" spans="1:11" s="1" customFormat="1" ht="30" customHeight="1">
      <c r="A74" s="7">
        <v>71</v>
      </c>
      <c r="B74" s="8" t="str">
        <f>"23132020060812064925163"</f>
        <v>23132020060812064925163</v>
      </c>
      <c r="C74" s="8" t="s">
        <v>14</v>
      </c>
      <c r="D74" s="8" t="str">
        <f>"潘胜根"</f>
        <v>潘胜根</v>
      </c>
      <c r="E74" s="8" t="str">
        <f t="shared" si="25"/>
        <v>女</v>
      </c>
      <c r="F74" s="8" t="str">
        <f t="shared" si="33"/>
        <v>本科</v>
      </c>
      <c r="G74" s="8" t="str">
        <f>"东北师范大学"</f>
        <v>东北师范大学</v>
      </c>
      <c r="H74" s="8" t="str">
        <f>"教育管理"</f>
        <v>教育管理</v>
      </c>
      <c r="I74" s="8" t="str">
        <f t="shared" si="32"/>
        <v>幼儿园教师资格</v>
      </c>
      <c r="J74" s="8" t="str">
        <f>"20052352141006286"</f>
        <v>20052352141006286</v>
      </c>
      <c r="K74" s="9"/>
    </row>
    <row r="75" spans="1:11" s="1" customFormat="1" ht="30" customHeight="1">
      <c r="A75" s="7">
        <v>72</v>
      </c>
      <c r="B75" s="8" t="str">
        <f>"23132020060812453625173"</f>
        <v>23132020060812453625173</v>
      </c>
      <c r="C75" s="8" t="s">
        <v>14</v>
      </c>
      <c r="D75" s="8" t="str">
        <f>"陈土妹"</f>
        <v>陈土妹</v>
      </c>
      <c r="E75" s="8" t="str">
        <f t="shared" si="25"/>
        <v>女</v>
      </c>
      <c r="F75" s="8" t="str">
        <f t="shared" si="33"/>
        <v>本科</v>
      </c>
      <c r="G75" s="8" t="str">
        <f>"衡阳师范学院"</f>
        <v>衡阳师范学院</v>
      </c>
      <c r="H75" s="8" t="str">
        <f aca="true" t="shared" si="35" ref="H75:H80">"学前教育"</f>
        <v>学前教育</v>
      </c>
      <c r="I75" s="8" t="str">
        <f t="shared" si="32"/>
        <v>幼儿园教师资格</v>
      </c>
      <c r="J75" s="8" t="str">
        <f>"20164304012000120"</f>
        <v>20164304012000120</v>
      </c>
      <c r="K75" s="9"/>
    </row>
    <row r="76" spans="1:11" s="1" customFormat="1" ht="30" customHeight="1">
      <c r="A76" s="7">
        <v>73</v>
      </c>
      <c r="B76" s="8" t="str">
        <f>"23132020060813031725177"</f>
        <v>23132020060813031725177</v>
      </c>
      <c r="C76" s="8" t="s">
        <v>14</v>
      </c>
      <c r="D76" s="8" t="str">
        <f>"陈礼朋"</f>
        <v>陈礼朋</v>
      </c>
      <c r="E76" s="8" t="str">
        <f>"男"</f>
        <v>男</v>
      </c>
      <c r="F76" s="8" t="str">
        <f t="shared" si="34"/>
        <v>大专</v>
      </c>
      <c r="G76" s="8" t="str">
        <f>"琼台师范高等专科学校"</f>
        <v>琼台师范高等专科学校</v>
      </c>
      <c r="H76" s="8" t="str">
        <f>"学前教育（英语方向）"</f>
        <v>学前教育（英语方向）</v>
      </c>
      <c r="I76" s="8" t="str">
        <f t="shared" si="32"/>
        <v>幼儿园教师资格</v>
      </c>
      <c r="J76" s="8" t="str">
        <f>"20104600111002430"</f>
        <v>20104600111002430</v>
      </c>
      <c r="K76" s="9"/>
    </row>
    <row r="77" spans="1:11" s="1" customFormat="1" ht="30" customHeight="1">
      <c r="A77" s="7">
        <v>74</v>
      </c>
      <c r="B77" s="8" t="str">
        <f>"23132020060813163225181"</f>
        <v>23132020060813163225181</v>
      </c>
      <c r="C77" s="8" t="s">
        <v>14</v>
      </c>
      <c r="D77" s="8" t="str">
        <f>"杨玉琴"</f>
        <v>杨玉琴</v>
      </c>
      <c r="E77" s="8" t="str">
        <f aca="true" t="shared" si="36" ref="E77:E93">"女"</f>
        <v>女</v>
      </c>
      <c r="F77" s="8" t="str">
        <f aca="true" t="shared" si="37" ref="F77:F83">"本科"</f>
        <v>本科</v>
      </c>
      <c r="G77" s="8" t="str">
        <f aca="true" t="shared" si="38" ref="G77:G83">"海南师范大学"</f>
        <v>海南师范大学</v>
      </c>
      <c r="H77" s="8" t="str">
        <f t="shared" si="35"/>
        <v>学前教育</v>
      </c>
      <c r="I77" s="8" t="str">
        <f t="shared" si="32"/>
        <v>幼儿园教师资格</v>
      </c>
      <c r="J77" s="8" t="str">
        <f>"20044600111003617"</f>
        <v>20044600111003617</v>
      </c>
      <c r="K77" s="9"/>
    </row>
    <row r="78" spans="1:11" s="1" customFormat="1" ht="30" customHeight="1">
      <c r="A78" s="7">
        <v>75</v>
      </c>
      <c r="B78" s="8" t="str">
        <f>"23132020060813191125182"</f>
        <v>23132020060813191125182</v>
      </c>
      <c r="C78" s="8" t="s">
        <v>14</v>
      </c>
      <c r="D78" s="8" t="str">
        <f>"高荣丽"</f>
        <v>高荣丽</v>
      </c>
      <c r="E78" s="8" t="str">
        <f t="shared" si="36"/>
        <v>女</v>
      </c>
      <c r="F78" s="8" t="str">
        <f>"大专"</f>
        <v>大专</v>
      </c>
      <c r="G78" s="8" t="str">
        <f>"北京舞蹈学院"</f>
        <v>北京舞蹈学院</v>
      </c>
      <c r="H78" s="8" t="str">
        <f>"舞蹈表演"</f>
        <v>舞蹈表演</v>
      </c>
      <c r="I78" s="8" t="str">
        <f t="shared" si="32"/>
        <v>幼儿园教师资格</v>
      </c>
      <c r="J78" s="8" t="str">
        <f>"20114600112006624"</f>
        <v>20114600112006624</v>
      </c>
      <c r="K78" s="9"/>
    </row>
    <row r="79" spans="1:11" s="1" customFormat="1" ht="30" customHeight="1">
      <c r="A79" s="7">
        <v>76</v>
      </c>
      <c r="B79" s="8" t="str">
        <f>"23132020060814073125186"</f>
        <v>23132020060814073125186</v>
      </c>
      <c r="C79" s="8" t="s">
        <v>14</v>
      </c>
      <c r="D79" s="8" t="str">
        <f>"刘桂伶"</f>
        <v>刘桂伶</v>
      </c>
      <c r="E79" s="8" t="str">
        <f t="shared" si="36"/>
        <v>女</v>
      </c>
      <c r="F79" s="8" t="str">
        <f t="shared" si="37"/>
        <v>本科</v>
      </c>
      <c r="G79" s="8" t="str">
        <f t="shared" si="38"/>
        <v>海南师范大学</v>
      </c>
      <c r="H79" s="8" t="str">
        <f t="shared" si="35"/>
        <v>学前教育</v>
      </c>
      <c r="I79" s="8" t="str">
        <f t="shared" si="32"/>
        <v>幼儿园教师资格</v>
      </c>
      <c r="J79" s="8" t="str">
        <f>"20194600412001414"</f>
        <v>20194600412001414</v>
      </c>
      <c r="K79" s="9"/>
    </row>
    <row r="80" spans="1:11" s="1" customFormat="1" ht="30" customHeight="1">
      <c r="A80" s="7">
        <v>77</v>
      </c>
      <c r="B80" s="8" t="str">
        <f>"23132020060814151925188"</f>
        <v>23132020060814151925188</v>
      </c>
      <c r="C80" s="8" t="s">
        <v>14</v>
      </c>
      <c r="D80" s="8" t="str">
        <f>"吉丽娜"</f>
        <v>吉丽娜</v>
      </c>
      <c r="E80" s="8" t="str">
        <f t="shared" si="36"/>
        <v>女</v>
      </c>
      <c r="F80" s="8" t="str">
        <f aca="true" t="shared" si="39" ref="F80:F85">"大专"</f>
        <v>大专</v>
      </c>
      <c r="G80" s="8" t="str">
        <f>"琼台师范学院"</f>
        <v>琼台师范学院</v>
      </c>
      <c r="H80" s="8" t="str">
        <f t="shared" si="35"/>
        <v>学前教育</v>
      </c>
      <c r="I80" s="8" t="str">
        <f t="shared" si="32"/>
        <v>幼儿园教师资格</v>
      </c>
      <c r="J80" s="8" t="str">
        <f>"20184601812000021"</f>
        <v>20184601812000021</v>
      </c>
      <c r="K80" s="9"/>
    </row>
    <row r="81" spans="1:11" s="1" customFormat="1" ht="30" customHeight="1">
      <c r="A81" s="7">
        <v>78</v>
      </c>
      <c r="B81" s="8" t="str">
        <f>"23132020060814334325191"</f>
        <v>23132020060814334325191</v>
      </c>
      <c r="C81" s="8" t="s">
        <v>14</v>
      </c>
      <c r="D81" s="8" t="str">
        <f>"张敏"</f>
        <v>张敏</v>
      </c>
      <c r="E81" s="8" t="str">
        <f t="shared" si="36"/>
        <v>女</v>
      </c>
      <c r="F81" s="8" t="str">
        <f t="shared" si="37"/>
        <v>本科</v>
      </c>
      <c r="G81" s="8" t="str">
        <f>"琼台师范高等专科学校"</f>
        <v>琼台师范高等专科学校</v>
      </c>
      <c r="H81" s="8" t="str">
        <f>"小学数学"</f>
        <v>小学数学</v>
      </c>
      <c r="I81" s="8" t="str">
        <f t="shared" si="32"/>
        <v>幼儿园教师资格</v>
      </c>
      <c r="J81" s="8" t="str">
        <f>"20124601512000052"</f>
        <v>20124601512000052</v>
      </c>
      <c r="K81" s="9"/>
    </row>
    <row r="82" spans="1:11" s="1" customFormat="1" ht="30" customHeight="1">
      <c r="A82" s="7">
        <v>79</v>
      </c>
      <c r="B82" s="8" t="str">
        <f>"23132020060816131525200"</f>
        <v>23132020060816131525200</v>
      </c>
      <c r="C82" s="8" t="s">
        <v>14</v>
      </c>
      <c r="D82" s="8" t="str">
        <f>"张春丽"</f>
        <v>张春丽</v>
      </c>
      <c r="E82" s="8" t="str">
        <f t="shared" si="36"/>
        <v>女</v>
      </c>
      <c r="F82" s="8" t="str">
        <f t="shared" si="37"/>
        <v>本科</v>
      </c>
      <c r="G82" s="8" t="str">
        <f t="shared" si="38"/>
        <v>海南师范大学</v>
      </c>
      <c r="H82" s="8" t="str">
        <f aca="true" t="shared" si="40" ref="H82:H86">"学前教育"</f>
        <v>学前教育</v>
      </c>
      <c r="I82" s="8" t="str">
        <f t="shared" si="32"/>
        <v>幼儿园教师资格</v>
      </c>
      <c r="J82" s="8" t="str">
        <f>"200946001120019541"</f>
        <v>200946001120019541</v>
      </c>
      <c r="K82" s="9"/>
    </row>
    <row r="83" spans="1:11" s="1" customFormat="1" ht="30" customHeight="1">
      <c r="A83" s="7">
        <v>80</v>
      </c>
      <c r="B83" s="8" t="str">
        <f>"23132020060817165725204"</f>
        <v>23132020060817165725204</v>
      </c>
      <c r="C83" s="8" t="s">
        <v>14</v>
      </c>
      <c r="D83" s="8" t="str">
        <f>"黄燕芳"</f>
        <v>黄燕芳</v>
      </c>
      <c r="E83" s="8" t="str">
        <f t="shared" si="36"/>
        <v>女</v>
      </c>
      <c r="F83" s="8" t="str">
        <f t="shared" si="37"/>
        <v>本科</v>
      </c>
      <c r="G83" s="8" t="str">
        <f t="shared" si="38"/>
        <v>海南师范大学</v>
      </c>
      <c r="H83" s="8" t="str">
        <f>"教育学"</f>
        <v>教育学</v>
      </c>
      <c r="I83" s="8" t="str">
        <f t="shared" si="32"/>
        <v>幼儿园教师资格</v>
      </c>
      <c r="J83" s="8" t="str">
        <f>"20034600911000558"</f>
        <v>20034600911000558</v>
      </c>
      <c r="K83" s="9"/>
    </row>
    <row r="84" spans="1:11" s="1" customFormat="1" ht="30" customHeight="1">
      <c r="A84" s="7">
        <v>81</v>
      </c>
      <c r="B84" s="8" t="str">
        <f>"23132020060817590625208"</f>
        <v>23132020060817590625208</v>
      </c>
      <c r="C84" s="8" t="s">
        <v>14</v>
      </c>
      <c r="D84" s="8" t="str">
        <f>"唐思琴"</f>
        <v>唐思琴</v>
      </c>
      <c r="E84" s="8" t="str">
        <f t="shared" si="36"/>
        <v>女</v>
      </c>
      <c r="F84" s="8" t="str">
        <f t="shared" si="39"/>
        <v>大专</v>
      </c>
      <c r="G84" s="8" t="str">
        <f>"广东海洋大学"</f>
        <v>广东海洋大学</v>
      </c>
      <c r="H84" s="8" t="str">
        <f>"广告设计与制作"</f>
        <v>广告设计与制作</v>
      </c>
      <c r="I84" s="8" t="str">
        <f t="shared" si="32"/>
        <v>幼儿园教师资格</v>
      </c>
      <c r="J84" s="8" t="str">
        <f>"20194600412001224"</f>
        <v>20194600412001224</v>
      </c>
      <c r="K84" s="9"/>
    </row>
    <row r="85" spans="1:11" s="1" customFormat="1" ht="30" customHeight="1">
      <c r="A85" s="7">
        <v>82</v>
      </c>
      <c r="B85" s="8" t="str">
        <f>"23132020060819103525215"</f>
        <v>23132020060819103525215</v>
      </c>
      <c r="C85" s="8" t="s">
        <v>14</v>
      </c>
      <c r="D85" s="8" t="str">
        <f>"容孝婷"</f>
        <v>容孝婷</v>
      </c>
      <c r="E85" s="8" t="str">
        <f t="shared" si="36"/>
        <v>女</v>
      </c>
      <c r="F85" s="8" t="str">
        <f t="shared" si="39"/>
        <v>大专</v>
      </c>
      <c r="G85" s="8" t="str">
        <f>"海南热带海洋学院"</f>
        <v>海南热带海洋学院</v>
      </c>
      <c r="H85" s="8" t="str">
        <f t="shared" si="40"/>
        <v>学前教育</v>
      </c>
      <c r="I85" s="8" t="str">
        <f t="shared" si="32"/>
        <v>幼儿园教师资格</v>
      </c>
      <c r="J85" s="8" t="str">
        <f>"20174601812000068"</f>
        <v>20174601812000068</v>
      </c>
      <c r="K85" s="9"/>
    </row>
    <row r="86" spans="1:11" s="1" customFormat="1" ht="30" customHeight="1">
      <c r="A86" s="7">
        <v>83</v>
      </c>
      <c r="B86" s="8" t="str">
        <f>"23132020060819171325216"</f>
        <v>23132020060819171325216</v>
      </c>
      <c r="C86" s="8" t="s">
        <v>14</v>
      </c>
      <c r="D86" s="8" t="str">
        <f>"于茜"</f>
        <v>于茜</v>
      </c>
      <c r="E86" s="8" t="str">
        <f t="shared" si="36"/>
        <v>女</v>
      </c>
      <c r="F86" s="8" t="str">
        <f aca="true" t="shared" si="41" ref="F86:F92">"本科"</f>
        <v>本科</v>
      </c>
      <c r="G86" s="8" t="str">
        <f>"吉林师范大学 博达学院"</f>
        <v>吉林师范大学 博达学院</v>
      </c>
      <c r="H86" s="8" t="str">
        <f t="shared" si="40"/>
        <v>学前教育</v>
      </c>
      <c r="I86" s="8" t="str">
        <f t="shared" si="32"/>
        <v>幼儿园教师资格</v>
      </c>
      <c r="J86" s="8" t="str">
        <f>"20162230112000078"</f>
        <v>20162230112000078</v>
      </c>
      <c r="K86" s="9"/>
    </row>
    <row r="87" spans="1:11" s="1" customFormat="1" ht="30" customHeight="1">
      <c r="A87" s="7">
        <v>84</v>
      </c>
      <c r="B87" s="8" t="str">
        <f>"23132020060819185425217"</f>
        <v>23132020060819185425217</v>
      </c>
      <c r="C87" s="8" t="s">
        <v>14</v>
      </c>
      <c r="D87" s="8" t="str">
        <f>"丁悦桢"</f>
        <v>丁悦桢</v>
      </c>
      <c r="E87" s="8" t="str">
        <f t="shared" si="36"/>
        <v>女</v>
      </c>
      <c r="F87" s="8" t="str">
        <f aca="true" t="shared" si="42" ref="F87:F90">"大专"</f>
        <v>大专</v>
      </c>
      <c r="G87" s="8" t="str">
        <f aca="true" t="shared" si="43" ref="G87:G92">"海南师范大学"</f>
        <v>海南师范大学</v>
      </c>
      <c r="H87" s="8" t="str">
        <f>"初等教育"</f>
        <v>初等教育</v>
      </c>
      <c r="I87" s="8" t="str">
        <f t="shared" si="32"/>
        <v>幼儿园教师资格</v>
      </c>
      <c r="J87" s="8" t="str">
        <f>"20134601012000081"</f>
        <v>20134601012000081</v>
      </c>
      <c r="K87" s="9"/>
    </row>
    <row r="88" spans="1:11" s="1" customFormat="1" ht="30" customHeight="1">
      <c r="A88" s="7">
        <v>85</v>
      </c>
      <c r="B88" s="8" t="str">
        <f>"23132020060819325625219"</f>
        <v>23132020060819325625219</v>
      </c>
      <c r="C88" s="8" t="s">
        <v>14</v>
      </c>
      <c r="D88" s="8" t="str">
        <f>"韩笛"</f>
        <v>韩笛</v>
      </c>
      <c r="E88" s="8" t="str">
        <f t="shared" si="36"/>
        <v>女</v>
      </c>
      <c r="F88" s="8" t="str">
        <f t="shared" si="42"/>
        <v>大专</v>
      </c>
      <c r="G88" s="8" t="str">
        <f t="shared" si="43"/>
        <v>海南师范大学</v>
      </c>
      <c r="H88" s="8" t="str">
        <f aca="true" t="shared" si="44" ref="H88:H92">"学前教育"</f>
        <v>学前教育</v>
      </c>
      <c r="I88" s="8" t="str">
        <f t="shared" si="32"/>
        <v>幼儿园教师资格</v>
      </c>
      <c r="J88" s="8" t="str">
        <f>"20114601212000025"</f>
        <v>20114601212000025</v>
      </c>
      <c r="K88" s="9"/>
    </row>
    <row r="89" spans="1:11" s="1" customFormat="1" ht="30" customHeight="1">
      <c r="A89" s="7">
        <v>86</v>
      </c>
      <c r="B89" s="8" t="str">
        <f>"23132020060820215325222"</f>
        <v>23132020060820215325222</v>
      </c>
      <c r="C89" s="8" t="s">
        <v>14</v>
      </c>
      <c r="D89" s="8" t="str">
        <f>"李珊珊"</f>
        <v>李珊珊</v>
      </c>
      <c r="E89" s="8" t="str">
        <f t="shared" si="36"/>
        <v>女</v>
      </c>
      <c r="F89" s="8" t="str">
        <f t="shared" si="41"/>
        <v>本科</v>
      </c>
      <c r="G89" s="8" t="str">
        <f>"广西民族大学"</f>
        <v>广西民族大学</v>
      </c>
      <c r="H89" s="8" t="str">
        <f>"印度尼西亚语"</f>
        <v>印度尼西亚语</v>
      </c>
      <c r="I89" s="8" t="str">
        <f t="shared" si="32"/>
        <v>幼儿园教师资格</v>
      </c>
      <c r="J89" s="8" t="str">
        <f>"20194601012000189"</f>
        <v>20194601012000189</v>
      </c>
      <c r="K89" s="9"/>
    </row>
    <row r="90" spans="1:11" s="1" customFormat="1" ht="30" customHeight="1">
      <c r="A90" s="7">
        <v>87</v>
      </c>
      <c r="B90" s="8" t="str">
        <f>"23132020060821064725227"</f>
        <v>23132020060821064725227</v>
      </c>
      <c r="C90" s="8" t="s">
        <v>14</v>
      </c>
      <c r="D90" s="8" t="str">
        <f>"郭亚卿"</f>
        <v>郭亚卿</v>
      </c>
      <c r="E90" s="8" t="str">
        <f t="shared" si="36"/>
        <v>女</v>
      </c>
      <c r="F90" s="8" t="str">
        <f t="shared" si="42"/>
        <v>大专</v>
      </c>
      <c r="G90" s="8" t="str">
        <f>"琼台师范高等专科学校"</f>
        <v>琼台师范高等专科学校</v>
      </c>
      <c r="H90" s="8" t="str">
        <f t="shared" si="44"/>
        <v>学前教育</v>
      </c>
      <c r="I90" s="8" t="str">
        <f t="shared" si="32"/>
        <v>幼儿园教师资格</v>
      </c>
      <c r="J90" s="8" t="str">
        <f>"20124600112003692"</f>
        <v>20124600112003692</v>
      </c>
      <c r="K90" s="9"/>
    </row>
    <row r="91" spans="1:11" s="1" customFormat="1" ht="30" customHeight="1">
      <c r="A91" s="7">
        <v>88</v>
      </c>
      <c r="B91" s="8" t="str">
        <f>"23132020060821154125228"</f>
        <v>23132020060821154125228</v>
      </c>
      <c r="C91" s="8" t="s">
        <v>14</v>
      </c>
      <c r="D91" s="8" t="str">
        <f>"顾小玲"</f>
        <v>顾小玲</v>
      </c>
      <c r="E91" s="8" t="str">
        <f t="shared" si="36"/>
        <v>女</v>
      </c>
      <c r="F91" s="8" t="str">
        <f t="shared" si="41"/>
        <v>本科</v>
      </c>
      <c r="G91" s="8" t="str">
        <f t="shared" si="43"/>
        <v>海南师范大学</v>
      </c>
      <c r="H91" s="8" t="str">
        <f t="shared" si="44"/>
        <v>学前教育</v>
      </c>
      <c r="I91" s="8" t="str">
        <f t="shared" si="32"/>
        <v>幼儿园教师资格</v>
      </c>
      <c r="J91" s="8" t="str">
        <f>"20164600612000095"</f>
        <v>20164600612000095</v>
      </c>
      <c r="K91" s="9"/>
    </row>
    <row r="92" spans="1:11" s="1" customFormat="1" ht="30" customHeight="1">
      <c r="A92" s="7">
        <v>89</v>
      </c>
      <c r="B92" s="8" t="str">
        <f>"23132020060821433725230"</f>
        <v>23132020060821433725230</v>
      </c>
      <c r="C92" s="8" t="s">
        <v>14</v>
      </c>
      <c r="D92" s="8" t="str">
        <f>"杜丽娟"</f>
        <v>杜丽娟</v>
      </c>
      <c r="E92" s="8" t="str">
        <f t="shared" si="36"/>
        <v>女</v>
      </c>
      <c r="F92" s="8" t="str">
        <f t="shared" si="41"/>
        <v>本科</v>
      </c>
      <c r="G92" s="8" t="str">
        <f t="shared" si="43"/>
        <v>海南师范大学</v>
      </c>
      <c r="H92" s="8" t="str">
        <f t="shared" si="44"/>
        <v>学前教育</v>
      </c>
      <c r="I92" s="8" t="str">
        <f t="shared" si="32"/>
        <v>幼儿园教师资格</v>
      </c>
      <c r="J92" s="8" t="str">
        <f>"20064600611000017"</f>
        <v>20064600611000017</v>
      </c>
      <c r="K92" s="9"/>
    </row>
    <row r="93" spans="1:11" s="1" customFormat="1" ht="30" customHeight="1">
      <c r="A93" s="7">
        <v>90</v>
      </c>
      <c r="B93" s="8" t="str">
        <f>"23132020060822512125240"</f>
        <v>23132020060822512125240</v>
      </c>
      <c r="C93" s="8" t="s">
        <v>14</v>
      </c>
      <c r="D93" s="8" t="str">
        <f>"陈玲"</f>
        <v>陈玲</v>
      </c>
      <c r="E93" s="8" t="str">
        <f t="shared" si="36"/>
        <v>女</v>
      </c>
      <c r="F93" s="8" t="str">
        <f aca="true" t="shared" si="45" ref="F93:F96">"大专"</f>
        <v>大专</v>
      </c>
      <c r="G93" s="8" t="str">
        <f>"海南外国语职业学院"</f>
        <v>海南外国语职业学院</v>
      </c>
      <c r="H93" s="8" t="str">
        <f>"应用英语"</f>
        <v>应用英语</v>
      </c>
      <c r="I93" s="8" t="str">
        <f t="shared" si="32"/>
        <v>幼儿园教师资格</v>
      </c>
      <c r="J93" s="8" t="str">
        <f>"20154600512000018"</f>
        <v>20154600512000018</v>
      </c>
      <c r="K93" s="9"/>
    </row>
    <row r="94" spans="1:11" s="1" customFormat="1" ht="30" customHeight="1">
      <c r="A94" s="7">
        <v>91</v>
      </c>
      <c r="B94" s="8" t="str">
        <f>"23132020060823080125243"</f>
        <v>23132020060823080125243</v>
      </c>
      <c r="C94" s="8" t="s">
        <v>14</v>
      </c>
      <c r="D94" s="8" t="str">
        <f>"陈勇霖"</f>
        <v>陈勇霖</v>
      </c>
      <c r="E94" s="8" t="str">
        <f>"男"</f>
        <v>男</v>
      </c>
      <c r="F94" s="8" t="str">
        <f t="shared" si="45"/>
        <v>大专</v>
      </c>
      <c r="G94" s="8" t="str">
        <f>"琼台师范高等专科学校"</f>
        <v>琼台师范高等专科学校</v>
      </c>
      <c r="H94" s="8" t="str">
        <f aca="true" t="shared" si="46" ref="H94:H98">"学前教育"</f>
        <v>学前教育</v>
      </c>
      <c r="I94" s="8" t="str">
        <f t="shared" si="32"/>
        <v>幼儿园教师资格</v>
      </c>
      <c r="J94" s="8" t="str">
        <f>"20144600411001864"</f>
        <v>20144600411001864</v>
      </c>
      <c r="K94" s="9"/>
    </row>
    <row r="95" spans="1:11" s="1" customFormat="1" ht="30" customHeight="1">
      <c r="A95" s="7">
        <v>92</v>
      </c>
      <c r="B95" s="8" t="str">
        <f>"23132020060823294125244"</f>
        <v>23132020060823294125244</v>
      </c>
      <c r="C95" s="8" t="s">
        <v>14</v>
      </c>
      <c r="D95" s="8" t="str">
        <f>"彭福琼"</f>
        <v>彭福琼</v>
      </c>
      <c r="E95" s="8" t="str">
        <f aca="true" t="shared" si="47" ref="E95:E155">"女"</f>
        <v>女</v>
      </c>
      <c r="F95" s="8" t="str">
        <f t="shared" si="45"/>
        <v>大专</v>
      </c>
      <c r="G95" s="8" t="str">
        <f>"成都大学"</f>
        <v>成都大学</v>
      </c>
      <c r="H95" s="8" t="str">
        <f>"旅游管理（含饭店管理）"</f>
        <v>旅游管理（含饭店管理）</v>
      </c>
      <c r="I95" s="8" t="str">
        <f t="shared" si="32"/>
        <v>幼儿园教师资格</v>
      </c>
      <c r="J95" s="8" t="str">
        <f>"20144601212000008"</f>
        <v>20144601212000008</v>
      </c>
      <c r="K95" s="9"/>
    </row>
    <row r="96" spans="1:11" s="1" customFormat="1" ht="30" customHeight="1">
      <c r="A96" s="7">
        <v>93</v>
      </c>
      <c r="B96" s="8" t="str">
        <f>"23132020060906440825246"</f>
        <v>23132020060906440825246</v>
      </c>
      <c r="C96" s="8" t="s">
        <v>14</v>
      </c>
      <c r="D96" s="8" t="str">
        <f>"孙中雅"</f>
        <v>孙中雅</v>
      </c>
      <c r="E96" s="8" t="str">
        <f t="shared" si="47"/>
        <v>女</v>
      </c>
      <c r="F96" s="8" t="str">
        <f t="shared" si="45"/>
        <v>大专</v>
      </c>
      <c r="G96" s="8" t="str">
        <f aca="true" t="shared" si="48" ref="G96:G100">"海南师范大学"</f>
        <v>海南师范大学</v>
      </c>
      <c r="H96" s="8" t="str">
        <f>"初等教育"</f>
        <v>初等教育</v>
      </c>
      <c r="I96" s="8" t="str">
        <f t="shared" si="32"/>
        <v>幼儿园教师资格</v>
      </c>
      <c r="J96" s="8" t="str">
        <f>"20074600711000043"</f>
        <v>20074600711000043</v>
      </c>
      <c r="K96" s="9"/>
    </row>
    <row r="97" spans="1:11" s="1" customFormat="1" ht="30" customHeight="1">
      <c r="A97" s="7">
        <v>94</v>
      </c>
      <c r="B97" s="8" t="str">
        <f>"23132020060908214725250"</f>
        <v>23132020060908214725250</v>
      </c>
      <c r="C97" s="8" t="s">
        <v>14</v>
      </c>
      <c r="D97" s="8" t="str">
        <f>"张春燕"</f>
        <v>张春燕</v>
      </c>
      <c r="E97" s="8" t="str">
        <f t="shared" si="47"/>
        <v>女</v>
      </c>
      <c r="F97" s="8" t="str">
        <f aca="true" t="shared" si="49" ref="F97:F101">"本科"</f>
        <v>本科</v>
      </c>
      <c r="G97" s="8" t="str">
        <f>"西安国际商务进修学院"</f>
        <v>西安国际商务进修学院</v>
      </c>
      <c r="H97" s="8" t="str">
        <f t="shared" si="46"/>
        <v>学前教育</v>
      </c>
      <c r="I97" s="8" t="str">
        <f t="shared" si="32"/>
        <v>幼儿园教师资格</v>
      </c>
      <c r="J97" s="8" t="str">
        <f>"20004403111000409"</f>
        <v>20004403111000409</v>
      </c>
      <c r="K97" s="9"/>
    </row>
    <row r="98" spans="1:11" s="1" customFormat="1" ht="30" customHeight="1">
      <c r="A98" s="7">
        <v>95</v>
      </c>
      <c r="B98" s="8" t="str">
        <f>"23132020060910414525258"</f>
        <v>23132020060910414525258</v>
      </c>
      <c r="C98" s="8" t="s">
        <v>14</v>
      </c>
      <c r="D98" s="8" t="str">
        <f>"张宝尹"</f>
        <v>张宝尹</v>
      </c>
      <c r="E98" s="8" t="str">
        <f t="shared" si="47"/>
        <v>女</v>
      </c>
      <c r="F98" s="8" t="str">
        <f aca="true" t="shared" si="50" ref="F98:F104">"大专"</f>
        <v>大专</v>
      </c>
      <c r="G98" s="8" t="str">
        <f t="shared" si="48"/>
        <v>海南师范大学</v>
      </c>
      <c r="H98" s="8" t="str">
        <f t="shared" si="46"/>
        <v>学前教育</v>
      </c>
      <c r="I98" s="8" t="str">
        <f t="shared" si="32"/>
        <v>幼儿园教师资格</v>
      </c>
      <c r="J98" s="8" t="str">
        <f>"20144600412001358"</f>
        <v>20144600412001358</v>
      </c>
      <c r="K98" s="9"/>
    </row>
    <row r="99" spans="1:11" s="1" customFormat="1" ht="30" customHeight="1">
      <c r="A99" s="7">
        <v>96</v>
      </c>
      <c r="B99" s="8" t="str">
        <f>"23132020060912233525263"</f>
        <v>23132020060912233525263</v>
      </c>
      <c r="C99" s="8" t="s">
        <v>14</v>
      </c>
      <c r="D99" s="8" t="str">
        <f>"谭晶"</f>
        <v>谭晶</v>
      </c>
      <c r="E99" s="8" t="str">
        <f t="shared" si="47"/>
        <v>女</v>
      </c>
      <c r="F99" s="8" t="str">
        <f t="shared" si="49"/>
        <v>本科</v>
      </c>
      <c r="G99" s="8" t="str">
        <f>"中央广播电视大学"</f>
        <v>中央广播电视大学</v>
      </c>
      <c r="H99" s="8" t="str">
        <f>"行政管理"</f>
        <v>行政管理</v>
      </c>
      <c r="I99" s="8" t="str">
        <f t="shared" si="32"/>
        <v>幼儿园教师资格</v>
      </c>
      <c r="J99" s="8" t="str">
        <f>"20184600612000013"</f>
        <v>20184600612000013</v>
      </c>
      <c r="K99" s="9"/>
    </row>
    <row r="100" spans="1:11" s="1" customFormat="1" ht="30" customHeight="1">
      <c r="A100" s="7">
        <v>97</v>
      </c>
      <c r="B100" s="8" t="str">
        <f>"23132020060915085125269"</f>
        <v>23132020060915085125269</v>
      </c>
      <c r="C100" s="8" t="s">
        <v>14</v>
      </c>
      <c r="D100" s="8" t="str">
        <f>"钟小娜"</f>
        <v>钟小娜</v>
      </c>
      <c r="E100" s="8" t="str">
        <f t="shared" si="47"/>
        <v>女</v>
      </c>
      <c r="F100" s="8" t="str">
        <f t="shared" si="49"/>
        <v>本科</v>
      </c>
      <c r="G100" s="8" t="str">
        <f t="shared" si="48"/>
        <v>海南师范大学</v>
      </c>
      <c r="H100" s="8" t="str">
        <f>"汉语言文学"</f>
        <v>汉语言文学</v>
      </c>
      <c r="I100" s="8" t="str">
        <f t="shared" si="32"/>
        <v>幼儿园教师资格</v>
      </c>
      <c r="J100" s="8" t="str">
        <f>"20034600711000012"</f>
        <v>20034600711000012</v>
      </c>
      <c r="K100" s="9"/>
    </row>
    <row r="101" spans="1:11" s="1" customFormat="1" ht="30" customHeight="1">
      <c r="A101" s="7">
        <v>98</v>
      </c>
      <c r="B101" s="8" t="str">
        <f>"23132020060915455425272"</f>
        <v>23132020060915455425272</v>
      </c>
      <c r="C101" s="8" t="s">
        <v>14</v>
      </c>
      <c r="D101" s="8" t="str">
        <f>"王慧媛"</f>
        <v>王慧媛</v>
      </c>
      <c r="E101" s="8" t="str">
        <f t="shared" si="47"/>
        <v>女</v>
      </c>
      <c r="F101" s="8" t="str">
        <f t="shared" si="49"/>
        <v>本科</v>
      </c>
      <c r="G101" s="8" t="str">
        <f>"曲靖师范学院"</f>
        <v>曲靖师范学院</v>
      </c>
      <c r="H101" s="8" t="str">
        <f>"社会体育"</f>
        <v>社会体育</v>
      </c>
      <c r="I101" s="8" t="str">
        <f t="shared" si="32"/>
        <v>幼儿园教师资格</v>
      </c>
      <c r="J101" s="8" t="str">
        <f>"20194601012000469"</f>
        <v>20194601012000469</v>
      </c>
      <c r="K101" s="9"/>
    </row>
    <row r="102" spans="1:11" s="1" customFormat="1" ht="30" customHeight="1">
      <c r="A102" s="7">
        <v>99</v>
      </c>
      <c r="B102" s="8" t="str">
        <f>"23132020060916304425275"</f>
        <v>23132020060916304425275</v>
      </c>
      <c r="C102" s="8" t="s">
        <v>14</v>
      </c>
      <c r="D102" s="8" t="str">
        <f>"王召丽"</f>
        <v>王召丽</v>
      </c>
      <c r="E102" s="8" t="str">
        <f t="shared" si="47"/>
        <v>女</v>
      </c>
      <c r="F102" s="8" t="str">
        <f t="shared" si="50"/>
        <v>大专</v>
      </c>
      <c r="G102" s="8" t="str">
        <f>"山东师范大学"</f>
        <v>山东师范大学</v>
      </c>
      <c r="H102" s="8" t="str">
        <f aca="true" t="shared" si="51" ref="H102:H104">"学前教育"</f>
        <v>学前教育</v>
      </c>
      <c r="I102" s="8" t="str">
        <f t="shared" si="32"/>
        <v>幼儿园教师资格</v>
      </c>
      <c r="J102" s="8" t="str">
        <f>"20034600711000123"</f>
        <v>20034600711000123</v>
      </c>
      <c r="K102" s="9"/>
    </row>
    <row r="103" spans="1:11" s="1" customFormat="1" ht="30" customHeight="1">
      <c r="A103" s="7">
        <v>100</v>
      </c>
      <c r="B103" s="8" t="str">
        <f>"23132020060916483325276"</f>
        <v>23132020060916483325276</v>
      </c>
      <c r="C103" s="8" t="s">
        <v>14</v>
      </c>
      <c r="D103" s="8" t="str">
        <f>"曾海漫"</f>
        <v>曾海漫</v>
      </c>
      <c r="E103" s="8" t="str">
        <f t="shared" si="47"/>
        <v>女</v>
      </c>
      <c r="F103" s="8" t="str">
        <f t="shared" si="50"/>
        <v>大专</v>
      </c>
      <c r="G103" s="8" t="str">
        <f>"琼台师范学院"</f>
        <v>琼台师范学院</v>
      </c>
      <c r="H103" s="8" t="str">
        <f t="shared" si="51"/>
        <v>学前教育</v>
      </c>
      <c r="I103" s="8" t="str">
        <f t="shared" si="32"/>
        <v>幼儿园教师资格</v>
      </c>
      <c r="J103" s="8" t="str">
        <f>"20194601512000116"</f>
        <v>20194601512000116</v>
      </c>
      <c r="K103" s="9"/>
    </row>
    <row r="104" spans="1:11" s="1" customFormat="1" ht="30" customHeight="1">
      <c r="A104" s="7">
        <v>101</v>
      </c>
      <c r="B104" s="8" t="str">
        <f>"23132020060918165825284"</f>
        <v>23132020060918165825284</v>
      </c>
      <c r="C104" s="8" t="s">
        <v>14</v>
      </c>
      <c r="D104" s="8" t="str">
        <f>"杨思"</f>
        <v>杨思</v>
      </c>
      <c r="E104" s="8" t="str">
        <f t="shared" si="47"/>
        <v>女</v>
      </c>
      <c r="F104" s="8" t="str">
        <f t="shared" si="50"/>
        <v>大专</v>
      </c>
      <c r="G104" s="8" t="str">
        <f>"广西幼儿师范高等专科学校"</f>
        <v>广西幼儿师范高等专科学校</v>
      </c>
      <c r="H104" s="8" t="str">
        <f t="shared" si="51"/>
        <v>学前教育</v>
      </c>
      <c r="I104" s="8" t="str">
        <f t="shared" si="32"/>
        <v>幼儿园教师资格</v>
      </c>
      <c r="J104" s="8" t="str">
        <f>"20174601212000123"</f>
        <v>20174601212000123</v>
      </c>
      <c r="K104" s="9"/>
    </row>
    <row r="105" spans="1:11" s="1" customFormat="1" ht="30" customHeight="1">
      <c r="A105" s="7">
        <v>102</v>
      </c>
      <c r="B105" s="8" t="str">
        <f>"23132020060918455425286"</f>
        <v>23132020060918455425286</v>
      </c>
      <c r="C105" s="8" t="s">
        <v>14</v>
      </c>
      <c r="D105" s="8" t="str">
        <f>"陶颐青"</f>
        <v>陶颐青</v>
      </c>
      <c r="E105" s="8" t="str">
        <f t="shared" si="47"/>
        <v>女</v>
      </c>
      <c r="F105" s="8" t="str">
        <f aca="true" t="shared" si="52" ref="F105:F109">"本科"</f>
        <v>本科</v>
      </c>
      <c r="G105" s="8" t="str">
        <f>"信阳师范学院"</f>
        <v>信阳师范学院</v>
      </c>
      <c r="H105" s="8" t="str">
        <f>"美术学"</f>
        <v>美术学</v>
      </c>
      <c r="I105" s="8" t="str">
        <f t="shared" si="32"/>
        <v>幼儿园教师资格</v>
      </c>
      <c r="J105" s="8" t="str">
        <f>"20194113312000648"</f>
        <v>20194113312000648</v>
      </c>
      <c r="K105" s="9"/>
    </row>
    <row r="106" spans="1:11" s="1" customFormat="1" ht="30" customHeight="1">
      <c r="A106" s="7">
        <v>103</v>
      </c>
      <c r="B106" s="8" t="str">
        <f>"23132020060918590125287"</f>
        <v>23132020060918590125287</v>
      </c>
      <c r="C106" s="8" t="s">
        <v>14</v>
      </c>
      <c r="D106" s="8" t="str">
        <f>"颜丽"</f>
        <v>颜丽</v>
      </c>
      <c r="E106" s="8" t="str">
        <f t="shared" si="47"/>
        <v>女</v>
      </c>
      <c r="F106" s="8" t="str">
        <f aca="true" t="shared" si="53" ref="F106:F115">"大专"</f>
        <v>大专</v>
      </c>
      <c r="G106" s="8" t="str">
        <f>"国家开放大学"</f>
        <v>国家开放大学</v>
      </c>
      <c r="H106" s="8" t="str">
        <f aca="true" t="shared" si="54" ref="H106:H109">"学前教育"</f>
        <v>学前教育</v>
      </c>
      <c r="I106" s="8" t="str">
        <f t="shared" si="32"/>
        <v>幼儿园教师资格</v>
      </c>
      <c r="J106" s="8" t="str">
        <f>"20024601511000202"</f>
        <v>20024601511000202</v>
      </c>
      <c r="K106" s="9"/>
    </row>
    <row r="107" spans="1:11" s="1" customFormat="1" ht="30" customHeight="1">
      <c r="A107" s="7">
        <v>104</v>
      </c>
      <c r="B107" s="8" t="str">
        <f>"23132020060919183625289"</f>
        <v>23132020060919183625289</v>
      </c>
      <c r="C107" s="8" t="s">
        <v>14</v>
      </c>
      <c r="D107" s="8" t="str">
        <f>"黄素红"</f>
        <v>黄素红</v>
      </c>
      <c r="E107" s="8" t="str">
        <f t="shared" si="47"/>
        <v>女</v>
      </c>
      <c r="F107" s="8" t="str">
        <f t="shared" si="52"/>
        <v>本科</v>
      </c>
      <c r="G107" s="8" t="str">
        <f>"海南师范学院"</f>
        <v>海南师范学院</v>
      </c>
      <c r="H107" s="8" t="str">
        <f>"英语"</f>
        <v>英语</v>
      </c>
      <c r="I107" s="8" t="str">
        <f t="shared" si="32"/>
        <v>幼儿园教师资格</v>
      </c>
      <c r="J107" s="8" t="str">
        <f>"20134601912000063"</f>
        <v>20134601912000063</v>
      </c>
      <c r="K107" s="9"/>
    </row>
    <row r="108" spans="1:11" s="1" customFormat="1" ht="30" customHeight="1">
      <c r="A108" s="7">
        <v>105</v>
      </c>
      <c r="B108" s="8" t="str">
        <f>"23132020060919273325291"</f>
        <v>23132020060919273325291</v>
      </c>
      <c r="C108" s="8" t="s">
        <v>14</v>
      </c>
      <c r="D108" s="8" t="str">
        <f>"王江梅"</f>
        <v>王江梅</v>
      </c>
      <c r="E108" s="8" t="str">
        <f t="shared" si="47"/>
        <v>女</v>
      </c>
      <c r="F108" s="8" t="str">
        <f t="shared" si="53"/>
        <v>大专</v>
      </c>
      <c r="G108" s="8" t="str">
        <f aca="true" t="shared" si="55" ref="G108:G112">"海南师范大学"</f>
        <v>海南师范大学</v>
      </c>
      <c r="H108" s="8" t="str">
        <f t="shared" si="54"/>
        <v>学前教育</v>
      </c>
      <c r="I108" s="8" t="str">
        <f t="shared" si="32"/>
        <v>幼儿园教师资格</v>
      </c>
      <c r="J108" s="8" t="str">
        <f>"20134600112003698"</f>
        <v>20134600112003698</v>
      </c>
      <c r="K108" s="9"/>
    </row>
    <row r="109" spans="1:11" s="1" customFormat="1" ht="30" customHeight="1">
      <c r="A109" s="7">
        <v>106</v>
      </c>
      <c r="B109" s="8" t="str">
        <f>"23132020060920275925292"</f>
        <v>23132020060920275925292</v>
      </c>
      <c r="C109" s="8" t="s">
        <v>14</v>
      </c>
      <c r="D109" s="8" t="str">
        <f>"谢晓卿"</f>
        <v>谢晓卿</v>
      </c>
      <c r="E109" s="8" t="str">
        <f t="shared" si="47"/>
        <v>女</v>
      </c>
      <c r="F109" s="8" t="str">
        <f t="shared" si="52"/>
        <v>本科</v>
      </c>
      <c r="G109" s="8" t="str">
        <f t="shared" si="55"/>
        <v>海南师范大学</v>
      </c>
      <c r="H109" s="8" t="str">
        <f t="shared" si="54"/>
        <v>学前教育</v>
      </c>
      <c r="I109" s="8" t="str">
        <f t="shared" si="32"/>
        <v>幼儿园教师资格</v>
      </c>
      <c r="J109" s="8" t="str">
        <f>"20114600112006598"</f>
        <v>20114600112006598</v>
      </c>
      <c r="K109" s="9"/>
    </row>
    <row r="110" spans="1:11" s="1" customFormat="1" ht="30" customHeight="1">
      <c r="A110" s="7">
        <v>107</v>
      </c>
      <c r="B110" s="8" t="str">
        <f>"23132020060920313625294"</f>
        <v>23132020060920313625294</v>
      </c>
      <c r="C110" s="8" t="s">
        <v>14</v>
      </c>
      <c r="D110" s="8" t="str">
        <f>"王神代"</f>
        <v>王神代</v>
      </c>
      <c r="E110" s="8" t="str">
        <f t="shared" si="47"/>
        <v>女</v>
      </c>
      <c r="F110" s="8" t="str">
        <f t="shared" si="53"/>
        <v>大专</v>
      </c>
      <c r="G110" s="8" t="str">
        <f t="shared" si="55"/>
        <v>海南师范大学</v>
      </c>
      <c r="H110" s="8" t="str">
        <f>"英语"</f>
        <v>英语</v>
      </c>
      <c r="I110" s="8" t="str">
        <f t="shared" si="32"/>
        <v>幼儿园教师资格</v>
      </c>
      <c r="J110" s="8" t="str">
        <f>"20134601012000140"</f>
        <v>20134601012000140</v>
      </c>
      <c r="K110" s="9"/>
    </row>
    <row r="111" spans="1:11" s="1" customFormat="1" ht="30" customHeight="1">
      <c r="A111" s="7">
        <v>108</v>
      </c>
      <c r="B111" s="8" t="str">
        <f>"23132020060920352025295"</f>
        <v>23132020060920352025295</v>
      </c>
      <c r="C111" s="8" t="s">
        <v>14</v>
      </c>
      <c r="D111" s="8" t="str">
        <f>"王玲"</f>
        <v>王玲</v>
      </c>
      <c r="E111" s="8" t="str">
        <f t="shared" si="47"/>
        <v>女</v>
      </c>
      <c r="F111" s="8" t="str">
        <f t="shared" si="53"/>
        <v>大专</v>
      </c>
      <c r="G111" s="8" t="str">
        <f t="shared" si="55"/>
        <v>海南师范大学</v>
      </c>
      <c r="H111" s="8" t="str">
        <f aca="true" t="shared" si="56" ref="H111:H117">"学前教育"</f>
        <v>学前教育</v>
      </c>
      <c r="I111" s="8" t="str">
        <f t="shared" si="32"/>
        <v>幼儿园教师资格</v>
      </c>
      <c r="J111" s="8" t="str">
        <f>"20024600211000172"</f>
        <v>20024600211000172</v>
      </c>
      <c r="K111" s="9"/>
    </row>
    <row r="112" spans="1:11" s="1" customFormat="1" ht="30" customHeight="1">
      <c r="A112" s="7">
        <v>109</v>
      </c>
      <c r="B112" s="8" t="str">
        <f>"23132020060920450325296"</f>
        <v>23132020060920450325296</v>
      </c>
      <c r="C112" s="8" t="s">
        <v>14</v>
      </c>
      <c r="D112" s="8" t="str">
        <f>"邓飞"</f>
        <v>邓飞</v>
      </c>
      <c r="E112" s="8" t="str">
        <f t="shared" si="47"/>
        <v>女</v>
      </c>
      <c r="F112" s="8" t="str">
        <f t="shared" si="53"/>
        <v>大专</v>
      </c>
      <c r="G112" s="8" t="str">
        <f t="shared" si="55"/>
        <v>海南师范大学</v>
      </c>
      <c r="H112" s="8" t="str">
        <f>"小学教育"</f>
        <v>小学教育</v>
      </c>
      <c r="I112" s="8" t="str">
        <f t="shared" si="32"/>
        <v>幼儿园教师资格</v>
      </c>
      <c r="J112" s="8" t="str">
        <f>"20034600211000199"</f>
        <v>20034600211000199</v>
      </c>
      <c r="K112" s="9"/>
    </row>
    <row r="113" spans="1:11" s="1" customFormat="1" ht="30" customHeight="1">
      <c r="A113" s="7">
        <v>110</v>
      </c>
      <c r="B113" s="8" t="str">
        <f>"23132020060920484225297"</f>
        <v>23132020060920484225297</v>
      </c>
      <c r="C113" s="8" t="s">
        <v>14</v>
      </c>
      <c r="D113" s="8" t="str">
        <f>"肖丽媛"</f>
        <v>肖丽媛</v>
      </c>
      <c r="E113" s="8" t="str">
        <f t="shared" si="47"/>
        <v>女</v>
      </c>
      <c r="F113" s="8" t="str">
        <f t="shared" si="53"/>
        <v>大专</v>
      </c>
      <c r="G113" s="8" t="str">
        <f>"琼台师范学院"</f>
        <v>琼台师范学院</v>
      </c>
      <c r="H113" s="8" t="str">
        <f t="shared" si="56"/>
        <v>学前教育</v>
      </c>
      <c r="I113" s="8" t="str">
        <f t="shared" si="32"/>
        <v>幼儿园教师资格</v>
      </c>
      <c r="J113" s="8" t="str">
        <f>"20164600412000370"</f>
        <v>20164600412000370</v>
      </c>
      <c r="K113" s="9"/>
    </row>
    <row r="114" spans="1:11" s="1" customFormat="1" ht="30" customHeight="1">
      <c r="A114" s="7">
        <v>111</v>
      </c>
      <c r="B114" s="8" t="str">
        <f>"23132020060921264525301"</f>
        <v>23132020060921264525301</v>
      </c>
      <c r="C114" s="8" t="s">
        <v>14</v>
      </c>
      <c r="D114" s="8" t="str">
        <f>"黄海萍"</f>
        <v>黄海萍</v>
      </c>
      <c r="E114" s="8" t="str">
        <f t="shared" si="47"/>
        <v>女</v>
      </c>
      <c r="F114" s="8" t="str">
        <f t="shared" si="53"/>
        <v>大专</v>
      </c>
      <c r="G114" s="8" t="str">
        <f aca="true" t="shared" si="57" ref="G114:G118">"海南师范大学"</f>
        <v>海南师范大学</v>
      </c>
      <c r="H114" s="8" t="str">
        <f t="shared" si="56"/>
        <v>学前教育</v>
      </c>
      <c r="I114" s="8" t="str">
        <f t="shared" si="32"/>
        <v>幼儿园教师资格</v>
      </c>
      <c r="J114" s="8" t="str">
        <f>"20064600111002388"</f>
        <v>20064600111002388</v>
      </c>
      <c r="K114" s="9"/>
    </row>
    <row r="115" spans="1:11" s="1" customFormat="1" ht="30" customHeight="1">
      <c r="A115" s="7">
        <v>112</v>
      </c>
      <c r="B115" s="8" t="str">
        <f>"23132020060921461825304"</f>
        <v>23132020060921461825304</v>
      </c>
      <c r="C115" s="8" t="s">
        <v>14</v>
      </c>
      <c r="D115" s="8" t="str">
        <f>"李洪颖"</f>
        <v>李洪颖</v>
      </c>
      <c r="E115" s="8" t="str">
        <f t="shared" si="47"/>
        <v>女</v>
      </c>
      <c r="F115" s="8" t="str">
        <f t="shared" si="53"/>
        <v>大专</v>
      </c>
      <c r="G115" s="8" t="str">
        <f>"黑龙江省幼儿师范高等专科学校"</f>
        <v>黑龙江省幼儿师范高等专科学校</v>
      </c>
      <c r="H115" s="8" t="str">
        <f t="shared" si="56"/>
        <v>学前教育</v>
      </c>
      <c r="I115" s="8" t="str">
        <f t="shared" si="32"/>
        <v>幼儿园教师资格</v>
      </c>
      <c r="J115" s="8" t="str">
        <f>"20122333012000709"</f>
        <v>20122333012000709</v>
      </c>
      <c r="K115" s="9"/>
    </row>
    <row r="116" spans="1:11" s="1" customFormat="1" ht="30" customHeight="1">
      <c r="A116" s="7">
        <v>113</v>
      </c>
      <c r="B116" s="8" t="str">
        <f>"23132020060921593125305"</f>
        <v>23132020060921593125305</v>
      </c>
      <c r="C116" s="8" t="s">
        <v>14</v>
      </c>
      <c r="D116" s="8" t="str">
        <f>"吴飞"</f>
        <v>吴飞</v>
      </c>
      <c r="E116" s="8" t="str">
        <f t="shared" si="47"/>
        <v>女</v>
      </c>
      <c r="F116" s="8" t="str">
        <f>"本科"</f>
        <v>本科</v>
      </c>
      <c r="G116" s="8" t="str">
        <f t="shared" si="57"/>
        <v>海南师范大学</v>
      </c>
      <c r="H116" s="8" t="str">
        <f t="shared" si="56"/>
        <v>学前教育</v>
      </c>
      <c r="I116" s="8" t="str">
        <f t="shared" si="32"/>
        <v>幼儿园教师资格</v>
      </c>
      <c r="J116" s="8" t="str">
        <f>"20114601512000044"</f>
        <v>20114601512000044</v>
      </c>
      <c r="K116" s="9"/>
    </row>
    <row r="117" spans="1:11" s="1" customFormat="1" ht="30" customHeight="1">
      <c r="A117" s="7">
        <v>114</v>
      </c>
      <c r="B117" s="8" t="str">
        <f>"23132020060922055825306"</f>
        <v>23132020060922055825306</v>
      </c>
      <c r="C117" s="8" t="s">
        <v>14</v>
      </c>
      <c r="D117" s="8" t="str">
        <f>"苻梦瑶"</f>
        <v>苻梦瑶</v>
      </c>
      <c r="E117" s="8" t="str">
        <f t="shared" si="47"/>
        <v>女</v>
      </c>
      <c r="F117" s="8" t="str">
        <f aca="true" t="shared" si="58" ref="F117:F127">"大专"</f>
        <v>大专</v>
      </c>
      <c r="G117" s="8" t="str">
        <f>"湖南师范大学"</f>
        <v>湖南师范大学</v>
      </c>
      <c r="H117" s="8" t="str">
        <f t="shared" si="56"/>
        <v>学前教育</v>
      </c>
      <c r="I117" s="8" t="str">
        <f t="shared" si="32"/>
        <v>幼儿园教师资格</v>
      </c>
      <c r="J117" s="8" t="str">
        <f>"20194600412001249"</f>
        <v>20194600412001249</v>
      </c>
      <c r="K117" s="9"/>
    </row>
    <row r="118" spans="1:11" s="1" customFormat="1" ht="30" customHeight="1">
      <c r="A118" s="7">
        <v>115</v>
      </c>
      <c r="B118" s="8" t="str">
        <f>"23132020060922124225308"</f>
        <v>23132020060922124225308</v>
      </c>
      <c r="C118" s="8" t="s">
        <v>14</v>
      </c>
      <c r="D118" s="8" t="str">
        <f>"李芙蓉"</f>
        <v>李芙蓉</v>
      </c>
      <c r="E118" s="8" t="str">
        <f t="shared" si="47"/>
        <v>女</v>
      </c>
      <c r="F118" s="8" t="str">
        <f>"本科"</f>
        <v>本科</v>
      </c>
      <c r="G118" s="8" t="str">
        <f t="shared" si="57"/>
        <v>海南师范大学</v>
      </c>
      <c r="H118" s="8" t="str">
        <f>"小学教育"</f>
        <v>小学教育</v>
      </c>
      <c r="I118" s="8" t="str">
        <f t="shared" si="32"/>
        <v>幼儿园教师资格</v>
      </c>
      <c r="J118" s="8" t="str">
        <f>"20134600712000061"</f>
        <v>20134600712000061</v>
      </c>
      <c r="K118" s="9"/>
    </row>
    <row r="119" spans="1:11" s="1" customFormat="1" ht="30" customHeight="1">
      <c r="A119" s="7">
        <v>116</v>
      </c>
      <c r="B119" s="8" t="str">
        <f>"23132020060922154625309"</f>
        <v>23132020060922154625309</v>
      </c>
      <c r="C119" s="8" t="s">
        <v>14</v>
      </c>
      <c r="D119" s="8" t="str">
        <f>"符丽菊"</f>
        <v>符丽菊</v>
      </c>
      <c r="E119" s="8" t="str">
        <f t="shared" si="47"/>
        <v>女</v>
      </c>
      <c r="F119" s="8" t="str">
        <f t="shared" si="58"/>
        <v>大专</v>
      </c>
      <c r="G119" s="8" t="str">
        <f>"琼台师范高等专科学校"</f>
        <v>琼台师范高等专科学校</v>
      </c>
      <c r="H119" s="8" t="str">
        <f>"语文教育"</f>
        <v>语文教育</v>
      </c>
      <c r="I119" s="8" t="str">
        <f t="shared" si="32"/>
        <v>幼儿园教师资格</v>
      </c>
      <c r="J119" s="8" t="str">
        <f>"20134600412000033"</f>
        <v>20134600412000033</v>
      </c>
      <c r="K119" s="9"/>
    </row>
    <row r="120" spans="1:11" s="1" customFormat="1" ht="30" customHeight="1">
      <c r="A120" s="7">
        <v>117</v>
      </c>
      <c r="B120" s="8" t="str">
        <f>"23132020060922221725311"</f>
        <v>23132020060922221725311</v>
      </c>
      <c r="C120" s="8" t="s">
        <v>14</v>
      </c>
      <c r="D120" s="8" t="str">
        <f>"曾丽娜"</f>
        <v>曾丽娜</v>
      </c>
      <c r="E120" s="8" t="str">
        <f t="shared" si="47"/>
        <v>女</v>
      </c>
      <c r="F120" s="8" t="str">
        <f t="shared" si="58"/>
        <v>大专</v>
      </c>
      <c r="G120" s="8" t="str">
        <f>"国家开放大学"</f>
        <v>国家开放大学</v>
      </c>
      <c r="H120" s="8" t="str">
        <f aca="true" t="shared" si="59" ref="H120:H123">"学前教育"</f>
        <v>学前教育</v>
      </c>
      <c r="I120" s="8" t="str">
        <f t="shared" si="32"/>
        <v>幼儿园教师资格</v>
      </c>
      <c r="J120" s="8" t="str">
        <f>"20114600412000027"</f>
        <v>20114600412000027</v>
      </c>
      <c r="K120" s="9"/>
    </row>
    <row r="121" spans="1:11" s="1" customFormat="1" ht="30" customHeight="1">
      <c r="A121" s="7">
        <v>118</v>
      </c>
      <c r="B121" s="8" t="str">
        <f>"23132020060922260625312"</f>
        <v>23132020060922260625312</v>
      </c>
      <c r="C121" s="8" t="s">
        <v>14</v>
      </c>
      <c r="D121" s="8" t="str">
        <f>"梁芳萍"</f>
        <v>梁芳萍</v>
      </c>
      <c r="E121" s="8" t="str">
        <f t="shared" si="47"/>
        <v>女</v>
      </c>
      <c r="F121" s="8" t="str">
        <f t="shared" si="58"/>
        <v>大专</v>
      </c>
      <c r="G121" s="8" t="str">
        <f>"海南师范大学"</f>
        <v>海南师范大学</v>
      </c>
      <c r="H121" s="8" t="str">
        <f>"初等教育"</f>
        <v>初等教育</v>
      </c>
      <c r="I121" s="8" t="str">
        <f t="shared" si="32"/>
        <v>幼儿园教师资格</v>
      </c>
      <c r="J121" s="8" t="str">
        <f>"20154600712000456"</f>
        <v>20154600712000456</v>
      </c>
      <c r="K121" s="9"/>
    </row>
    <row r="122" spans="1:11" s="1" customFormat="1" ht="30" customHeight="1">
      <c r="A122" s="7">
        <v>119</v>
      </c>
      <c r="B122" s="8" t="str">
        <f>"23132020060922594325313"</f>
        <v>23132020060922594325313</v>
      </c>
      <c r="C122" s="8" t="s">
        <v>14</v>
      </c>
      <c r="D122" s="8" t="str">
        <f>"吴丽新"</f>
        <v>吴丽新</v>
      </c>
      <c r="E122" s="8" t="str">
        <f t="shared" si="47"/>
        <v>女</v>
      </c>
      <c r="F122" s="8" t="str">
        <f t="shared" si="58"/>
        <v>大专</v>
      </c>
      <c r="G122" s="8" t="str">
        <f>"琼台师范学院"</f>
        <v>琼台师范学院</v>
      </c>
      <c r="H122" s="8" t="str">
        <f t="shared" si="59"/>
        <v>学前教育</v>
      </c>
      <c r="I122" s="8" t="str">
        <f t="shared" si="32"/>
        <v>幼儿园教师资格</v>
      </c>
      <c r="J122" s="8" t="str">
        <f>"20164600412000163"</f>
        <v>20164600412000163</v>
      </c>
      <c r="K122" s="9"/>
    </row>
    <row r="123" spans="1:11" s="1" customFormat="1" ht="30" customHeight="1">
      <c r="A123" s="7">
        <v>120</v>
      </c>
      <c r="B123" s="8" t="str">
        <f>"23132020061008481825320"</f>
        <v>23132020061008481825320</v>
      </c>
      <c r="C123" s="8" t="s">
        <v>14</v>
      </c>
      <c r="D123" s="8" t="str">
        <f>"王若柳"</f>
        <v>王若柳</v>
      </c>
      <c r="E123" s="8" t="str">
        <f t="shared" si="47"/>
        <v>女</v>
      </c>
      <c r="F123" s="8" t="str">
        <f t="shared" si="58"/>
        <v>大专</v>
      </c>
      <c r="G123" s="8" t="str">
        <f>"海南师范大学"</f>
        <v>海南师范大学</v>
      </c>
      <c r="H123" s="8" t="str">
        <f t="shared" si="59"/>
        <v>学前教育</v>
      </c>
      <c r="I123" s="8" t="str">
        <f t="shared" si="32"/>
        <v>幼儿园教师资格</v>
      </c>
      <c r="J123" s="8" t="str">
        <f>"20144600412001726"</f>
        <v>20144600412001726</v>
      </c>
      <c r="K123" s="9"/>
    </row>
    <row r="124" spans="1:11" s="1" customFormat="1" ht="30" customHeight="1">
      <c r="A124" s="7">
        <v>121</v>
      </c>
      <c r="B124" s="8" t="str">
        <f>"23132020061009461125324"</f>
        <v>23132020061009461125324</v>
      </c>
      <c r="C124" s="8" t="s">
        <v>14</v>
      </c>
      <c r="D124" s="8" t="str">
        <f>"卢子君"</f>
        <v>卢子君</v>
      </c>
      <c r="E124" s="8" t="str">
        <f t="shared" si="47"/>
        <v>女</v>
      </c>
      <c r="F124" s="8" t="str">
        <f t="shared" si="58"/>
        <v>大专</v>
      </c>
      <c r="G124" s="8" t="str">
        <f>"琼台师范高等专科学校"</f>
        <v>琼台师范高等专科学校</v>
      </c>
      <c r="H124" s="8" t="str">
        <f>"语文教育"</f>
        <v>语文教育</v>
      </c>
      <c r="I124" s="8" t="str">
        <f t="shared" si="32"/>
        <v>幼儿园教师资格</v>
      </c>
      <c r="J124" s="8" t="str">
        <f>"20114601212000062"</f>
        <v>20114601212000062</v>
      </c>
      <c r="K124" s="9"/>
    </row>
    <row r="125" spans="1:11" s="1" customFormat="1" ht="30" customHeight="1">
      <c r="A125" s="7">
        <v>122</v>
      </c>
      <c r="B125" s="8" t="str">
        <f>"23132020061010512325328"</f>
        <v>23132020061010512325328</v>
      </c>
      <c r="C125" s="8" t="s">
        <v>14</v>
      </c>
      <c r="D125" s="8" t="str">
        <f>"谢芳"</f>
        <v>谢芳</v>
      </c>
      <c r="E125" s="8" t="str">
        <f t="shared" si="47"/>
        <v>女</v>
      </c>
      <c r="F125" s="8" t="str">
        <f t="shared" si="58"/>
        <v>大专</v>
      </c>
      <c r="G125" s="8" t="str">
        <f>"天津商学院"</f>
        <v>天津商学院</v>
      </c>
      <c r="H125" s="8" t="str">
        <f>"管理信息系统"</f>
        <v>管理信息系统</v>
      </c>
      <c r="I125" s="8" t="str">
        <f t="shared" si="32"/>
        <v>幼儿园教师资格</v>
      </c>
      <c r="J125" s="8" t="str">
        <f>"20164405512035998"</f>
        <v>20164405512035998</v>
      </c>
      <c r="K125" s="9"/>
    </row>
    <row r="126" spans="1:11" s="1" customFormat="1" ht="30" customHeight="1">
      <c r="A126" s="7">
        <v>123</v>
      </c>
      <c r="B126" s="8" t="str">
        <f>"23132020061011392325330"</f>
        <v>23132020061011392325330</v>
      </c>
      <c r="C126" s="8" t="s">
        <v>14</v>
      </c>
      <c r="D126" s="8" t="str">
        <f>"唐芊"</f>
        <v>唐芊</v>
      </c>
      <c r="E126" s="8" t="str">
        <f t="shared" si="47"/>
        <v>女</v>
      </c>
      <c r="F126" s="8" t="str">
        <f t="shared" si="58"/>
        <v>大专</v>
      </c>
      <c r="G126" s="8" t="str">
        <f>"海南热带海洋学院"</f>
        <v>海南热带海洋学院</v>
      </c>
      <c r="H126" s="8" t="str">
        <f aca="true" t="shared" si="60" ref="H126:H136">"学前教育"</f>
        <v>学前教育</v>
      </c>
      <c r="I126" s="8" t="str">
        <f t="shared" si="32"/>
        <v>幼儿园教师资格</v>
      </c>
      <c r="J126" s="8" t="str">
        <f>"20184600412001437"</f>
        <v>20184600412001437</v>
      </c>
      <c r="K126" s="9"/>
    </row>
    <row r="127" spans="1:11" s="1" customFormat="1" ht="30" customHeight="1">
      <c r="A127" s="7">
        <v>124</v>
      </c>
      <c r="B127" s="8" t="str">
        <f>"23132020061011594825331"</f>
        <v>23132020061011594825331</v>
      </c>
      <c r="C127" s="8" t="s">
        <v>14</v>
      </c>
      <c r="D127" s="8" t="str">
        <f>"蔡少香"</f>
        <v>蔡少香</v>
      </c>
      <c r="E127" s="8" t="str">
        <f t="shared" si="47"/>
        <v>女</v>
      </c>
      <c r="F127" s="8" t="str">
        <f t="shared" si="58"/>
        <v>大专</v>
      </c>
      <c r="G127" s="8" t="str">
        <f>"海南省师范大学"</f>
        <v>海南省师范大学</v>
      </c>
      <c r="H127" s="8" t="str">
        <f>"汉语文学"</f>
        <v>汉语文学</v>
      </c>
      <c r="I127" s="8" t="str">
        <f t="shared" si="32"/>
        <v>幼儿园教师资格</v>
      </c>
      <c r="J127" s="8" t="str">
        <f>"20114601012000117"</f>
        <v>20114601012000117</v>
      </c>
      <c r="K127" s="9"/>
    </row>
    <row r="128" spans="1:11" s="1" customFormat="1" ht="30" customHeight="1">
      <c r="A128" s="7">
        <v>125</v>
      </c>
      <c r="B128" s="8" t="str">
        <f>"23132020061012291025332"</f>
        <v>23132020061012291025332</v>
      </c>
      <c r="C128" s="8" t="s">
        <v>14</v>
      </c>
      <c r="D128" s="8" t="str">
        <f>"张舰匀"</f>
        <v>张舰匀</v>
      </c>
      <c r="E128" s="8" t="str">
        <f t="shared" si="47"/>
        <v>女</v>
      </c>
      <c r="F128" s="8" t="str">
        <f aca="true" t="shared" si="61" ref="F128:F133">"本科"</f>
        <v>本科</v>
      </c>
      <c r="G128" s="8" t="str">
        <f aca="true" t="shared" si="62" ref="G128:G134">"海南师范大学"</f>
        <v>海南师范大学</v>
      </c>
      <c r="H128" s="8" t="str">
        <f t="shared" si="60"/>
        <v>学前教育</v>
      </c>
      <c r="I128" s="8" t="str">
        <f t="shared" si="32"/>
        <v>幼儿园教师资格</v>
      </c>
      <c r="J128" s="8" t="str">
        <f>"20104600112002891"</f>
        <v>20104600112002891</v>
      </c>
      <c r="K128" s="9"/>
    </row>
    <row r="129" spans="1:11" s="1" customFormat="1" ht="30" customHeight="1">
      <c r="A129" s="7">
        <v>126</v>
      </c>
      <c r="B129" s="8" t="str">
        <f>"23132020061012360925333"</f>
        <v>23132020061012360925333</v>
      </c>
      <c r="C129" s="8" t="s">
        <v>14</v>
      </c>
      <c r="D129" s="8" t="str">
        <f>"陈月娥"</f>
        <v>陈月娥</v>
      </c>
      <c r="E129" s="8" t="str">
        <f t="shared" si="47"/>
        <v>女</v>
      </c>
      <c r="F129" s="8" t="str">
        <f aca="true" t="shared" si="63" ref="F129:F131">"大专"</f>
        <v>大专</v>
      </c>
      <c r="G129" s="8" t="str">
        <f t="shared" si="62"/>
        <v>海南师范大学</v>
      </c>
      <c r="H129" s="8" t="str">
        <f>"语文教育"</f>
        <v>语文教育</v>
      </c>
      <c r="I129" s="8" t="str">
        <f t="shared" si="32"/>
        <v>幼儿园教师资格</v>
      </c>
      <c r="J129" s="8" t="str">
        <f>"20094600512000025"</f>
        <v>20094600512000025</v>
      </c>
      <c r="K129" s="9"/>
    </row>
    <row r="130" spans="1:11" s="1" customFormat="1" ht="30" customHeight="1">
      <c r="A130" s="7">
        <v>127</v>
      </c>
      <c r="B130" s="8" t="str">
        <f>"23132020061012515925335"</f>
        <v>23132020061012515925335</v>
      </c>
      <c r="C130" s="8" t="s">
        <v>14</v>
      </c>
      <c r="D130" s="8" t="str">
        <f>"文霞"</f>
        <v>文霞</v>
      </c>
      <c r="E130" s="8" t="str">
        <f t="shared" si="47"/>
        <v>女</v>
      </c>
      <c r="F130" s="8" t="str">
        <f t="shared" si="63"/>
        <v>大专</v>
      </c>
      <c r="G130" s="8" t="str">
        <f>"华南师范大学"</f>
        <v>华南师范大学</v>
      </c>
      <c r="H130" s="8" t="str">
        <f t="shared" si="60"/>
        <v>学前教育</v>
      </c>
      <c r="I130" s="8" t="str">
        <f t="shared" si="32"/>
        <v>幼儿园教师资格</v>
      </c>
      <c r="J130" s="8" t="str">
        <f>"20084409620089876"</f>
        <v>20084409620089876</v>
      </c>
      <c r="K130" s="9"/>
    </row>
    <row r="131" spans="1:11" s="1" customFormat="1" ht="30" customHeight="1">
      <c r="A131" s="7">
        <v>128</v>
      </c>
      <c r="B131" s="8" t="str">
        <f>"23132020061012525825336"</f>
        <v>23132020061012525825336</v>
      </c>
      <c r="C131" s="8" t="s">
        <v>14</v>
      </c>
      <c r="D131" s="8" t="str">
        <f>"潘虹宇"</f>
        <v>潘虹宇</v>
      </c>
      <c r="E131" s="8" t="str">
        <f t="shared" si="47"/>
        <v>女</v>
      </c>
      <c r="F131" s="8" t="str">
        <f t="shared" si="63"/>
        <v>大专</v>
      </c>
      <c r="G131" s="8" t="str">
        <f>"江西省井冈山大学"</f>
        <v>江西省井冈山大学</v>
      </c>
      <c r="H131" s="8" t="str">
        <f t="shared" si="60"/>
        <v>学前教育</v>
      </c>
      <c r="I131" s="8" t="str">
        <f t="shared" si="32"/>
        <v>幼儿园教师资格</v>
      </c>
      <c r="J131" s="8" t="str">
        <f>"20113671512000319"</f>
        <v>20113671512000319</v>
      </c>
      <c r="K131" s="9"/>
    </row>
    <row r="132" spans="1:11" s="1" customFormat="1" ht="30" customHeight="1">
      <c r="A132" s="7">
        <v>129</v>
      </c>
      <c r="B132" s="8" t="str">
        <f>"23132020061014222125340"</f>
        <v>23132020061014222125340</v>
      </c>
      <c r="C132" s="8" t="s">
        <v>14</v>
      </c>
      <c r="D132" s="8" t="str">
        <f>"陈恩"</f>
        <v>陈恩</v>
      </c>
      <c r="E132" s="8" t="str">
        <f t="shared" si="47"/>
        <v>女</v>
      </c>
      <c r="F132" s="8" t="str">
        <f t="shared" si="61"/>
        <v>本科</v>
      </c>
      <c r="G132" s="8" t="str">
        <f>"吉林师范大学博达学院"</f>
        <v>吉林师范大学博达学院</v>
      </c>
      <c r="H132" s="8" t="str">
        <f t="shared" si="60"/>
        <v>学前教育</v>
      </c>
      <c r="I132" s="8" t="str">
        <f aca="true" t="shared" si="64" ref="I132:I195">"幼儿园教师资格"</f>
        <v>幼儿园教师资格</v>
      </c>
      <c r="J132" s="8" t="str">
        <f>"20162230112000217"</f>
        <v>20162230112000217</v>
      </c>
      <c r="K132" s="9"/>
    </row>
    <row r="133" spans="1:11" s="1" customFormat="1" ht="30" customHeight="1">
      <c r="A133" s="7">
        <v>130</v>
      </c>
      <c r="B133" s="8" t="str">
        <f>"23132020061015582825342"</f>
        <v>23132020061015582825342</v>
      </c>
      <c r="C133" s="8" t="s">
        <v>14</v>
      </c>
      <c r="D133" s="8" t="str">
        <f>"邓燕妮"</f>
        <v>邓燕妮</v>
      </c>
      <c r="E133" s="8" t="str">
        <f t="shared" si="47"/>
        <v>女</v>
      </c>
      <c r="F133" s="8" t="str">
        <f t="shared" si="61"/>
        <v>本科</v>
      </c>
      <c r="G133" s="8" t="str">
        <f t="shared" si="62"/>
        <v>海南师范大学</v>
      </c>
      <c r="H133" s="8" t="str">
        <f t="shared" si="60"/>
        <v>学前教育</v>
      </c>
      <c r="I133" s="8" t="str">
        <f t="shared" si="64"/>
        <v>幼儿园教师资格</v>
      </c>
      <c r="J133" s="8" t="str">
        <f>"20104600112001856"</f>
        <v>20104600112001856</v>
      </c>
      <c r="K133" s="9"/>
    </row>
    <row r="134" spans="1:11" s="1" customFormat="1" ht="30" customHeight="1">
      <c r="A134" s="7">
        <v>131</v>
      </c>
      <c r="B134" s="8" t="str">
        <f>"23132020061017242225345"</f>
        <v>23132020061017242225345</v>
      </c>
      <c r="C134" s="8" t="s">
        <v>14</v>
      </c>
      <c r="D134" s="8" t="str">
        <f>"陈淑贞"</f>
        <v>陈淑贞</v>
      </c>
      <c r="E134" s="8" t="str">
        <f t="shared" si="47"/>
        <v>女</v>
      </c>
      <c r="F134" s="8" t="str">
        <f aca="true" t="shared" si="65" ref="F134:F138">"大专"</f>
        <v>大专</v>
      </c>
      <c r="G134" s="8" t="str">
        <f t="shared" si="62"/>
        <v>海南师范大学</v>
      </c>
      <c r="H134" s="8" t="str">
        <f t="shared" si="60"/>
        <v>学前教育</v>
      </c>
      <c r="I134" s="8" t="str">
        <f t="shared" si="64"/>
        <v>幼儿园教师资格</v>
      </c>
      <c r="J134" s="8" t="str">
        <f>"20194600612000142"</f>
        <v>20194600612000142</v>
      </c>
      <c r="K134" s="9"/>
    </row>
    <row r="135" spans="1:11" s="1" customFormat="1" ht="30" customHeight="1">
      <c r="A135" s="7">
        <v>132</v>
      </c>
      <c r="B135" s="8" t="str">
        <f>"23132020061021335725358"</f>
        <v>23132020061021335725358</v>
      </c>
      <c r="C135" s="8" t="s">
        <v>14</v>
      </c>
      <c r="D135" s="8" t="str">
        <f>"邢贞娇"</f>
        <v>邢贞娇</v>
      </c>
      <c r="E135" s="8" t="str">
        <f t="shared" si="47"/>
        <v>女</v>
      </c>
      <c r="F135" s="8" t="str">
        <f t="shared" si="65"/>
        <v>大专</v>
      </c>
      <c r="G135" s="8" t="str">
        <f>"江西师范大学"</f>
        <v>江西师范大学</v>
      </c>
      <c r="H135" s="8" t="str">
        <f t="shared" si="60"/>
        <v>学前教育</v>
      </c>
      <c r="I135" s="8" t="str">
        <f t="shared" si="64"/>
        <v>幼儿园教师资格</v>
      </c>
      <c r="J135" s="8" t="str">
        <f>"2014421081200602"</f>
        <v>2014421081200602</v>
      </c>
      <c r="K135" s="9"/>
    </row>
    <row r="136" spans="1:11" s="1" customFormat="1" ht="30" customHeight="1">
      <c r="A136" s="7">
        <v>133</v>
      </c>
      <c r="B136" s="8" t="str">
        <f>"23132020061022001325359"</f>
        <v>23132020061022001325359</v>
      </c>
      <c r="C136" s="8" t="s">
        <v>14</v>
      </c>
      <c r="D136" s="8" t="str">
        <f>"田卓"</f>
        <v>田卓</v>
      </c>
      <c r="E136" s="8" t="str">
        <f t="shared" si="47"/>
        <v>女</v>
      </c>
      <c r="F136" s="8" t="str">
        <f aca="true" t="shared" si="66" ref="F136:F140">"本科"</f>
        <v>本科</v>
      </c>
      <c r="G136" s="8" t="str">
        <f aca="true" t="shared" si="67" ref="G136:G139">"海南师范大学"</f>
        <v>海南师范大学</v>
      </c>
      <c r="H136" s="8" t="str">
        <f t="shared" si="60"/>
        <v>学前教育</v>
      </c>
      <c r="I136" s="8" t="str">
        <f t="shared" si="64"/>
        <v>幼儿园教师资格</v>
      </c>
      <c r="J136" s="8" t="str">
        <f>"20014600211001045"</f>
        <v>20014600211001045</v>
      </c>
      <c r="K136" s="9"/>
    </row>
    <row r="137" spans="1:11" s="1" customFormat="1" ht="30" customHeight="1">
      <c r="A137" s="7">
        <v>134</v>
      </c>
      <c r="B137" s="8" t="str">
        <f>"23132020061022175925362"</f>
        <v>23132020061022175925362</v>
      </c>
      <c r="C137" s="8" t="s">
        <v>14</v>
      </c>
      <c r="D137" s="8" t="str">
        <f>"曾云"</f>
        <v>曾云</v>
      </c>
      <c r="E137" s="8" t="str">
        <f t="shared" si="47"/>
        <v>女</v>
      </c>
      <c r="F137" s="8" t="str">
        <f t="shared" si="65"/>
        <v>大专</v>
      </c>
      <c r="G137" s="8" t="str">
        <f>"琼州大学"</f>
        <v>琼州大学</v>
      </c>
      <c r="H137" s="8" t="str">
        <f>"应用电子技术"</f>
        <v>应用电子技术</v>
      </c>
      <c r="I137" s="8" t="str">
        <f t="shared" si="64"/>
        <v>幼儿园教师资格</v>
      </c>
      <c r="J137" s="8" t="str">
        <f>"20124601512000005"</f>
        <v>20124601512000005</v>
      </c>
      <c r="K137" s="9"/>
    </row>
    <row r="138" spans="1:11" s="1" customFormat="1" ht="30" customHeight="1">
      <c r="A138" s="7">
        <v>135</v>
      </c>
      <c r="B138" s="8" t="str">
        <f>"23132020061022193425364"</f>
        <v>23132020061022193425364</v>
      </c>
      <c r="C138" s="8" t="s">
        <v>14</v>
      </c>
      <c r="D138" s="8" t="str">
        <f>"云君"</f>
        <v>云君</v>
      </c>
      <c r="E138" s="8" t="str">
        <f t="shared" si="47"/>
        <v>女</v>
      </c>
      <c r="F138" s="8" t="str">
        <f t="shared" si="65"/>
        <v>大专</v>
      </c>
      <c r="G138" s="8" t="str">
        <f t="shared" si="67"/>
        <v>海南师范大学</v>
      </c>
      <c r="H138" s="8" t="str">
        <f aca="true" t="shared" si="68" ref="H138:H143">"教育管理"</f>
        <v>教育管理</v>
      </c>
      <c r="I138" s="8" t="str">
        <f t="shared" si="64"/>
        <v>幼儿园教师资格</v>
      </c>
      <c r="J138" s="8" t="str">
        <f>"20014600611000359"</f>
        <v>20014600611000359</v>
      </c>
      <c r="K138" s="9"/>
    </row>
    <row r="139" spans="1:11" s="1" customFormat="1" ht="30" customHeight="1">
      <c r="A139" s="7">
        <v>136</v>
      </c>
      <c r="B139" s="8" t="str">
        <f>"23132020061107252025369"</f>
        <v>23132020061107252025369</v>
      </c>
      <c r="C139" s="8" t="s">
        <v>14</v>
      </c>
      <c r="D139" s="8" t="str">
        <f>"王碧瑞"</f>
        <v>王碧瑞</v>
      </c>
      <c r="E139" s="8" t="str">
        <f t="shared" si="47"/>
        <v>女</v>
      </c>
      <c r="F139" s="8" t="str">
        <f t="shared" si="66"/>
        <v>本科</v>
      </c>
      <c r="G139" s="8" t="str">
        <f t="shared" si="67"/>
        <v>海南师范大学</v>
      </c>
      <c r="H139" s="8" t="str">
        <f>"英语教育"</f>
        <v>英语教育</v>
      </c>
      <c r="I139" s="8" t="str">
        <f t="shared" si="64"/>
        <v>幼儿园教师资格</v>
      </c>
      <c r="J139" s="8" t="str">
        <f>"20134600712000100"</f>
        <v>20134600712000100</v>
      </c>
      <c r="K139" s="9"/>
    </row>
    <row r="140" spans="1:11" s="1" customFormat="1" ht="30" customHeight="1">
      <c r="A140" s="7">
        <v>137</v>
      </c>
      <c r="B140" s="8" t="str">
        <f>"23132020061110441125371"</f>
        <v>23132020061110441125371</v>
      </c>
      <c r="C140" s="8" t="s">
        <v>14</v>
      </c>
      <c r="D140" s="8" t="str">
        <f>"王发姣"</f>
        <v>王发姣</v>
      </c>
      <c r="E140" s="8" t="str">
        <f t="shared" si="47"/>
        <v>女</v>
      </c>
      <c r="F140" s="8" t="str">
        <f t="shared" si="66"/>
        <v>本科</v>
      </c>
      <c r="G140" s="8" t="str">
        <f>"北京师范大学"</f>
        <v>北京师范大学</v>
      </c>
      <c r="H140" s="8" t="str">
        <f t="shared" si="68"/>
        <v>教育管理</v>
      </c>
      <c r="I140" s="8" t="str">
        <f t="shared" si="64"/>
        <v>幼儿园教师资格</v>
      </c>
      <c r="J140" s="8" t="str">
        <f>"20024601511000655"</f>
        <v>20024601511000655</v>
      </c>
      <c r="K140" s="9"/>
    </row>
    <row r="141" spans="1:11" s="1" customFormat="1" ht="30" customHeight="1">
      <c r="A141" s="7">
        <v>138</v>
      </c>
      <c r="B141" s="8" t="str">
        <f>"23132020061119511225380"</f>
        <v>23132020061119511225380</v>
      </c>
      <c r="C141" s="8" t="s">
        <v>14</v>
      </c>
      <c r="D141" s="8" t="str">
        <f>"吴雅"</f>
        <v>吴雅</v>
      </c>
      <c r="E141" s="8" t="str">
        <f t="shared" si="47"/>
        <v>女</v>
      </c>
      <c r="F141" s="8" t="str">
        <f aca="true" t="shared" si="69" ref="F141:F145">"大专"</f>
        <v>大专</v>
      </c>
      <c r="G141" s="8" t="str">
        <f aca="true" t="shared" si="70" ref="G141:G146">"海南师范大学"</f>
        <v>海南师范大学</v>
      </c>
      <c r="H141" s="8" t="str">
        <f>"小学教育"</f>
        <v>小学教育</v>
      </c>
      <c r="I141" s="8" t="str">
        <f t="shared" si="64"/>
        <v>幼儿园教师资格</v>
      </c>
      <c r="J141" s="8" t="str">
        <f>"20174600712000693"</f>
        <v>20174600712000693</v>
      </c>
      <c r="K141" s="9"/>
    </row>
    <row r="142" spans="1:11" s="1" customFormat="1" ht="30" customHeight="1">
      <c r="A142" s="7">
        <v>139</v>
      </c>
      <c r="B142" s="8" t="str">
        <f>"23132020061209175325390"</f>
        <v>23132020061209175325390</v>
      </c>
      <c r="C142" s="8" t="s">
        <v>14</v>
      </c>
      <c r="D142" s="8" t="str">
        <f>"黄彩萍"</f>
        <v>黄彩萍</v>
      </c>
      <c r="E142" s="8" t="str">
        <f t="shared" si="47"/>
        <v>女</v>
      </c>
      <c r="F142" s="8" t="str">
        <f t="shared" si="69"/>
        <v>大专</v>
      </c>
      <c r="G142" s="8" t="str">
        <f>"华南师范大学"</f>
        <v>华南师范大学</v>
      </c>
      <c r="H142" s="8" t="str">
        <f aca="true" t="shared" si="71" ref="H142:H147">"学前教育"</f>
        <v>学前教育</v>
      </c>
      <c r="I142" s="8" t="str">
        <f t="shared" si="64"/>
        <v>幼儿园教师资格</v>
      </c>
      <c r="J142" s="8" t="str">
        <f>"20134600712000105"</f>
        <v>20134600712000105</v>
      </c>
      <c r="K142" s="9"/>
    </row>
    <row r="143" spans="1:11" s="1" customFormat="1" ht="30" customHeight="1">
      <c r="A143" s="7">
        <v>140</v>
      </c>
      <c r="B143" s="8" t="str">
        <f>"23132020061211070525393"</f>
        <v>23132020061211070525393</v>
      </c>
      <c r="C143" s="8" t="s">
        <v>14</v>
      </c>
      <c r="D143" s="8" t="str">
        <f>"麦珍梅"</f>
        <v>麦珍梅</v>
      </c>
      <c r="E143" s="8" t="str">
        <f t="shared" si="47"/>
        <v>女</v>
      </c>
      <c r="F143" s="8" t="str">
        <f t="shared" si="69"/>
        <v>大专</v>
      </c>
      <c r="G143" s="8" t="str">
        <f>"江西师范大学"</f>
        <v>江西师范大学</v>
      </c>
      <c r="H143" s="8" t="str">
        <f t="shared" si="68"/>
        <v>教育管理</v>
      </c>
      <c r="I143" s="8" t="str">
        <f t="shared" si="64"/>
        <v>幼儿园教师资格</v>
      </c>
      <c r="J143" s="8" t="str">
        <f>"20024601111000350"</f>
        <v>20024601111000350</v>
      </c>
      <c r="K143" s="9"/>
    </row>
    <row r="144" spans="1:11" s="1" customFormat="1" ht="30" customHeight="1">
      <c r="A144" s="7">
        <v>141</v>
      </c>
      <c r="B144" s="8" t="str">
        <f>"23132020061211291825394"</f>
        <v>23132020061211291825394</v>
      </c>
      <c r="C144" s="8" t="s">
        <v>14</v>
      </c>
      <c r="D144" s="8" t="str">
        <f>"陈求娜"</f>
        <v>陈求娜</v>
      </c>
      <c r="E144" s="8" t="str">
        <f t="shared" si="47"/>
        <v>女</v>
      </c>
      <c r="F144" s="8" t="str">
        <f t="shared" si="69"/>
        <v>大专</v>
      </c>
      <c r="G144" s="8" t="str">
        <f t="shared" si="70"/>
        <v>海南师范大学</v>
      </c>
      <c r="H144" s="8" t="str">
        <f t="shared" si="71"/>
        <v>学前教育</v>
      </c>
      <c r="I144" s="8" t="str">
        <f t="shared" si="64"/>
        <v>幼儿园教师资格</v>
      </c>
      <c r="J144" s="8" t="str">
        <f>"20054600111004134"</f>
        <v>20054600111004134</v>
      </c>
      <c r="K144" s="9"/>
    </row>
    <row r="145" spans="1:11" s="1" customFormat="1" ht="30" customHeight="1">
      <c r="A145" s="7">
        <v>142</v>
      </c>
      <c r="B145" s="8" t="str">
        <f>"23132020061218434625400"</f>
        <v>23132020061218434625400</v>
      </c>
      <c r="C145" s="8" t="s">
        <v>14</v>
      </c>
      <c r="D145" s="8" t="str">
        <f>"吴宁"</f>
        <v>吴宁</v>
      </c>
      <c r="E145" s="8" t="str">
        <f t="shared" si="47"/>
        <v>女</v>
      </c>
      <c r="F145" s="8" t="str">
        <f t="shared" si="69"/>
        <v>大专</v>
      </c>
      <c r="G145" s="8" t="str">
        <f t="shared" si="70"/>
        <v>海南师范大学</v>
      </c>
      <c r="H145" s="8" t="str">
        <f t="shared" si="71"/>
        <v>学前教育</v>
      </c>
      <c r="I145" s="8" t="str">
        <f t="shared" si="64"/>
        <v>幼儿园教师资格</v>
      </c>
      <c r="J145" s="8" t="str">
        <f>"20184600712000808"</f>
        <v>20184600712000808</v>
      </c>
      <c r="K145" s="9"/>
    </row>
    <row r="146" spans="1:11" s="1" customFormat="1" ht="30" customHeight="1">
      <c r="A146" s="7">
        <v>143</v>
      </c>
      <c r="B146" s="8" t="str">
        <f>"23132020061309285525406"</f>
        <v>23132020061309285525406</v>
      </c>
      <c r="C146" s="8" t="s">
        <v>14</v>
      </c>
      <c r="D146" s="8" t="str">
        <f>"陈曼曼"</f>
        <v>陈曼曼</v>
      </c>
      <c r="E146" s="8" t="str">
        <f t="shared" si="47"/>
        <v>女</v>
      </c>
      <c r="F146" s="8" t="str">
        <f>"本科"</f>
        <v>本科</v>
      </c>
      <c r="G146" s="8" t="str">
        <f t="shared" si="70"/>
        <v>海南师范大学</v>
      </c>
      <c r="H146" s="8" t="str">
        <f t="shared" si="71"/>
        <v>学前教育</v>
      </c>
      <c r="I146" s="8" t="str">
        <f t="shared" si="64"/>
        <v>幼儿园教师资格</v>
      </c>
      <c r="J146" s="8" t="str">
        <f>"20084400812000236"</f>
        <v>20084400812000236</v>
      </c>
      <c r="K146" s="9"/>
    </row>
    <row r="147" spans="1:11" s="1" customFormat="1" ht="30" customHeight="1">
      <c r="A147" s="7">
        <v>144</v>
      </c>
      <c r="B147" s="8" t="str">
        <f>"23132020061311165825408"</f>
        <v>23132020061311165825408</v>
      </c>
      <c r="C147" s="8" t="s">
        <v>14</v>
      </c>
      <c r="D147" s="8" t="str">
        <f>"何远燕"</f>
        <v>何远燕</v>
      </c>
      <c r="E147" s="8" t="str">
        <f t="shared" si="47"/>
        <v>女</v>
      </c>
      <c r="F147" s="8" t="str">
        <f aca="true" t="shared" si="72" ref="F147:F154">"大专"</f>
        <v>大专</v>
      </c>
      <c r="G147" s="8" t="str">
        <f>"琼台师范高等专科学校"</f>
        <v>琼台师范高等专科学校</v>
      </c>
      <c r="H147" s="8" t="str">
        <f t="shared" si="71"/>
        <v>学前教育</v>
      </c>
      <c r="I147" s="8" t="str">
        <f t="shared" si="64"/>
        <v>幼儿园教师资格</v>
      </c>
      <c r="J147" s="8" t="str">
        <f>"20144600412001216"</f>
        <v>20144600412001216</v>
      </c>
      <c r="K147" s="9"/>
    </row>
    <row r="148" spans="1:11" s="1" customFormat="1" ht="30" customHeight="1">
      <c r="A148" s="7">
        <v>145</v>
      </c>
      <c r="B148" s="8" t="str">
        <f>"23132020061313140425410"</f>
        <v>23132020061313140425410</v>
      </c>
      <c r="C148" s="8" t="s">
        <v>14</v>
      </c>
      <c r="D148" s="8" t="str">
        <f>"胡秀"</f>
        <v>胡秀</v>
      </c>
      <c r="E148" s="8" t="str">
        <f t="shared" si="47"/>
        <v>女</v>
      </c>
      <c r="F148" s="8" t="str">
        <f t="shared" si="72"/>
        <v>大专</v>
      </c>
      <c r="G148" s="8" t="str">
        <f>"海南软件职业技术学院"</f>
        <v>海南软件职业技术学院</v>
      </c>
      <c r="H148" s="8" t="str">
        <f>"计算机应用技术"</f>
        <v>计算机应用技术</v>
      </c>
      <c r="I148" s="8" t="str">
        <f t="shared" si="64"/>
        <v>幼儿园教师资格</v>
      </c>
      <c r="J148" s="8" t="str">
        <f>"20174602112000040"</f>
        <v>20174602112000040</v>
      </c>
      <c r="K148" s="9"/>
    </row>
    <row r="149" spans="1:11" s="1" customFormat="1" ht="30" customHeight="1">
      <c r="A149" s="7">
        <v>146</v>
      </c>
      <c r="B149" s="8" t="str">
        <f>"23132020061318560625418"</f>
        <v>23132020061318560625418</v>
      </c>
      <c r="C149" s="8" t="s">
        <v>14</v>
      </c>
      <c r="D149" s="8" t="str">
        <f>"梅欣欣"</f>
        <v>梅欣欣</v>
      </c>
      <c r="E149" s="8" t="str">
        <f t="shared" si="47"/>
        <v>女</v>
      </c>
      <c r="F149" s="8" t="str">
        <f>"本科"</f>
        <v>本科</v>
      </c>
      <c r="G149" s="8" t="str">
        <f>"海南师范大学"</f>
        <v>海南师范大学</v>
      </c>
      <c r="H149" s="8" t="str">
        <f aca="true" t="shared" si="73" ref="H149:H153">"学前教育"</f>
        <v>学前教育</v>
      </c>
      <c r="I149" s="8" t="str">
        <f t="shared" si="64"/>
        <v>幼儿园教师资格</v>
      </c>
      <c r="J149" s="8" t="str">
        <f>"20114600112002569"</f>
        <v>20114600112002569</v>
      </c>
      <c r="K149" s="9"/>
    </row>
    <row r="150" spans="1:11" s="1" customFormat="1" ht="30" customHeight="1">
      <c r="A150" s="7">
        <v>147</v>
      </c>
      <c r="B150" s="8" t="str">
        <f>"23132020060808285225120"</f>
        <v>23132020060808285225120</v>
      </c>
      <c r="C150" s="8" t="s">
        <v>15</v>
      </c>
      <c r="D150" s="8" t="str">
        <f>"王桂容"</f>
        <v>王桂容</v>
      </c>
      <c r="E150" s="8" t="str">
        <f t="shared" si="47"/>
        <v>女</v>
      </c>
      <c r="F150" s="8" t="str">
        <f t="shared" si="72"/>
        <v>大专</v>
      </c>
      <c r="G150" s="8" t="str">
        <f>"江西师范大学"</f>
        <v>江西师范大学</v>
      </c>
      <c r="H150" s="8" t="str">
        <f t="shared" si="73"/>
        <v>学前教育</v>
      </c>
      <c r="I150" s="8" t="str">
        <f t="shared" si="64"/>
        <v>幼儿园教师资格</v>
      </c>
      <c r="J150" s="8" t="str">
        <f>"20134116012000086"</f>
        <v>20134116012000086</v>
      </c>
      <c r="K150" s="9"/>
    </row>
    <row r="151" spans="1:11" s="1" customFormat="1" ht="30" customHeight="1">
      <c r="A151" s="7">
        <v>148</v>
      </c>
      <c r="B151" s="8" t="str">
        <f>"23132020060808521525125"</f>
        <v>23132020060808521525125</v>
      </c>
      <c r="C151" s="8" t="s">
        <v>15</v>
      </c>
      <c r="D151" s="8" t="str">
        <f>"王海丽"</f>
        <v>王海丽</v>
      </c>
      <c r="E151" s="8" t="str">
        <f t="shared" si="47"/>
        <v>女</v>
      </c>
      <c r="F151" s="8" t="str">
        <f t="shared" si="72"/>
        <v>大专</v>
      </c>
      <c r="G151" s="8" t="str">
        <f>"海南大学"</f>
        <v>海南大学</v>
      </c>
      <c r="H151" s="8" t="str">
        <f>"财务会计"</f>
        <v>财务会计</v>
      </c>
      <c r="I151" s="8" t="str">
        <f t="shared" si="64"/>
        <v>幼儿园教师资格</v>
      </c>
      <c r="J151" s="8" t="str">
        <f>"201442101122001695"</f>
        <v>201442101122001695</v>
      </c>
      <c r="K151" s="9"/>
    </row>
    <row r="152" spans="1:11" s="1" customFormat="1" ht="30" customHeight="1">
      <c r="A152" s="7">
        <v>149</v>
      </c>
      <c r="B152" s="8" t="str">
        <f>"23132020060809231925134"</f>
        <v>23132020060809231925134</v>
      </c>
      <c r="C152" s="8" t="s">
        <v>15</v>
      </c>
      <c r="D152" s="8" t="str">
        <f>"王丽萍"</f>
        <v>王丽萍</v>
      </c>
      <c r="E152" s="8" t="str">
        <f t="shared" si="47"/>
        <v>女</v>
      </c>
      <c r="F152" s="8" t="str">
        <f t="shared" si="72"/>
        <v>大专</v>
      </c>
      <c r="G152" s="8" t="str">
        <f>"琼台师范高等专科学校"</f>
        <v>琼台师范高等专科学校</v>
      </c>
      <c r="H152" s="8" t="str">
        <f t="shared" si="73"/>
        <v>学前教育</v>
      </c>
      <c r="I152" s="8" t="str">
        <f t="shared" si="64"/>
        <v>幼儿园教师资格</v>
      </c>
      <c r="J152" s="8" t="str">
        <f>"20124600112004844"</f>
        <v>20124600112004844</v>
      </c>
      <c r="K152" s="9"/>
    </row>
    <row r="153" spans="1:11" s="1" customFormat="1" ht="30" customHeight="1">
      <c r="A153" s="7">
        <v>150</v>
      </c>
      <c r="B153" s="8" t="str">
        <f>"23132020060809251125136"</f>
        <v>23132020060809251125136</v>
      </c>
      <c r="C153" s="8" t="s">
        <v>15</v>
      </c>
      <c r="D153" s="8" t="str">
        <f>"覃荣英"</f>
        <v>覃荣英</v>
      </c>
      <c r="E153" s="8" t="str">
        <f t="shared" si="47"/>
        <v>女</v>
      </c>
      <c r="F153" s="8" t="str">
        <f t="shared" si="72"/>
        <v>大专</v>
      </c>
      <c r="G153" s="8" t="str">
        <f>"湖南师范大学"</f>
        <v>湖南师范大学</v>
      </c>
      <c r="H153" s="8" t="str">
        <f t="shared" si="73"/>
        <v>学前教育</v>
      </c>
      <c r="I153" s="8" t="str">
        <f t="shared" si="64"/>
        <v>幼儿园教师资格</v>
      </c>
      <c r="J153" s="8" t="str">
        <f>"20144210112001714"</f>
        <v>20144210112001714</v>
      </c>
      <c r="K153" s="9"/>
    </row>
    <row r="154" spans="1:11" s="1" customFormat="1" ht="30" customHeight="1">
      <c r="A154" s="7">
        <v>151</v>
      </c>
      <c r="B154" s="8" t="str">
        <f>"23132020060809322325139"</f>
        <v>23132020060809322325139</v>
      </c>
      <c r="C154" s="8" t="s">
        <v>15</v>
      </c>
      <c r="D154" s="8" t="str">
        <f>"张琳"</f>
        <v>张琳</v>
      </c>
      <c r="E154" s="8" t="str">
        <f t="shared" si="47"/>
        <v>女</v>
      </c>
      <c r="F154" s="8" t="str">
        <f t="shared" si="72"/>
        <v>大专</v>
      </c>
      <c r="G154" s="8" t="str">
        <f>"山东师范大学"</f>
        <v>山东师范大学</v>
      </c>
      <c r="H154" s="8" t="str">
        <f>"学期教育"</f>
        <v>学期教育</v>
      </c>
      <c r="I154" s="8" t="str">
        <f t="shared" si="64"/>
        <v>幼儿园教师资格</v>
      </c>
      <c r="J154" s="8" t="str">
        <f>"20014600211000189"</f>
        <v>20014600211000189</v>
      </c>
      <c r="K154" s="9"/>
    </row>
    <row r="155" spans="1:11" s="1" customFormat="1" ht="30" customHeight="1">
      <c r="A155" s="7">
        <v>152</v>
      </c>
      <c r="B155" s="8" t="str">
        <f>"23132020060809332525141"</f>
        <v>23132020060809332525141</v>
      </c>
      <c r="C155" s="8" t="s">
        <v>15</v>
      </c>
      <c r="D155" s="8" t="str">
        <f>"张怡菲"</f>
        <v>张怡菲</v>
      </c>
      <c r="E155" s="8" t="str">
        <f t="shared" si="47"/>
        <v>女</v>
      </c>
      <c r="F155" s="8" t="str">
        <f aca="true" t="shared" si="74" ref="F155:F160">"本科"</f>
        <v>本科</v>
      </c>
      <c r="G155" s="8" t="str">
        <f>"琼台师范幼儿师范学院"</f>
        <v>琼台师范幼儿师范学院</v>
      </c>
      <c r="H155" s="8" t="str">
        <f aca="true" t="shared" si="75" ref="H155:H157">"学前教育"</f>
        <v>学前教育</v>
      </c>
      <c r="I155" s="8" t="str">
        <f t="shared" si="64"/>
        <v>幼儿园教师资格</v>
      </c>
      <c r="J155" s="8" t="str">
        <f>"20144600412001463"</f>
        <v>20144600412001463</v>
      </c>
      <c r="K155" s="9"/>
    </row>
    <row r="156" spans="1:11" s="1" customFormat="1" ht="30" customHeight="1">
      <c r="A156" s="7">
        <v>153</v>
      </c>
      <c r="B156" s="8" t="str">
        <f>"23132020060810171125148"</f>
        <v>23132020060810171125148</v>
      </c>
      <c r="C156" s="8" t="s">
        <v>15</v>
      </c>
      <c r="D156" s="8" t="str">
        <f>"包兵兵"</f>
        <v>包兵兵</v>
      </c>
      <c r="E156" s="8" t="str">
        <f>"男"</f>
        <v>男</v>
      </c>
      <c r="F156" s="8" t="str">
        <f t="shared" si="74"/>
        <v>本科</v>
      </c>
      <c r="G156" s="8" t="str">
        <f>"海南师范大学"</f>
        <v>海南师范大学</v>
      </c>
      <c r="H156" s="8" t="str">
        <f t="shared" si="75"/>
        <v>学前教育</v>
      </c>
      <c r="I156" s="8" t="str">
        <f t="shared" si="64"/>
        <v>幼儿园教师资格</v>
      </c>
      <c r="J156" s="8" t="str">
        <f>"20074103010026125"</f>
        <v>20074103010026125</v>
      </c>
      <c r="K156" s="9"/>
    </row>
    <row r="157" spans="1:11" s="1" customFormat="1" ht="30" customHeight="1">
      <c r="A157" s="7">
        <v>154</v>
      </c>
      <c r="B157" s="8" t="str">
        <f>"23132020060810273025149"</f>
        <v>23132020060810273025149</v>
      </c>
      <c r="C157" s="8" t="s">
        <v>15</v>
      </c>
      <c r="D157" s="8" t="str">
        <f>"陈文霞"</f>
        <v>陈文霞</v>
      </c>
      <c r="E157" s="8" t="str">
        <f aca="true" t="shared" si="76" ref="E157:E187">"女"</f>
        <v>女</v>
      </c>
      <c r="F157" s="8" t="str">
        <f aca="true" t="shared" si="77" ref="F157:F163">"大专"</f>
        <v>大专</v>
      </c>
      <c r="G157" s="8" t="str">
        <f>"西南大学"</f>
        <v>西南大学</v>
      </c>
      <c r="H157" s="8" t="str">
        <f t="shared" si="75"/>
        <v>学前教育</v>
      </c>
      <c r="I157" s="8" t="str">
        <f t="shared" si="64"/>
        <v>幼儿园教师资格</v>
      </c>
      <c r="J157" s="8" t="str">
        <f>"20014600211000283"</f>
        <v>20014600211000283</v>
      </c>
      <c r="K157" s="9"/>
    </row>
    <row r="158" spans="1:11" s="1" customFormat="1" ht="30" customHeight="1">
      <c r="A158" s="7">
        <v>155</v>
      </c>
      <c r="B158" s="8" t="str">
        <f>"23132020060810404025151"</f>
        <v>23132020060810404025151</v>
      </c>
      <c r="C158" s="8" t="s">
        <v>15</v>
      </c>
      <c r="D158" s="8" t="str">
        <f>"苏海燕"</f>
        <v>苏海燕</v>
      </c>
      <c r="E158" s="8" t="str">
        <f t="shared" si="76"/>
        <v>女</v>
      </c>
      <c r="F158" s="8" t="str">
        <f t="shared" si="74"/>
        <v>本科</v>
      </c>
      <c r="G158" s="8" t="str">
        <f>"华南师范大学"</f>
        <v>华南师范大学</v>
      </c>
      <c r="H158" s="8" t="str">
        <f>"教育学"</f>
        <v>教育学</v>
      </c>
      <c r="I158" s="8" t="str">
        <f t="shared" si="64"/>
        <v>幼儿园教师资格</v>
      </c>
      <c r="J158" s="8" t="str">
        <f>"20104401312000032"</f>
        <v>20104401312000032</v>
      </c>
      <c r="K158" s="9"/>
    </row>
    <row r="159" spans="1:11" s="1" customFormat="1" ht="30" customHeight="1">
      <c r="A159" s="7">
        <v>156</v>
      </c>
      <c r="B159" s="8" t="str">
        <f>"23132020060811080525154"</f>
        <v>23132020060811080525154</v>
      </c>
      <c r="C159" s="8" t="s">
        <v>15</v>
      </c>
      <c r="D159" s="8" t="str">
        <f>"伍寒君"</f>
        <v>伍寒君</v>
      </c>
      <c r="E159" s="8" t="str">
        <f t="shared" si="76"/>
        <v>女</v>
      </c>
      <c r="F159" s="8" t="str">
        <f t="shared" si="74"/>
        <v>本科</v>
      </c>
      <c r="G159" s="8" t="str">
        <f>" 海南师范大学"</f>
        <v> 海南师范大学</v>
      </c>
      <c r="H159" s="8" t="str">
        <f aca="true" t="shared" si="78" ref="H159:H162">"学前教育"</f>
        <v>学前教育</v>
      </c>
      <c r="I159" s="8" t="str">
        <f t="shared" si="64"/>
        <v>幼儿园教师资格</v>
      </c>
      <c r="J159" s="8" t="str">
        <f>"20114600112005173"</f>
        <v>20114600112005173</v>
      </c>
      <c r="K159" s="9"/>
    </row>
    <row r="160" spans="1:11" s="1" customFormat="1" ht="30" customHeight="1">
      <c r="A160" s="7">
        <v>157</v>
      </c>
      <c r="B160" s="8" t="str">
        <f>"23132020060811120425155"</f>
        <v>23132020060811120425155</v>
      </c>
      <c r="C160" s="8" t="s">
        <v>15</v>
      </c>
      <c r="D160" s="8" t="str">
        <f>"鲁迎艳"</f>
        <v>鲁迎艳</v>
      </c>
      <c r="E160" s="8" t="str">
        <f t="shared" si="76"/>
        <v>女</v>
      </c>
      <c r="F160" s="8" t="str">
        <f t="shared" si="74"/>
        <v>本科</v>
      </c>
      <c r="G160" s="8" t="str">
        <f>"海南师范大学"</f>
        <v>海南师范大学</v>
      </c>
      <c r="H160" s="8" t="str">
        <f t="shared" si="78"/>
        <v>学前教育</v>
      </c>
      <c r="I160" s="8" t="str">
        <f t="shared" si="64"/>
        <v>幼儿园教师资格</v>
      </c>
      <c r="J160" s="8" t="str">
        <f>"20174600612000211"</f>
        <v>20174600612000211</v>
      </c>
      <c r="K160" s="9"/>
    </row>
    <row r="161" spans="1:11" s="1" customFormat="1" ht="30" customHeight="1">
      <c r="A161" s="7">
        <v>158</v>
      </c>
      <c r="B161" s="8" t="str">
        <f>"23132020060811161725156"</f>
        <v>23132020060811161725156</v>
      </c>
      <c r="C161" s="8" t="s">
        <v>15</v>
      </c>
      <c r="D161" s="8" t="str">
        <f>"梁婉"</f>
        <v>梁婉</v>
      </c>
      <c r="E161" s="8" t="str">
        <f t="shared" si="76"/>
        <v>女</v>
      </c>
      <c r="F161" s="8" t="str">
        <f t="shared" si="77"/>
        <v>大专</v>
      </c>
      <c r="G161" s="8" t="str">
        <f>"海南省师范大学"</f>
        <v>海南省师范大学</v>
      </c>
      <c r="H161" s="8" t="str">
        <f>"初等教育"</f>
        <v>初等教育</v>
      </c>
      <c r="I161" s="8" t="str">
        <f t="shared" si="64"/>
        <v>幼儿园教师资格</v>
      </c>
      <c r="J161" s="8" t="str">
        <f>"20104600112002844"</f>
        <v>20104600112002844</v>
      </c>
      <c r="K161" s="9"/>
    </row>
    <row r="162" spans="1:11" s="1" customFormat="1" ht="30" customHeight="1">
      <c r="A162" s="7">
        <v>159</v>
      </c>
      <c r="B162" s="8" t="str">
        <f>"23132020060812031625162"</f>
        <v>23132020060812031625162</v>
      </c>
      <c r="C162" s="8" t="s">
        <v>15</v>
      </c>
      <c r="D162" s="8" t="str">
        <f>"陈延丽"</f>
        <v>陈延丽</v>
      </c>
      <c r="E162" s="8" t="str">
        <f t="shared" si="76"/>
        <v>女</v>
      </c>
      <c r="F162" s="8" t="str">
        <f t="shared" si="77"/>
        <v>大专</v>
      </c>
      <c r="G162" s="8" t="str">
        <f>"河北衡水学院"</f>
        <v>河北衡水学院</v>
      </c>
      <c r="H162" s="8" t="str">
        <f t="shared" si="78"/>
        <v>学前教育</v>
      </c>
      <c r="I162" s="8" t="str">
        <f t="shared" si="64"/>
        <v>幼儿园教师资格</v>
      </c>
      <c r="J162" s="8" t="str">
        <f>"20174602112000032"</f>
        <v>20174602112000032</v>
      </c>
      <c r="K162" s="9"/>
    </row>
    <row r="163" spans="1:11" s="1" customFormat="1" ht="30" customHeight="1">
      <c r="A163" s="7">
        <v>160</v>
      </c>
      <c r="B163" s="8" t="str">
        <f>"23132020060812281025169"</f>
        <v>23132020060812281025169</v>
      </c>
      <c r="C163" s="8" t="s">
        <v>15</v>
      </c>
      <c r="D163" s="8" t="str">
        <f>"王琼香"</f>
        <v>王琼香</v>
      </c>
      <c r="E163" s="8" t="str">
        <f t="shared" si="76"/>
        <v>女</v>
      </c>
      <c r="F163" s="8" t="str">
        <f t="shared" si="77"/>
        <v>大专</v>
      </c>
      <c r="G163" s="8" t="str">
        <f>"广东省汕尾市职业技术学院"</f>
        <v>广东省汕尾市职业技术学院</v>
      </c>
      <c r="H163" s="8" t="str">
        <f>"学前教育专业"</f>
        <v>学前教育专业</v>
      </c>
      <c r="I163" s="8" t="str">
        <f t="shared" si="64"/>
        <v>幼儿园教师资格</v>
      </c>
      <c r="J163" s="8" t="str">
        <f>"20154410042013162"</f>
        <v>20154410042013162</v>
      </c>
      <c r="K163" s="9"/>
    </row>
    <row r="164" spans="1:11" s="1" customFormat="1" ht="30" customHeight="1">
      <c r="A164" s="7">
        <v>161</v>
      </c>
      <c r="B164" s="8" t="str">
        <f>"23132020060812393125171"</f>
        <v>23132020060812393125171</v>
      </c>
      <c r="C164" s="8" t="s">
        <v>15</v>
      </c>
      <c r="D164" s="8" t="str">
        <f>"邓锦兰"</f>
        <v>邓锦兰</v>
      </c>
      <c r="E164" s="8" t="str">
        <f t="shared" si="76"/>
        <v>女</v>
      </c>
      <c r="F164" s="8" t="str">
        <f>"本科"</f>
        <v>本科</v>
      </c>
      <c r="G164" s="8" t="str">
        <f>"海南师范大学"</f>
        <v>海南师范大学</v>
      </c>
      <c r="H164" s="8" t="str">
        <f aca="true" t="shared" si="79" ref="H164:H167">"学前教育"</f>
        <v>学前教育</v>
      </c>
      <c r="I164" s="8" t="str">
        <f t="shared" si="64"/>
        <v>幼儿园教师资格</v>
      </c>
      <c r="J164" s="8" t="str">
        <f>"20144600312001627"</f>
        <v>20144600312001627</v>
      </c>
      <c r="K164" s="9"/>
    </row>
    <row r="165" spans="1:11" s="1" customFormat="1" ht="30" customHeight="1">
      <c r="A165" s="7">
        <v>162</v>
      </c>
      <c r="B165" s="8" t="str">
        <f>"23132020060812452525172"</f>
        <v>23132020060812452525172</v>
      </c>
      <c r="C165" s="8" t="s">
        <v>15</v>
      </c>
      <c r="D165" s="8" t="str">
        <f>"李容迈"</f>
        <v>李容迈</v>
      </c>
      <c r="E165" s="8" t="str">
        <f t="shared" si="76"/>
        <v>女</v>
      </c>
      <c r="F165" s="8" t="str">
        <f aca="true" t="shared" si="80" ref="F165:F175">"大专"</f>
        <v>大专</v>
      </c>
      <c r="G165" s="8" t="str">
        <f>"湖南师范大学"</f>
        <v>湖南师范大学</v>
      </c>
      <c r="H165" s="8" t="str">
        <f>"汉语言文学"</f>
        <v>汉语言文学</v>
      </c>
      <c r="I165" s="8" t="str">
        <f t="shared" si="64"/>
        <v>幼儿园教师资格</v>
      </c>
      <c r="J165" s="8" t="str">
        <f>"20064600611000033"</f>
        <v>20064600611000033</v>
      </c>
      <c r="K165" s="9"/>
    </row>
    <row r="166" spans="1:11" s="1" customFormat="1" ht="30" customHeight="1">
      <c r="A166" s="7">
        <v>163</v>
      </c>
      <c r="B166" s="8" t="str">
        <f>"23132020060812571225175"</f>
        <v>23132020060812571225175</v>
      </c>
      <c r="C166" s="8" t="s">
        <v>15</v>
      </c>
      <c r="D166" s="8" t="str">
        <f>"王灵"</f>
        <v>王灵</v>
      </c>
      <c r="E166" s="8" t="str">
        <f t="shared" si="76"/>
        <v>女</v>
      </c>
      <c r="F166" s="8" t="str">
        <f t="shared" si="80"/>
        <v>大专</v>
      </c>
      <c r="G166" s="8" t="str">
        <f>"琼台师范学院"</f>
        <v>琼台师范学院</v>
      </c>
      <c r="H166" s="8" t="str">
        <f t="shared" si="79"/>
        <v>学前教育</v>
      </c>
      <c r="I166" s="8" t="str">
        <f t="shared" si="64"/>
        <v>幼儿园教师资格</v>
      </c>
      <c r="J166" s="8" t="str">
        <f>"20164600412000263"</f>
        <v>20164600412000263</v>
      </c>
      <c r="K166" s="9"/>
    </row>
    <row r="167" spans="1:11" s="1" customFormat="1" ht="30" customHeight="1">
      <c r="A167" s="7">
        <v>164</v>
      </c>
      <c r="B167" s="8" t="str">
        <f>"23132020060814060825185"</f>
        <v>23132020060814060825185</v>
      </c>
      <c r="C167" s="8" t="s">
        <v>15</v>
      </c>
      <c r="D167" s="8" t="str">
        <f>"饶小梅"</f>
        <v>饶小梅</v>
      </c>
      <c r="E167" s="8" t="str">
        <f t="shared" si="76"/>
        <v>女</v>
      </c>
      <c r="F167" s="8" t="str">
        <f t="shared" si="80"/>
        <v>大专</v>
      </c>
      <c r="G167" s="8" t="str">
        <f>"琼台师范高等专科学校"</f>
        <v>琼台师范高等专科学校</v>
      </c>
      <c r="H167" s="8" t="str">
        <f t="shared" si="79"/>
        <v>学前教育</v>
      </c>
      <c r="I167" s="8" t="str">
        <f t="shared" si="64"/>
        <v>幼儿园教师资格</v>
      </c>
      <c r="J167" s="8" t="str">
        <f>"20164601012000022"</f>
        <v>20164601012000022</v>
      </c>
      <c r="K167" s="9"/>
    </row>
    <row r="168" spans="1:11" s="1" customFormat="1" ht="30" customHeight="1">
      <c r="A168" s="7">
        <v>165</v>
      </c>
      <c r="B168" s="8" t="str">
        <f>"23132020060814152225189"</f>
        <v>23132020060814152225189</v>
      </c>
      <c r="C168" s="8" t="s">
        <v>15</v>
      </c>
      <c r="D168" s="8" t="str">
        <f>"周启兰"</f>
        <v>周启兰</v>
      </c>
      <c r="E168" s="8" t="str">
        <f t="shared" si="76"/>
        <v>女</v>
      </c>
      <c r="F168" s="8" t="str">
        <f t="shared" si="80"/>
        <v>大专</v>
      </c>
      <c r="G168" s="8" t="str">
        <f>"海南琼台师范"</f>
        <v>海南琼台师范</v>
      </c>
      <c r="H168" s="8" t="str">
        <f>"英语教育"</f>
        <v>英语教育</v>
      </c>
      <c r="I168" s="8" t="str">
        <f t="shared" si="64"/>
        <v>幼儿园教师资格</v>
      </c>
      <c r="J168" s="8" t="str">
        <f>"20164600712000663"</f>
        <v>20164600712000663</v>
      </c>
      <c r="K168" s="9"/>
    </row>
    <row r="169" spans="1:11" s="1" customFormat="1" ht="30" customHeight="1">
      <c r="A169" s="7">
        <v>166</v>
      </c>
      <c r="B169" s="8" t="str">
        <f>"23132020060814173225190"</f>
        <v>23132020060814173225190</v>
      </c>
      <c r="C169" s="8" t="s">
        <v>15</v>
      </c>
      <c r="D169" s="8" t="str">
        <f>"李秋菊"</f>
        <v>李秋菊</v>
      </c>
      <c r="E169" s="8" t="str">
        <f t="shared" si="76"/>
        <v>女</v>
      </c>
      <c r="F169" s="8" t="str">
        <f t="shared" si="80"/>
        <v>大专</v>
      </c>
      <c r="G169" s="8" t="str">
        <f>"衡水学院"</f>
        <v>衡水学院</v>
      </c>
      <c r="H169" s="8" t="str">
        <f aca="true" t="shared" si="81" ref="H169:H171">"学前教育"</f>
        <v>学前教育</v>
      </c>
      <c r="I169" s="8" t="str">
        <f t="shared" si="64"/>
        <v>幼儿园教师资格</v>
      </c>
      <c r="J169" s="8" t="str">
        <f>"20184601012000116"</f>
        <v>20184601012000116</v>
      </c>
      <c r="K169" s="9"/>
    </row>
    <row r="170" spans="1:11" s="1" customFormat="1" ht="30" customHeight="1">
      <c r="A170" s="7">
        <v>167</v>
      </c>
      <c r="B170" s="8" t="str">
        <f>"23132020060814434625192"</f>
        <v>23132020060814434625192</v>
      </c>
      <c r="C170" s="8" t="s">
        <v>15</v>
      </c>
      <c r="D170" s="8" t="str">
        <f>"周舫"</f>
        <v>周舫</v>
      </c>
      <c r="E170" s="8" t="str">
        <f t="shared" si="76"/>
        <v>女</v>
      </c>
      <c r="F170" s="8" t="str">
        <f t="shared" si="80"/>
        <v>大专</v>
      </c>
      <c r="G170" s="8" t="str">
        <f>"琼台师范"</f>
        <v>琼台师范</v>
      </c>
      <c r="H170" s="8" t="str">
        <f t="shared" si="81"/>
        <v>学前教育</v>
      </c>
      <c r="I170" s="8" t="str">
        <f t="shared" si="64"/>
        <v>幼儿园教师资格</v>
      </c>
      <c r="J170" s="8" t="str">
        <f>"20104600112001805"</f>
        <v>20104600112001805</v>
      </c>
      <c r="K170" s="9"/>
    </row>
    <row r="171" spans="1:11" s="1" customFormat="1" ht="30" customHeight="1">
      <c r="A171" s="7">
        <v>168</v>
      </c>
      <c r="B171" s="8" t="str">
        <f>"23132020060815012625193"</f>
        <v>23132020060815012625193</v>
      </c>
      <c r="C171" s="8" t="s">
        <v>15</v>
      </c>
      <c r="D171" s="8" t="str">
        <f>"邢妙琼"</f>
        <v>邢妙琼</v>
      </c>
      <c r="E171" s="8" t="str">
        <f t="shared" si="76"/>
        <v>女</v>
      </c>
      <c r="F171" s="8" t="str">
        <f t="shared" si="80"/>
        <v>大专</v>
      </c>
      <c r="G171" s="8" t="str">
        <f aca="true" t="shared" si="82" ref="G171:G176">"海南师范大学"</f>
        <v>海南师范大学</v>
      </c>
      <c r="H171" s="8" t="str">
        <f t="shared" si="81"/>
        <v>学前教育</v>
      </c>
      <c r="I171" s="8" t="str">
        <f t="shared" si="64"/>
        <v>幼儿园教师资格</v>
      </c>
      <c r="J171" s="8" t="str">
        <f>"20074600111004377"</f>
        <v>20074600111004377</v>
      </c>
      <c r="K171" s="9"/>
    </row>
    <row r="172" spans="1:11" s="1" customFormat="1" ht="30" customHeight="1">
      <c r="A172" s="7">
        <v>169</v>
      </c>
      <c r="B172" s="8" t="str">
        <f>"23132020060815324125196"</f>
        <v>23132020060815324125196</v>
      </c>
      <c r="C172" s="8" t="s">
        <v>15</v>
      </c>
      <c r="D172" s="8" t="str">
        <f>"赵茂青"</f>
        <v>赵茂青</v>
      </c>
      <c r="E172" s="8" t="str">
        <f t="shared" si="76"/>
        <v>女</v>
      </c>
      <c r="F172" s="8" t="str">
        <f t="shared" si="80"/>
        <v>大专</v>
      </c>
      <c r="G172" s="8" t="str">
        <f>"海南外国语职业学院"</f>
        <v>海南外国语职业学院</v>
      </c>
      <c r="H172" s="8" t="str">
        <f>"英语教育"</f>
        <v>英语教育</v>
      </c>
      <c r="I172" s="8" t="str">
        <f t="shared" si="64"/>
        <v>幼儿园教师资格</v>
      </c>
      <c r="J172" s="8" t="str">
        <f>"20134601912000029"</f>
        <v>20134601912000029</v>
      </c>
      <c r="K172" s="9"/>
    </row>
    <row r="173" spans="1:11" s="1" customFormat="1" ht="30" customHeight="1">
      <c r="A173" s="7">
        <v>170</v>
      </c>
      <c r="B173" s="8" t="str">
        <f>"23132020060815593925198"</f>
        <v>23132020060815593925198</v>
      </c>
      <c r="C173" s="8" t="s">
        <v>15</v>
      </c>
      <c r="D173" s="8" t="str">
        <f>"费小玲"</f>
        <v>费小玲</v>
      </c>
      <c r="E173" s="8" t="str">
        <f t="shared" si="76"/>
        <v>女</v>
      </c>
      <c r="F173" s="8" t="str">
        <f t="shared" si="80"/>
        <v>大专</v>
      </c>
      <c r="G173" s="8" t="str">
        <f t="shared" si="82"/>
        <v>海南师范大学</v>
      </c>
      <c r="H173" s="8" t="str">
        <f>"教育管理"</f>
        <v>教育管理</v>
      </c>
      <c r="I173" s="8" t="str">
        <f t="shared" si="64"/>
        <v>幼儿园教师资格</v>
      </c>
      <c r="J173" s="8" t="str">
        <f>"20024601111000931"</f>
        <v>20024601111000931</v>
      </c>
      <c r="K173" s="9"/>
    </row>
    <row r="174" spans="1:11" s="1" customFormat="1" ht="30" customHeight="1">
      <c r="A174" s="7">
        <v>171</v>
      </c>
      <c r="B174" s="8" t="str">
        <f>"23132020060816074825199"</f>
        <v>23132020060816074825199</v>
      </c>
      <c r="C174" s="8" t="s">
        <v>15</v>
      </c>
      <c r="D174" s="8" t="str">
        <f>"王梅"</f>
        <v>王梅</v>
      </c>
      <c r="E174" s="8" t="str">
        <f t="shared" si="76"/>
        <v>女</v>
      </c>
      <c r="F174" s="8" t="str">
        <f t="shared" si="80"/>
        <v>大专</v>
      </c>
      <c r="G174" s="8" t="str">
        <f>"海南师范学院"</f>
        <v>海南师范学院</v>
      </c>
      <c r="H174" s="8" t="str">
        <f>"教育学"</f>
        <v>教育学</v>
      </c>
      <c r="I174" s="8" t="str">
        <f t="shared" si="64"/>
        <v>幼儿园教师资格</v>
      </c>
      <c r="J174" s="8" t="str">
        <f>"20034600911000433"</f>
        <v>20034600911000433</v>
      </c>
      <c r="K174" s="9"/>
    </row>
    <row r="175" spans="1:11" s="1" customFormat="1" ht="30" customHeight="1">
      <c r="A175" s="7">
        <v>172</v>
      </c>
      <c r="B175" s="8" t="str">
        <f>"23132020060816362525201"</f>
        <v>23132020060816362525201</v>
      </c>
      <c r="C175" s="8" t="s">
        <v>15</v>
      </c>
      <c r="D175" s="8" t="str">
        <f>"黄敬华"</f>
        <v>黄敬华</v>
      </c>
      <c r="E175" s="8" t="str">
        <f t="shared" si="76"/>
        <v>女</v>
      </c>
      <c r="F175" s="8" t="str">
        <f t="shared" si="80"/>
        <v>大专</v>
      </c>
      <c r="G175" s="8" t="str">
        <f t="shared" si="82"/>
        <v>海南师范大学</v>
      </c>
      <c r="H175" s="8" t="str">
        <f aca="true" t="shared" si="83" ref="H175:H178">"学前教育"</f>
        <v>学前教育</v>
      </c>
      <c r="I175" s="8" t="str">
        <f t="shared" si="64"/>
        <v>幼儿园教师资格</v>
      </c>
      <c r="J175" s="8" t="str">
        <f>"20114600612000042"</f>
        <v>20114600612000042</v>
      </c>
      <c r="K175" s="9"/>
    </row>
    <row r="176" spans="1:11" s="1" customFormat="1" ht="30" customHeight="1">
      <c r="A176" s="7">
        <v>173</v>
      </c>
      <c r="B176" s="8" t="str">
        <f>"23132020060817532425206"</f>
        <v>23132020060817532425206</v>
      </c>
      <c r="C176" s="8" t="s">
        <v>15</v>
      </c>
      <c r="D176" s="8" t="str">
        <f>"郑岚尹"</f>
        <v>郑岚尹</v>
      </c>
      <c r="E176" s="8" t="str">
        <f t="shared" si="76"/>
        <v>女</v>
      </c>
      <c r="F176" s="8" t="str">
        <f>"本科"</f>
        <v>本科</v>
      </c>
      <c r="G176" s="8" t="str">
        <f t="shared" si="82"/>
        <v>海南师范大学</v>
      </c>
      <c r="H176" s="8" t="str">
        <f>"法学"</f>
        <v>法学</v>
      </c>
      <c r="I176" s="8" t="str">
        <f t="shared" si="64"/>
        <v>幼儿园教师资格</v>
      </c>
      <c r="J176" s="8" t="str">
        <f>"20084600812000028"</f>
        <v>20084600812000028</v>
      </c>
      <c r="K176" s="9"/>
    </row>
    <row r="177" spans="1:11" s="1" customFormat="1" ht="30" customHeight="1">
      <c r="A177" s="7">
        <v>174</v>
      </c>
      <c r="B177" s="8" t="str">
        <f>"23132020060818375825212"</f>
        <v>23132020060818375825212</v>
      </c>
      <c r="C177" s="8" t="s">
        <v>15</v>
      </c>
      <c r="D177" s="8" t="str">
        <f>"侯圆圆"</f>
        <v>侯圆圆</v>
      </c>
      <c r="E177" s="8" t="str">
        <f t="shared" si="76"/>
        <v>女</v>
      </c>
      <c r="F177" s="8" t="str">
        <f aca="true" t="shared" si="84" ref="F177:F184">"大专"</f>
        <v>大专</v>
      </c>
      <c r="G177" s="8" t="str">
        <f>"琼台师范学院"</f>
        <v>琼台师范学院</v>
      </c>
      <c r="H177" s="8" t="str">
        <f t="shared" si="83"/>
        <v>学前教育</v>
      </c>
      <c r="I177" s="8" t="str">
        <f t="shared" si="64"/>
        <v>幼儿园教师资格</v>
      </c>
      <c r="J177" s="8" t="str">
        <f>"20184600412001096"</f>
        <v>20184600412001096</v>
      </c>
      <c r="K177" s="9"/>
    </row>
    <row r="178" spans="1:11" s="1" customFormat="1" ht="30" customHeight="1">
      <c r="A178" s="7">
        <v>175</v>
      </c>
      <c r="B178" s="8" t="str">
        <f>"23132020060819070625213"</f>
        <v>23132020060819070625213</v>
      </c>
      <c r="C178" s="8" t="s">
        <v>15</v>
      </c>
      <c r="D178" s="8" t="str">
        <f>"陈玉"</f>
        <v>陈玉</v>
      </c>
      <c r="E178" s="8" t="str">
        <f t="shared" si="76"/>
        <v>女</v>
      </c>
      <c r="F178" s="8" t="str">
        <f t="shared" si="84"/>
        <v>大专</v>
      </c>
      <c r="G178" s="8" t="str">
        <f>"海南师范大学"</f>
        <v>海南师范大学</v>
      </c>
      <c r="H178" s="8" t="str">
        <f t="shared" si="83"/>
        <v>学前教育</v>
      </c>
      <c r="I178" s="8" t="str">
        <f t="shared" si="64"/>
        <v>幼儿园教师资格</v>
      </c>
      <c r="J178" s="8" t="str">
        <f>"20194601612000042"</f>
        <v>20194601612000042</v>
      </c>
      <c r="K178" s="9"/>
    </row>
    <row r="179" spans="1:11" s="1" customFormat="1" ht="30" customHeight="1">
      <c r="A179" s="7">
        <v>176</v>
      </c>
      <c r="B179" s="8" t="str">
        <f>"23132020060819213025218"</f>
        <v>23132020060819213025218</v>
      </c>
      <c r="C179" s="8" t="s">
        <v>15</v>
      </c>
      <c r="D179" s="8" t="str">
        <f>"陈小荣"</f>
        <v>陈小荣</v>
      </c>
      <c r="E179" s="8" t="str">
        <f t="shared" si="76"/>
        <v>女</v>
      </c>
      <c r="F179" s="8" t="str">
        <f>"研究生"</f>
        <v>研究生</v>
      </c>
      <c r="G179" s="8" t="str">
        <f>"陕西师范大学"</f>
        <v>陕西师范大学</v>
      </c>
      <c r="H179" s="8" t="str">
        <f>"学前教育学"</f>
        <v>学前教育学</v>
      </c>
      <c r="I179" s="8" t="str">
        <f t="shared" si="64"/>
        <v>幼儿园教师资格</v>
      </c>
      <c r="J179" s="8" t="str">
        <f>"20154403012000188"</f>
        <v>20154403012000188</v>
      </c>
      <c r="K179" s="9"/>
    </row>
    <row r="180" spans="1:11" s="1" customFormat="1" ht="30" customHeight="1">
      <c r="A180" s="7">
        <v>177</v>
      </c>
      <c r="B180" s="8" t="str">
        <f>"23132020060820302225223"</f>
        <v>23132020060820302225223</v>
      </c>
      <c r="C180" s="8" t="s">
        <v>15</v>
      </c>
      <c r="D180" s="8" t="str">
        <f>"张蕾"</f>
        <v>张蕾</v>
      </c>
      <c r="E180" s="8" t="str">
        <f t="shared" si="76"/>
        <v>女</v>
      </c>
      <c r="F180" s="8" t="str">
        <f>"本科"</f>
        <v>本科</v>
      </c>
      <c r="G180" s="8" t="str">
        <f>"湖南师范大学"</f>
        <v>湖南师范大学</v>
      </c>
      <c r="H180" s="8" t="str">
        <f>"教育学"</f>
        <v>教育学</v>
      </c>
      <c r="I180" s="8" t="str">
        <f t="shared" si="64"/>
        <v>幼儿园教师资格</v>
      </c>
      <c r="J180" s="8" t="str">
        <f>"20014600211000295"</f>
        <v>20014600211000295</v>
      </c>
      <c r="K180" s="9"/>
    </row>
    <row r="181" spans="1:11" s="1" customFormat="1" ht="30" customHeight="1">
      <c r="A181" s="7">
        <v>178</v>
      </c>
      <c r="B181" s="8" t="str">
        <f>"23132020060820371225224"</f>
        <v>23132020060820371225224</v>
      </c>
      <c r="C181" s="8" t="s">
        <v>15</v>
      </c>
      <c r="D181" s="8" t="str">
        <f>"吴娇丽"</f>
        <v>吴娇丽</v>
      </c>
      <c r="E181" s="8" t="str">
        <f t="shared" si="76"/>
        <v>女</v>
      </c>
      <c r="F181" s="8" t="str">
        <f t="shared" si="84"/>
        <v>大专</v>
      </c>
      <c r="G181" s="8" t="str">
        <f>"琼台师范高等专科学校"</f>
        <v>琼台师范高等专科学校</v>
      </c>
      <c r="H181" s="8" t="str">
        <f>"语文教育"</f>
        <v>语文教育</v>
      </c>
      <c r="I181" s="8" t="str">
        <f t="shared" si="64"/>
        <v>幼儿园教师资格</v>
      </c>
      <c r="J181" s="8" t="str">
        <f>"20134601212000087"</f>
        <v>20134601212000087</v>
      </c>
      <c r="K181" s="9"/>
    </row>
    <row r="182" spans="1:11" s="1" customFormat="1" ht="30" customHeight="1">
      <c r="A182" s="7">
        <v>179</v>
      </c>
      <c r="B182" s="8" t="str">
        <f>"23132020060820495525226"</f>
        <v>23132020060820495525226</v>
      </c>
      <c r="C182" s="8" t="s">
        <v>15</v>
      </c>
      <c r="D182" s="8" t="str">
        <f>"游象琼"</f>
        <v>游象琼</v>
      </c>
      <c r="E182" s="8" t="str">
        <f t="shared" si="76"/>
        <v>女</v>
      </c>
      <c r="F182" s="8" t="str">
        <f t="shared" si="84"/>
        <v>大专</v>
      </c>
      <c r="G182" s="8" t="str">
        <f>"海南省海口市琼台师范学院"</f>
        <v>海南省海口市琼台师范学院</v>
      </c>
      <c r="H182" s="8" t="str">
        <f aca="true" t="shared" si="85" ref="H182:H187">"学前教育"</f>
        <v>学前教育</v>
      </c>
      <c r="I182" s="8" t="str">
        <f t="shared" si="64"/>
        <v>幼儿园教师资格</v>
      </c>
      <c r="J182" s="8" t="str">
        <f>"20164600412000166"</f>
        <v>20164600412000166</v>
      </c>
      <c r="K182" s="9"/>
    </row>
    <row r="183" spans="1:11" s="1" customFormat="1" ht="30" customHeight="1">
      <c r="A183" s="7">
        <v>180</v>
      </c>
      <c r="B183" s="8" t="str">
        <f>"23132020060821203125229"</f>
        <v>23132020060821203125229</v>
      </c>
      <c r="C183" s="8" t="s">
        <v>15</v>
      </c>
      <c r="D183" s="8" t="str">
        <f>"冯春香"</f>
        <v>冯春香</v>
      </c>
      <c r="E183" s="8" t="str">
        <f t="shared" si="76"/>
        <v>女</v>
      </c>
      <c r="F183" s="8" t="str">
        <f t="shared" si="84"/>
        <v>大专</v>
      </c>
      <c r="G183" s="8" t="str">
        <f>"中南大学"</f>
        <v>中南大学</v>
      </c>
      <c r="H183" s="8" t="str">
        <f>"会计学"</f>
        <v>会计学</v>
      </c>
      <c r="I183" s="8" t="str">
        <f t="shared" si="64"/>
        <v>幼儿园教师资格</v>
      </c>
      <c r="J183" s="8" t="str">
        <f>"20134600912000038"</f>
        <v>20134600912000038</v>
      </c>
      <c r="K183" s="9"/>
    </row>
    <row r="184" spans="1:11" s="1" customFormat="1" ht="30" customHeight="1">
      <c r="A184" s="7">
        <v>181</v>
      </c>
      <c r="B184" s="8" t="str">
        <f>"23132020060821444525231"</f>
        <v>23132020060821444525231</v>
      </c>
      <c r="C184" s="8" t="s">
        <v>15</v>
      </c>
      <c r="D184" s="8" t="str">
        <f>"杜妮"</f>
        <v>杜妮</v>
      </c>
      <c r="E184" s="8" t="str">
        <f t="shared" si="76"/>
        <v>女</v>
      </c>
      <c r="F184" s="8" t="str">
        <f t="shared" si="84"/>
        <v>大专</v>
      </c>
      <c r="G184" s="8" t="str">
        <f>"江西师范大学"</f>
        <v>江西师范大学</v>
      </c>
      <c r="H184" s="8" t="str">
        <f>"初等教育"</f>
        <v>初等教育</v>
      </c>
      <c r="I184" s="8" t="str">
        <f t="shared" si="64"/>
        <v>幼儿园教师资格</v>
      </c>
      <c r="J184" s="8" t="str">
        <f>"20194600912000259"</f>
        <v>20194600912000259</v>
      </c>
      <c r="K184" s="9"/>
    </row>
    <row r="185" spans="1:11" s="1" customFormat="1" ht="30" customHeight="1">
      <c r="A185" s="7">
        <v>182</v>
      </c>
      <c r="B185" s="8" t="str">
        <f>"23132020060821492425233"</f>
        <v>23132020060821492425233</v>
      </c>
      <c r="C185" s="8" t="s">
        <v>15</v>
      </c>
      <c r="D185" s="8" t="str">
        <f>"周朝丽"</f>
        <v>周朝丽</v>
      </c>
      <c r="E185" s="8" t="str">
        <f t="shared" si="76"/>
        <v>女</v>
      </c>
      <c r="F185" s="8" t="str">
        <f>"本科"</f>
        <v>本科</v>
      </c>
      <c r="G185" s="8" t="str">
        <f>"海南师范大学"</f>
        <v>海南师范大学</v>
      </c>
      <c r="H185" s="8" t="str">
        <f t="shared" si="85"/>
        <v>学前教育</v>
      </c>
      <c r="I185" s="8" t="str">
        <f t="shared" si="64"/>
        <v>幼儿园教师资格</v>
      </c>
      <c r="J185" s="8" t="str">
        <f>"20064601211000001"</f>
        <v>20064601211000001</v>
      </c>
      <c r="K185" s="9"/>
    </row>
    <row r="186" spans="1:11" s="1" customFormat="1" ht="30" customHeight="1">
      <c r="A186" s="7">
        <v>183</v>
      </c>
      <c r="B186" s="8" t="str">
        <f>"23132020060822091625235"</f>
        <v>23132020060822091625235</v>
      </c>
      <c r="C186" s="8" t="s">
        <v>15</v>
      </c>
      <c r="D186" s="8" t="str">
        <f>"张丹"</f>
        <v>张丹</v>
      </c>
      <c r="E186" s="8" t="str">
        <f t="shared" si="76"/>
        <v>女</v>
      </c>
      <c r="F186" s="8" t="str">
        <f aca="true" t="shared" si="86" ref="F186:F191">"大专"</f>
        <v>大专</v>
      </c>
      <c r="G186" s="8" t="str">
        <f aca="true" t="shared" si="87" ref="G186:G189">"琼台师范高等专科学校"</f>
        <v>琼台师范高等专科学校</v>
      </c>
      <c r="H186" s="8" t="str">
        <f>"学前教育学"</f>
        <v>学前教育学</v>
      </c>
      <c r="I186" s="8" t="str">
        <f t="shared" si="64"/>
        <v>幼儿园教师资格</v>
      </c>
      <c r="J186" s="8" t="str">
        <f>"20114600112006633"</f>
        <v>20114600112006633</v>
      </c>
      <c r="K186" s="9"/>
    </row>
    <row r="187" spans="1:11" s="1" customFormat="1" ht="30" customHeight="1">
      <c r="A187" s="7">
        <v>184</v>
      </c>
      <c r="B187" s="8" t="str">
        <f>"23132020060822310725238"</f>
        <v>23132020060822310725238</v>
      </c>
      <c r="C187" s="8" t="s">
        <v>15</v>
      </c>
      <c r="D187" s="8" t="str">
        <f>"王愉雅"</f>
        <v>王愉雅</v>
      </c>
      <c r="E187" s="8" t="str">
        <f t="shared" si="76"/>
        <v>女</v>
      </c>
      <c r="F187" s="8" t="str">
        <f>"本科"</f>
        <v>本科</v>
      </c>
      <c r="G187" s="8" t="str">
        <f>"海南师范大学"</f>
        <v>海南师范大学</v>
      </c>
      <c r="H187" s="8" t="str">
        <f t="shared" si="85"/>
        <v>学前教育</v>
      </c>
      <c r="I187" s="8" t="str">
        <f t="shared" si="64"/>
        <v>幼儿园教师资格</v>
      </c>
      <c r="J187" s="8" t="str">
        <f>"20144600412001433"</f>
        <v>20144600412001433</v>
      </c>
      <c r="K187" s="9"/>
    </row>
    <row r="188" spans="1:11" s="1" customFormat="1" ht="30" customHeight="1">
      <c r="A188" s="7">
        <v>185</v>
      </c>
      <c r="B188" s="8" t="str">
        <f>"23132020060822495425239"</f>
        <v>23132020060822495425239</v>
      </c>
      <c r="C188" s="8" t="s">
        <v>15</v>
      </c>
      <c r="D188" s="8" t="str">
        <f>"邱天跃"</f>
        <v>邱天跃</v>
      </c>
      <c r="E188" s="8" t="str">
        <f>"男"</f>
        <v>男</v>
      </c>
      <c r="F188" s="8" t="str">
        <f t="shared" si="86"/>
        <v>大专</v>
      </c>
      <c r="G188" s="8" t="str">
        <f t="shared" si="87"/>
        <v>琼台师范高等专科学校</v>
      </c>
      <c r="H188" s="8" t="str">
        <f>"初等教育"</f>
        <v>初等教育</v>
      </c>
      <c r="I188" s="8" t="str">
        <f t="shared" si="64"/>
        <v>幼儿园教师资格</v>
      </c>
      <c r="J188" s="8" t="str">
        <f>"20134601511000118"</f>
        <v>20134601511000118</v>
      </c>
      <c r="K188" s="9"/>
    </row>
    <row r="189" spans="1:11" s="1" customFormat="1" ht="30" customHeight="1">
      <c r="A189" s="7">
        <v>186</v>
      </c>
      <c r="B189" s="8" t="str">
        <f>"23132020060822592325242"</f>
        <v>23132020060822592325242</v>
      </c>
      <c r="C189" s="8" t="s">
        <v>15</v>
      </c>
      <c r="D189" s="8" t="str">
        <f>"方建芬"</f>
        <v>方建芬</v>
      </c>
      <c r="E189" s="8" t="str">
        <f aca="true" t="shared" si="88" ref="E189:E232">"女"</f>
        <v>女</v>
      </c>
      <c r="F189" s="8" t="str">
        <f t="shared" si="86"/>
        <v>大专</v>
      </c>
      <c r="G189" s="8" t="str">
        <f t="shared" si="87"/>
        <v>琼台师范高等专科学校</v>
      </c>
      <c r="H189" s="8" t="str">
        <f>"学前教育（英语教育方向）"</f>
        <v>学前教育（英语教育方向）</v>
      </c>
      <c r="I189" s="8" t="str">
        <f t="shared" si="64"/>
        <v>幼儿园教师资格</v>
      </c>
      <c r="J189" s="8" t="str">
        <f>"20134600112003899"</f>
        <v>20134600112003899</v>
      </c>
      <c r="K189" s="9"/>
    </row>
    <row r="190" spans="1:11" s="1" customFormat="1" ht="30" customHeight="1">
      <c r="A190" s="7">
        <v>187</v>
      </c>
      <c r="B190" s="8" t="str">
        <f>"23132020060908595325252"</f>
        <v>23132020060908595325252</v>
      </c>
      <c r="C190" s="8" t="s">
        <v>15</v>
      </c>
      <c r="D190" s="8" t="str">
        <f>"唐薇"</f>
        <v>唐薇</v>
      </c>
      <c r="E190" s="8" t="str">
        <f t="shared" si="88"/>
        <v>女</v>
      </c>
      <c r="F190" s="8" t="str">
        <f t="shared" si="86"/>
        <v>大专</v>
      </c>
      <c r="G190" s="8" t="str">
        <f>"广西师范大学"</f>
        <v>广西师范大学</v>
      </c>
      <c r="H190" s="8" t="str">
        <f>"计算机及应用"</f>
        <v>计算机及应用</v>
      </c>
      <c r="I190" s="8" t="str">
        <f t="shared" si="64"/>
        <v>幼儿园教师资格</v>
      </c>
      <c r="J190" s="8" t="str">
        <f>"20174600412000016"</f>
        <v>20174600412000016</v>
      </c>
      <c r="K190" s="9"/>
    </row>
    <row r="191" spans="1:11" s="1" customFormat="1" ht="30" customHeight="1">
      <c r="A191" s="7">
        <v>188</v>
      </c>
      <c r="B191" s="8" t="str">
        <f>"23132020060909265425253"</f>
        <v>23132020060909265425253</v>
      </c>
      <c r="C191" s="8" t="s">
        <v>15</v>
      </c>
      <c r="D191" s="8" t="str">
        <f>"韩林"</f>
        <v>韩林</v>
      </c>
      <c r="E191" s="8" t="str">
        <f t="shared" si="88"/>
        <v>女</v>
      </c>
      <c r="F191" s="8" t="str">
        <f t="shared" si="86"/>
        <v>大专</v>
      </c>
      <c r="G191" s="8" t="str">
        <f>"琼州学院"</f>
        <v>琼州学院</v>
      </c>
      <c r="H191" s="8" t="str">
        <f aca="true" t="shared" si="89" ref="H191:H196">"学前教育"</f>
        <v>学前教育</v>
      </c>
      <c r="I191" s="8" t="str">
        <f t="shared" si="64"/>
        <v>幼儿园教师资格</v>
      </c>
      <c r="J191" s="8" t="str">
        <f>"20134600612000153"</f>
        <v>20134600612000153</v>
      </c>
      <c r="K191" s="9"/>
    </row>
    <row r="192" spans="1:11" s="1" customFormat="1" ht="30" customHeight="1">
      <c r="A192" s="7">
        <v>189</v>
      </c>
      <c r="B192" s="8" t="str">
        <f>"23132020060909485925254"</f>
        <v>23132020060909485925254</v>
      </c>
      <c r="C192" s="8" t="s">
        <v>15</v>
      </c>
      <c r="D192" s="8" t="str">
        <f>"孔真真"</f>
        <v>孔真真</v>
      </c>
      <c r="E192" s="8" t="str">
        <f t="shared" si="88"/>
        <v>女</v>
      </c>
      <c r="F192" s="8" t="str">
        <f aca="true" t="shared" si="90" ref="F192:F196">"本科"</f>
        <v>本科</v>
      </c>
      <c r="G192" s="8" t="str">
        <f>"贵州师范大学"</f>
        <v>贵州师范大学</v>
      </c>
      <c r="H192" s="8" t="str">
        <f t="shared" si="89"/>
        <v>学前教育</v>
      </c>
      <c r="I192" s="8" t="str">
        <f t="shared" si="64"/>
        <v>幼儿园教师资格</v>
      </c>
      <c r="J192" s="8" t="str">
        <f>"20184602612000544"</f>
        <v>20184602612000544</v>
      </c>
      <c r="K192" s="9"/>
    </row>
    <row r="193" spans="1:11" s="1" customFormat="1" ht="30" customHeight="1">
      <c r="A193" s="7">
        <v>190</v>
      </c>
      <c r="B193" s="8" t="str">
        <f>"23132020060910302125257"</f>
        <v>23132020060910302125257</v>
      </c>
      <c r="C193" s="8" t="s">
        <v>15</v>
      </c>
      <c r="D193" s="8" t="str">
        <f>"王向莹"</f>
        <v>王向莹</v>
      </c>
      <c r="E193" s="8" t="str">
        <f t="shared" si="88"/>
        <v>女</v>
      </c>
      <c r="F193" s="8" t="str">
        <f aca="true" t="shared" si="91" ref="F193:F202">"大专"</f>
        <v>大专</v>
      </c>
      <c r="G193" s="8" t="str">
        <f aca="true" t="shared" si="92" ref="G193:G198">"海南师范大学"</f>
        <v>海南师范大学</v>
      </c>
      <c r="H193" s="8" t="str">
        <f t="shared" si="89"/>
        <v>学前教育</v>
      </c>
      <c r="I193" s="8" t="str">
        <f t="shared" si="64"/>
        <v>幼儿园教师资格</v>
      </c>
      <c r="J193" s="8" t="str">
        <f>"20134600112003705"</f>
        <v>20134600112003705</v>
      </c>
      <c r="K193" s="9"/>
    </row>
    <row r="194" spans="1:11" s="1" customFormat="1" ht="30" customHeight="1">
      <c r="A194" s="7">
        <v>191</v>
      </c>
      <c r="B194" s="8" t="str">
        <f>"23132020060911054825259"</f>
        <v>23132020060911054825259</v>
      </c>
      <c r="C194" s="8" t="s">
        <v>15</v>
      </c>
      <c r="D194" s="8" t="str">
        <f>"刘少丹"</f>
        <v>刘少丹</v>
      </c>
      <c r="E194" s="8" t="str">
        <f t="shared" si="88"/>
        <v>女</v>
      </c>
      <c r="F194" s="8" t="str">
        <f t="shared" si="91"/>
        <v>大专</v>
      </c>
      <c r="G194" s="8" t="str">
        <f>"琼州学院"</f>
        <v>琼州学院</v>
      </c>
      <c r="H194" s="8" t="str">
        <f t="shared" si="89"/>
        <v>学前教育</v>
      </c>
      <c r="I194" s="8" t="str">
        <f t="shared" si="64"/>
        <v>幼儿园教师资格</v>
      </c>
      <c r="J194" s="8" t="str">
        <f>"20164601812000033"</f>
        <v>20164601812000033</v>
      </c>
      <c r="K194" s="9"/>
    </row>
    <row r="195" spans="1:11" s="1" customFormat="1" ht="30" customHeight="1">
      <c r="A195" s="7">
        <v>192</v>
      </c>
      <c r="B195" s="8" t="str">
        <f>"23132020060915054625268"</f>
        <v>23132020060915054625268</v>
      </c>
      <c r="C195" s="8" t="s">
        <v>15</v>
      </c>
      <c r="D195" s="8" t="str">
        <f>"邓李娇"</f>
        <v>邓李娇</v>
      </c>
      <c r="E195" s="8" t="str">
        <f t="shared" si="88"/>
        <v>女</v>
      </c>
      <c r="F195" s="8" t="str">
        <f t="shared" si="90"/>
        <v>本科</v>
      </c>
      <c r="G195" s="8" t="str">
        <f t="shared" si="92"/>
        <v>海南师范大学</v>
      </c>
      <c r="H195" s="8" t="str">
        <f t="shared" si="89"/>
        <v>学前教育</v>
      </c>
      <c r="I195" s="8" t="str">
        <f t="shared" si="64"/>
        <v>幼儿园教师资格</v>
      </c>
      <c r="J195" s="8" t="str">
        <f>"20084600612000051"</f>
        <v>20084600612000051</v>
      </c>
      <c r="K195" s="9"/>
    </row>
    <row r="196" spans="1:11" s="1" customFormat="1" ht="30" customHeight="1">
      <c r="A196" s="7">
        <v>193</v>
      </c>
      <c r="B196" s="8" t="str">
        <f>"23132020060915305825270"</f>
        <v>23132020060915305825270</v>
      </c>
      <c r="C196" s="8" t="s">
        <v>15</v>
      </c>
      <c r="D196" s="8" t="str">
        <f>"严晨曦"</f>
        <v>严晨曦</v>
      </c>
      <c r="E196" s="8" t="str">
        <f t="shared" si="88"/>
        <v>女</v>
      </c>
      <c r="F196" s="8" t="str">
        <f t="shared" si="90"/>
        <v>本科</v>
      </c>
      <c r="G196" s="8" t="str">
        <f>"华中师范大学"</f>
        <v>华中师范大学</v>
      </c>
      <c r="H196" s="8" t="str">
        <f t="shared" si="89"/>
        <v>学前教育</v>
      </c>
      <c r="I196" s="8" t="str">
        <f aca="true" t="shared" si="93" ref="I196:I232">"幼儿园教师资格"</f>
        <v>幼儿园教师资格</v>
      </c>
      <c r="J196" s="8" t="str">
        <f>"20144200512000539"</f>
        <v>20144200512000539</v>
      </c>
      <c r="K196" s="9"/>
    </row>
    <row r="197" spans="1:11" s="1" customFormat="1" ht="30" customHeight="1">
      <c r="A197" s="7">
        <v>194</v>
      </c>
      <c r="B197" s="8" t="str">
        <f>"23132020060915493525273"</f>
        <v>23132020060915493525273</v>
      </c>
      <c r="C197" s="8" t="s">
        <v>15</v>
      </c>
      <c r="D197" s="8" t="str">
        <f>"李长赞"</f>
        <v>李长赞</v>
      </c>
      <c r="E197" s="8" t="str">
        <f t="shared" si="88"/>
        <v>女</v>
      </c>
      <c r="F197" s="8" t="str">
        <f t="shared" si="91"/>
        <v>大专</v>
      </c>
      <c r="G197" s="8" t="str">
        <f t="shared" si="92"/>
        <v>海南师范大学</v>
      </c>
      <c r="H197" s="8" t="str">
        <f>"汉语"</f>
        <v>汉语</v>
      </c>
      <c r="I197" s="8" t="str">
        <f t="shared" si="93"/>
        <v>幼儿园教师资格</v>
      </c>
      <c r="J197" s="8" t="str">
        <f>"20024601111000319"</f>
        <v>20024601111000319</v>
      </c>
      <c r="K197" s="9"/>
    </row>
    <row r="198" spans="1:11" s="1" customFormat="1" ht="30" customHeight="1">
      <c r="A198" s="7">
        <v>195</v>
      </c>
      <c r="B198" s="8" t="str">
        <f>"23132020060917344825279"</f>
        <v>23132020060917344825279</v>
      </c>
      <c r="C198" s="8" t="s">
        <v>15</v>
      </c>
      <c r="D198" s="8" t="str">
        <f>"刘海梅"</f>
        <v>刘海梅</v>
      </c>
      <c r="E198" s="8" t="str">
        <f t="shared" si="88"/>
        <v>女</v>
      </c>
      <c r="F198" s="8" t="str">
        <f t="shared" si="91"/>
        <v>大专</v>
      </c>
      <c r="G198" s="8" t="str">
        <f t="shared" si="92"/>
        <v>海南师范大学</v>
      </c>
      <c r="H198" s="8" t="str">
        <f>"学前教育"</f>
        <v>学前教育</v>
      </c>
      <c r="I198" s="8" t="str">
        <f t="shared" si="93"/>
        <v>幼儿园教师资格</v>
      </c>
      <c r="J198" s="8" t="str">
        <f>"20164601612000031"</f>
        <v>20164601612000031</v>
      </c>
      <c r="K198" s="9"/>
    </row>
    <row r="199" spans="1:11" s="1" customFormat="1" ht="30" customHeight="1">
      <c r="A199" s="7">
        <v>196</v>
      </c>
      <c r="B199" s="8" t="str">
        <f>"23132020060918072825281"</f>
        <v>23132020060918072825281</v>
      </c>
      <c r="C199" s="8" t="s">
        <v>15</v>
      </c>
      <c r="D199" s="8" t="str">
        <f>"黄位燕"</f>
        <v>黄位燕</v>
      </c>
      <c r="E199" s="8" t="str">
        <f t="shared" si="88"/>
        <v>女</v>
      </c>
      <c r="F199" s="8" t="str">
        <f t="shared" si="91"/>
        <v>大专</v>
      </c>
      <c r="G199" s="8" t="str">
        <f>"琼台师范高等专科学校"</f>
        <v>琼台师范高等专科学校</v>
      </c>
      <c r="H199" s="8" t="str">
        <f>"语文教育"</f>
        <v>语文教育</v>
      </c>
      <c r="I199" s="8" t="str">
        <f t="shared" si="93"/>
        <v>幼儿园教师资格</v>
      </c>
      <c r="J199" s="8" t="str">
        <f>"20124600412000012"</f>
        <v>20124600412000012</v>
      </c>
      <c r="K199" s="9"/>
    </row>
    <row r="200" spans="1:11" s="1" customFormat="1" ht="30" customHeight="1">
      <c r="A200" s="7">
        <v>197</v>
      </c>
      <c r="B200" s="8" t="str">
        <f>"23132020060918222725285"</f>
        <v>23132020060918222725285</v>
      </c>
      <c r="C200" s="8" t="s">
        <v>15</v>
      </c>
      <c r="D200" s="8" t="str">
        <f>"陈云妹"</f>
        <v>陈云妹</v>
      </c>
      <c r="E200" s="8" t="str">
        <f t="shared" si="88"/>
        <v>女</v>
      </c>
      <c r="F200" s="8" t="str">
        <f t="shared" si="91"/>
        <v>大专</v>
      </c>
      <c r="G200" s="8" t="str">
        <f>"琼州学院"</f>
        <v>琼州学院</v>
      </c>
      <c r="H200" s="8" t="str">
        <f>"学前教育专业"</f>
        <v>学前教育专业</v>
      </c>
      <c r="I200" s="8" t="str">
        <f t="shared" si="93"/>
        <v>幼儿园教师资格</v>
      </c>
      <c r="J200" s="8" t="str">
        <f>"20164600612000018"</f>
        <v>20164600612000018</v>
      </c>
      <c r="K200" s="9"/>
    </row>
    <row r="201" spans="1:11" s="1" customFormat="1" ht="30" customHeight="1">
      <c r="A201" s="7">
        <v>198</v>
      </c>
      <c r="B201" s="8" t="str">
        <f>"23132020060919213425290"</f>
        <v>23132020060919213425290</v>
      </c>
      <c r="C201" s="8" t="s">
        <v>15</v>
      </c>
      <c r="D201" s="8" t="str">
        <f>"周挺玉"</f>
        <v>周挺玉</v>
      </c>
      <c r="E201" s="8" t="str">
        <f t="shared" si="88"/>
        <v>女</v>
      </c>
      <c r="F201" s="8" t="str">
        <f t="shared" si="91"/>
        <v>大专</v>
      </c>
      <c r="G201" s="8" t="str">
        <f>"海南师范大学"</f>
        <v>海南师范大学</v>
      </c>
      <c r="H201" s="8" t="str">
        <f>"教育管理"</f>
        <v>教育管理</v>
      </c>
      <c r="I201" s="8" t="str">
        <f t="shared" si="93"/>
        <v>幼儿园教师资格</v>
      </c>
      <c r="J201" s="8" t="str">
        <f>"20054601211000006"</f>
        <v>20054601211000006</v>
      </c>
      <c r="K201" s="9"/>
    </row>
    <row r="202" spans="1:11" s="1" customFormat="1" ht="30" customHeight="1">
      <c r="A202" s="7">
        <v>199</v>
      </c>
      <c r="B202" s="8" t="str">
        <f>"23132020060920285325293"</f>
        <v>23132020060920285325293</v>
      </c>
      <c r="C202" s="8" t="s">
        <v>15</v>
      </c>
      <c r="D202" s="8" t="str">
        <f>"高卉"</f>
        <v>高卉</v>
      </c>
      <c r="E202" s="8" t="str">
        <f t="shared" si="88"/>
        <v>女</v>
      </c>
      <c r="F202" s="8" t="str">
        <f t="shared" si="91"/>
        <v>大专</v>
      </c>
      <c r="G202" s="8" t="str">
        <f>"琼台师范高等专科学校"</f>
        <v>琼台师范高等专科学校</v>
      </c>
      <c r="H202" s="8" t="str">
        <f>"学前教育"</f>
        <v>学前教育</v>
      </c>
      <c r="I202" s="8" t="str">
        <f t="shared" si="93"/>
        <v>幼儿园教师资格</v>
      </c>
      <c r="J202" s="8" t="str">
        <f>"20154600412000257"</f>
        <v>20154600412000257</v>
      </c>
      <c r="K202" s="9"/>
    </row>
    <row r="203" spans="1:11" s="1" customFormat="1" ht="30" customHeight="1">
      <c r="A203" s="7">
        <v>200</v>
      </c>
      <c r="B203" s="8" t="str">
        <f>"23132020060921303125302"</f>
        <v>23132020060921303125302</v>
      </c>
      <c r="C203" s="8" t="s">
        <v>15</v>
      </c>
      <c r="D203" s="8" t="str">
        <f>"苏环"</f>
        <v>苏环</v>
      </c>
      <c r="E203" s="8" t="str">
        <f t="shared" si="88"/>
        <v>女</v>
      </c>
      <c r="F203" s="8" t="str">
        <f aca="true" t="shared" si="94" ref="F203:F207">"本科"</f>
        <v>本科</v>
      </c>
      <c r="G203" s="8" t="str">
        <f>"武汉科技大学城市学院"</f>
        <v>武汉科技大学城市学院</v>
      </c>
      <c r="H203" s="8" t="str">
        <f>"工商管理"</f>
        <v>工商管理</v>
      </c>
      <c r="I203" s="8" t="str">
        <f t="shared" si="93"/>
        <v>幼儿园教师资格</v>
      </c>
      <c r="J203" s="8" t="str">
        <f>"20144210812001083"</f>
        <v>20144210812001083</v>
      </c>
      <c r="K203" s="9"/>
    </row>
    <row r="204" spans="1:11" s="1" customFormat="1" ht="30" customHeight="1">
      <c r="A204" s="7">
        <v>201</v>
      </c>
      <c r="B204" s="8" t="str">
        <f>"23132020060922083425307"</f>
        <v>23132020060922083425307</v>
      </c>
      <c r="C204" s="8" t="s">
        <v>15</v>
      </c>
      <c r="D204" s="8" t="str">
        <f>"周洁"</f>
        <v>周洁</v>
      </c>
      <c r="E204" s="8" t="str">
        <f t="shared" si="88"/>
        <v>女</v>
      </c>
      <c r="F204" s="8" t="str">
        <f aca="true" t="shared" si="95" ref="F204:F212">"大专"</f>
        <v>大专</v>
      </c>
      <c r="G204" s="8" t="str">
        <f>"海南省琼台师院"</f>
        <v>海南省琼台师院</v>
      </c>
      <c r="H204" s="8" t="str">
        <f>"语文教育"</f>
        <v>语文教育</v>
      </c>
      <c r="I204" s="8" t="str">
        <f t="shared" si="93"/>
        <v>幼儿园教师资格</v>
      </c>
      <c r="J204" s="8" t="str">
        <f>"20184600612000097"</f>
        <v>20184600612000097</v>
      </c>
      <c r="K204" s="9"/>
    </row>
    <row r="205" spans="1:11" s="1" customFormat="1" ht="30" customHeight="1">
      <c r="A205" s="7">
        <v>202</v>
      </c>
      <c r="B205" s="8" t="str">
        <f>"23132020060923351525315"</f>
        <v>23132020060923351525315</v>
      </c>
      <c r="C205" s="8" t="s">
        <v>15</v>
      </c>
      <c r="D205" s="8" t="str">
        <f>"陈清后"</f>
        <v>陈清后</v>
      </c>
      <c r="E205" s="8" t="str">
        <f t="shared" si="88"/>
        <v>女</v>
      </c>
      <c r="F205" s="8" t="str">
        <f t="shared" si="94"/>
        <v>本科</v>
      </c>
      <c r="G205" s="8" t="str">
        <f aca="true" t="shared" si="96" ref="G205:G210">"海南师范大学"</f>
        <v>海南师范大学</v>
      </c>
      <c r="H205" s="8" t="str">
        <f aca="true" t="shared" si="97" ref="H205:H210">"学前教育"</f>
        <v>学前教育</v>
      </c>
      <c r="I205" s="8" t="str">
        <f t="shared" si="93"/>
        <v>幼儿园教师资格</v>
      </c>
      <c r="J205" s="8" t="str">
        <f>"201446000312001524"</f>
        <v>201446000312001524</v>
      </c>
      <c r="K205" s="9"/>
    </row>
    <row r="206" spans="1:11" s="1" customFormat="1" ht="30" customHeight="1">
      <c r="A206" s="7">
        <v>203</v>
      </c>
      <c r="B206" s="8" t="str">
        <f>"23132020061008000625317"</f>
        <v>23132020061008000625317</v>
      </c>
      <c r="C206" s="8" t="s">
        <v>15</v>
      </c>
      <c r="D206" s="8" t="str">
        <f>"莫和宝"</f>
        <v>莫和宝</v>
      </c>
      <c r="E206" s="8" t="str">
        <f t="shared" si="88"/>
        <v>女</v>
      </c>
      <c r="F206" s="8" t="str">
        <f t="shared" si="95"/>
        <v>大专</v>
      </c>
      <c r="G206" s="8" t="str">
        <f>"海南大学"</f>
        <v>海南大学</v>
      </c>
      <c r="H206" s="8" t="str">
        <f>"植物保护"</f>
        <v>植物保护</v>
      </c>
      <c r="I206" s="8" t="str">
        <f t="shared" si="93"/>
        <v>幼儿园教师资格</v>
      </c>
      <c r="J206" s="8" t="str">
        <f>"20134601412000034"</f>
        <v>20134601412000034</v>
      </c>
      <c r="K206" s="9"/>
    </row>
    <row r="207" spans="1:11" s="1" customFormat="1" ht="30" customHeight="1">
      <c r="A207" s="7">
        <v>204</v>
      </c>
      <c r="B207" s="8" t="str">
        <f>"23132020061008022725318"</f>
        <v>23132020061008022725318</v>
      </c>
      <c r="C207" s="8" t="s">
        <v>15</v>
      </c>
      <c r="D207" s="8" t="str">
        <f>"朱建美"</f>
        <v>朱建美</v>
      </c>
      <c r="E207" s="8" t="str">
        <f t="shared" si="88"/>
        <v>女</v>
      </c>
      <c r="F207" s="8" t="str">
        <f t="shared" si="94"/>
        <v>本科</v>
      </c>
      <c r="G207" s="8" t="str">
        <f t="shared" si="96"/>
        <v>海南师范大学</v>
      </c>
      <c r="H207" s="8" t="str">
        <f>"教育学"</f>
        <v>教育学</v>
      </c>
      <c r="I207" s="8" t="str">
        <f t="shared" si="93"/>
        <v>幼儿园教师资格</v>
      </c>
      <c r="J207" s="8" t="str">
        <f>"20164601412000014"</f>
        <v>20164601412000014</v>
      </c>
      <c r="K207" s="9"/>
    </row>
    <row r="208" spans="1:11" s="1" customFormat="1" ht="30" customHeight="1">
      <c r="A208" s="7">
        <v>205</v>
      </c>
      <c r="B208" s="8" t="str">
        <f>"23132020061008162025319"</f>
        <v>23132020061008162025319</v>
      </c>
      <c r="C208" s="8" t="s">
        <v>15</v>
      </c>
      <c r="D208" s="8" t="str">
        <f>"王吉南"</f>
        <v>王吉南</v>
      </c>
      <c r="E208" s="8" t="str">
        <f t="shared" si="88"/>
        <v>女</v>
      </c>
      <c r="F208" s="8" t="str">
        <f t="shared" si="95"/>
        <v>大专</v>
      </c>
      <c r="G208" s="8" t="str">
        <f>"中国环境管理干部学院"</f>
        <v>中国环境管理干部学院</v>
      </c>
      <c r="H208" s="8" t="str">
        <f>"环境规划与管理"</f>
        <v>环境规划与管理</v>
      </c>
      <c r="I208" s="8" t="str">
        <f t="shared" si="93"/>
        <v>幼儿园教师资格</v>
      </c>
      <c r="J208" s="8" t="str">
        <f>"20084600112001924"</f>
        <v>20084600112001924</v>
      </c>
      <c r="K208" s="9"/>
    </row>
    <row r="209" spans="1:11" s="1" customFormat="1" ht="30" customHeight="1">
      <c r="A209" s="7">
        <v>206</v>
      </c>
      <c r="B209" s="8" t="str">
        <f>"23132020061009092625322"</f>
        <v>23132020061009092625322</v>
      </c>
      <c r="C209" s="8" t="s">
        <v>15</v>
      </c>
      <c r="D209" s="8" t="str">
        <f>"李东方"</f>
        <v>李东方</v>
      </c>
      <c r="E209" s="8" t="str">
        <f t="shared" si="88"/>
        <v>女</v>
      </c>
      <c r="F209" s="8" t="str">
        <f t="shared" si="95"/>
        <v>大专</v>
      </c>
      <c r="G209" s="8" t="str">
        <f>"湖南师范大学"</f>
        <v>湖南师范大学</v>
      </c>
      <c r="H209" s="8" t="str">
        <f t="shared" si="97"/>
        <v>学前教育</v>
      </c>
      <c r="I209" s="8" t="str">
        <f t="shared" si="93"/>
        <v>幼儿园教师资格</v>
      </c>
      <c r="J209" s="8" t="str">
        <f>"20014600211000291"</f>
        <v>20014600211000291</v>
      </c>
      <c r="K209" s="9"/>
    </row>
    <row r="210" spans="1:11" s="1" customFormat="1" ht="30" customHeight="1">
      <c r="A210" s="7">
        <v>207</v>
      </c>
      <c r="B210" s="8" t="str">
        <f>"23132020061010472425327"</f>
        <v>23132020061010472425327</v>
      </c>
      <c r="C210" s="8" t="s">
        <v>15</v>
      </c>
      <c r="D210" s="8" t="str">
        <f>"张平"</f>
        <v>张平</v>
      </c>
      <c r="E210" s="8" t="str">
        <f t="shared" si="88"/>
        <v>女</v>
      </c>
      <c r="F210" s="8" t="str">
        <f t="shared" si="95"/>
        <v>大专</v>
      </c>
      <c r="G210" s="8" t="str">
        <f t="shared" si="96"/>
        <v>海南师范大学</v>
      </c>
      <c r="H210" s="8" t="str">
        <f t="shared" si="97"/>
        <v>学前教育</v>
      </c>
      <c r="I210" s="8" t="str">
        <f t="shared" si="93"/>
        <v>幼儿园教师资格</v>
      </c>
      <c r="J210" s="8" t="str">
        <f>"20034600211000096"</f>
        <v>20034600211000096</v>
      </c>
      <c r="K210" s="9"/>
    </row>
    <row r="211" spans="1:11" s="1" customFormat="1" ht="30" customHeight="1">
      <c r="A211" s="7">
        <v>208</v>
      </c>
      <c r="B211" s="8" t="str">
        <f>"23132020061011345225329"</f>
        <v>23132020061011345225329</v>
      </c>
      <c r="C211" s="8" t="s">
        <v>15</v>
      </c>
      <c r="D211" s="8" t="str">
        <f>"吕玉林"</f>
        <v>吕玉林</v>
      </c>
      <c r="E211" s="8" t="str">
        <f t="shared" si="88"/>
        <v>女</v>
      </c>
      <c r="F211" s="8" t="str">
        <f t="shared" si="95"/>
        <v>大专</v>
      </c>
      <c r="G211" s="8" t="str">
        <f>"运城学院师范分院"</f>
        <v>运城学院师范分院</v>
      </c>
      <c r="H211" s="8" t="str">
        <f aca="true" t="shared" si="98" ref="H211:H216">"语文教育"</f>
        <v>语文教育</v>
      </c>
      <c r="I211" s="8" t="str">
        <f t="shared" si="93"/>
        <v>幼儿园教师资格</v>
      </c>
      <c r="J211" s="8" t="str">
        <f>"20196507512000014"</f>
        <v>20196507512000014</v>
      </c>
      <c r="K211" s="9"/>
    </row>
    <row r="212" spans="1:11" s="1" customFormat="1" ht="30" customHeight="1">
      <c r="A212" s="7">
        <v>209</v>
      </c>
      <c r="B212" s="8" t="str">
        <f>"23132020061012481525334"</f>
        <v>23132020061012481525334</v>
      </c>
      <c r="C212" s="8" t="s">
        <v>15</v>
      </c>
      <c r="D212" s="8" t="str">
        <f>"曾小玲"</f>
        <v>曾小玲</v>
      </c>
      <c r="E212" s="8" t="str">
        <f t="shared" si="88"/>
        <v>女</v>
      </c>
      <c r="F212" s="8" t="str">
        <f t="shared" si="95"/>
        <v>大专</v>
      </c>
      <c r="G212" s="8" t="str">
        <f>"海南软件职业技术学院"</f>
        <v>海南软件职业技术学院</v>
      </c>
      <c r="H212" s="8" t="str">
        <f>"数学教育"</f>
        <v>数学教育</v>
      </c>
      <c r="I212" s="8" t="str">
        <f t="shared" si="93"/>
        <v>幼儿园教师资格</v>
      </c>
      <c r="J212" s="8" t="str">
        <f>"20134601512000188"</f>
        <v>20134601512000188</v>
      </c>
      <c r="K212" s="9"/>
    </row>
    <row r="213" spans="1:11" s="1" customFormat="1" ht="30" customHeight="1">
      <c r="A213" s="7">
        <v>210</v>
      </c>
      <c r="B213" s="8" t="str">
        <f>"23132020061016270325344"</f>
        <v>23132020061016270325344</v>
      </c>
      <c r="C213" s="8" t="s">
        <v>15</v>
      </c>
      <c r="D213" s="8" t="str">
        <f>"黄丽娜"</f>
        <v>黄丽娜</v>
      </c>
      <c r="E213" s="8" t="str">
        <f t="shared" si="88"/>
        <v>女</v>
      </c>
      <c r="F213" s="8" t="str">
        <f>"本科"</f>
        <v>本科</v>
      </c>
      <c r="G213" s="8" t="str">
        <f aca="true" t="shared" si="99" ref="G213:G219">"海南师范大学"</f>
        <v>海南师范大学</v>
      </c>
      <c r="H213" s="8" t="str">
        <f>"汉语言文学"</f>
        <v>汉语言文学</v>
      </c>
      <c r="I213" s="8" t="str">
        <f t="shared" si="93"/>
        <v>幼儿园教师资格</v>
      </c>
      <c r="J213" s="8" t="str">
        <f>"20144601612000003"</f>
        <v>20144601612000003</v>
      </c>
      <c r="K213" s="9"/>
    </row>
    <row r="214" spans="1:11" s="1" customFormat="1" ht="30" customHeight="1">
      <c r="A214" s="7">
        <v>211</v>
      </c>
      <c r="B214" s="8" t="str">
        <f>"23132020061017464125346"</f>
        <v>23132020061017464125346</v>
      </c>
      <c r="C214" s="8" t="s">
        <v>15</v>
      </c>
      <c r="D214" s="8" t="str">
        <f>"王文霞"</f>
        <v>王文霞</v>
      </c>
      <c r="E214" s="8" t="str">
        <f t="shared" si="88"/>
        <v>女</v>
      </c>
      <c r="F214" s="8" t="str">
        <f aca="true" t="shared" si="100" ref="F214:F216">"大专"</f>
        <v>大专</v>
      </c>
      <c r="G214" s="8" t="str">
        <f t="shared" si="99"/>
        <v>海南师范大学</v>
      </c>
      <c r="H214" s="8" t="str">
        <f t="shared" si="98"/>
        <v>语文教育</v>
      </c>
      <c r="I214" s="8" t="str">
        <f t="shared" si="93"/>
        <v>幼儿园教师资格</v>
      </c>
      <c r="J214" s="8" t="str">
        <f>"20044600111004130"</f>
        <v>20044600111004130</v>
      </c>
      <c r="K214" s="9"/>
    </row>
    <row r="215" spans="1:11" s="1" customFormat="1" ht="30" customHeight="1">
      <c r="A215" s="7">
        <v>212</v>
      </c>
      <c r="B215" s="8" t="str">
        <f>"23132020061017575425348"</f>
        <v>23132020061017575425348</v>
      </c>
      <c r="C215" s="8" t="s">
        <v>15</v>
      </c>
      <c r="D215" s="8" t="str">
        <f>"朱洪江"</f>
        <v>朱洪江</v>
      </c>
      <c r="E215" s="8" t="str">
        <f t="shared" si="88"/>
        <v>女</v>
      </c>
      <c r="F215" s="8" t="str">
        <f t="shared" si="100"/>
        <v>大专</v>
      </c>
      <c r="G215" s="8" t="str">
        <f>"湖北荆楚理工学院"</f>
        <v>湖北荆楚理工学院</v>
      </c>
      <c r="H215" s="8" t="str">
        <f>"心理咨询"</f>
        <v>心理咨询</v>
      </c>
      <c r="I215" s="8" t="str">
        <f t="shared" si="93"/>
        <v>幼儿园教师资格</v>
      </c>
      <c r="J215" s="8" t="str">
        <f>"20134601012000205"</f>
        <v>20134601012000205</v>
      </c>
      <c r="K215" s="9"/>
    </row>
    <row r="216" spans="1:11" s="1" customFormat="1" ht="30" customHeight="1">
      <c r="A216" s="7">
        <v>213</v>
      </c>
      <c r="B216" s="8" t="str">
        <f>"23132020061018380425351"</f>
        <v>23132020061018380425351</v>
      </c>
      <c r="C216" s="8" t="s">
        <v>15</v>
      </c>
      <c r="D216" s="8" t="str">
        <f>"陈小棉"</f>
        <v>陈小棉</v>
      </c>
      <c r="E216" s="8" t="str">
        <f t="shared" si="88"/>
        <v>女</v>
      </c>
      <c r="F216" s="8" t="str">
        <f t="shared" si="100"/>
        <v>大专</v>
      </c>
      <c r="G216" s="8" t="str">
        <f>"琼台师范高等专科学校"</f>
        <v>琼台师范高等专科学校</v>
      </c>
      <c r="H216" s="8" t="str">
        <f t="shared" si="98"/>
        <v>语文教育</v>
      </c>
      <c r="I216" s="8" t="str">
        <f t="shared" si="93"/>
        <v>幼儿园教师资格</v>
      </c>
      <c r="J216" s="8" t="str">
        <f>"20194602612000168"</f>
        <v>20194602612000168</v>
      </c>
      <c r="K216" s="9"/>
    </row>
    <row r="217" spans="1:11" s="1" customFormat="1" ht="30" customHeight="1">
      <c r="A217" s="7">
        <v>214</v>
      </c>
      <c r="B217" s="8" t="str">
        <f>"23132020061021140325356"</f>
        <v>23132020061021140325356</v>
      </c>
      <c r="C217" s="8" t="s">
        <v>15</v>
      </c>
      <c r="D217" s="8" t="str">
        <f>"吴秋青"</f>
        <v>吴秋青</v>
      </c>
      <c r="E217" s="8" t="str">
        <f t="shared" si="88"/>
        <v>女</v>
      </c>
      <c r="F217" s="8" t="str">
        <f>"本科"</f>
        <v>本科</v>
      </c>
      <c r="G217" s="8" t="str">
        <f t="shared" si="99"/>
        <v>海南师范大学</v>
      </c>
      <c r="H217" s="8" t="str">
        <f aca="true" t="shared" si="101" ref="H217:H219">"学前教育"</f>
        <v>学前教育</v>
      </c>
      <c r="I217" s="8" t="str">
        <f t="shared" si="93"/>
        <v>幼儿园教师资格</v>
      </c>
      <c r="J217" s="8" t="str">
        <f>"20194600512000139"</f>
        <v>20194600512000139</v>
      </c>
      <c r="K217" s="9"/>
    </row>
    <row r="218" spans="1:11" s="1" customFormat="1" ht="30" customHeight="1">
      <c r="A218" s="7">
        <v>215</v>
      </c>
      <c r="B218" s="8" t="str">
        <f>"23132020061022015825360"</f>
        <v>23132020061022015825360</v>
      </c>
      <c r="C218" s="8" t="s">
        <v>15</v>
      </c>
      <c r="D218" s="8" t="str">
        <f>"王海燕"</f>
        <v>王海燕</v>
      </c>
      <c r="E218" s="8" t="str">
        <f t="shared" si="88"/>
        <v>女</v>
      </c>
      <c r="F218" s="8" t="str">
        <f aca="true" t="shared" si="102" ref="F218:F221">"大专"</f>
        <v>大专</v>
      </c>
      <c r="G218" s="8" t="str">
        <f t="shared" si="99"/>
        <v>海南师范大学</v>
      </c>
      <c r="H218" s="8" t="str">
        <f t="shared" si="101"/>
        <v>学前教育</v>
      </c>
      <c r="I218" s="8" t="str">
        <f t="shared" si="93"/>
        <v>幼儿园教师资格</v>
      </c>
      <c r="J218" s="8" t="str">
        <f>"20134601412000019"</f>
        <v>20134601412000019</v>
      </c>
      <c r="K218" s="9"/>
    </row>
    <row r="219" spans="1:11" s="1" customFormat="1" ht="30" customHeight="1">
      <c r="A219" s="7">
        <v>216</v>
      </c>
      <c r="B219" s="8" t="str">
        <f>"23132020061022092925361"</f>
        <v>23132020061022092925361</v>
      </c>
      <c r="C219" s="8" t="s">
        <v>15</v>
      </c>
      <c r="D219" s="8" t="str">
        <f>"闵红静"</f>
        <v>闵红静</v>
      </c>
      <c r="E219" s="8" t="str">
        <f t="shared" si="88"/>
        <v>女</v>
      </c>
      <c r="F219" s="8" t="str">
        <f t="shared" si="102"/>
        <v>大专</v>
      </c>
      <c r="G219" s="8" t="str">
        <f t="shared" si="99"/>
        <v>海南师范大学</v>
      </c>
      <c r="H219" s="8" t="str">
        <f t="shared" si="101"/>
        <v>学前教育</v>
      </c>
      <c r="I219" s="8" t="str">
        <f t="shared" si="93"/>
        <v>幼儿园教师资格</v>
      </c>
      <c r="J219" s="8" t="str">
        <f>"20064206711000146"</f>
        <v>20064206711000146</v>
      </c>
      <c r="K219" s="9"/>
    </row>
    <row r="220" spans="1:11" s="1" customFormat="1" ht="30" customHeight="1">
      <c r="A220" s="7">
        <v>217</v>
      </c>
      <c r="B220" s="8" t="str">
        <f>"23132020061022181925363"</f>
        <v>23132020061022181925363</v>
      </c>
      <c r="C220" s="8" t="s">
        <v>15</v>
      </c>
      <c r="D220" s="8" t="str">
        <f>"韦全琴"</f>
        <v>韦全琴</v>
      </c>
      <c r="E220" s="8" t="str">
        <f t="shared" si="88"/>
        <v>女</v>
      </c>
      <c r="F220" s="8" t="str">
        <f t="shared" si="102"/>
        <v>大专</v>
      </c>
      <c r="G220" s="8" t="str">
        <f>"琼台师范高等专科学校"</f>
        <v>琼台师范高等专科学校</v>
      </c>
      <c r="H220" s="8" t="str">
        <f>"信息技术"</f>
        <v>信息技术</v>
      </c>
      <c r="I220" s="8" t="str">
        <f t="shared" si="93"/>
        <v>幼儿园教师资格</v>
      </c>
      <c r="J220" s="8" t="str">
        <f>"20194601812000106"</f>
        <v>20194601812000106</v>
      </c>
      <c r="K220" s="9"/>
    </row>
    <row r="221" spans="1:11" s="1" customFormat="1" ht="30" customHeight="1">
      <c r="A221" s="7">
        <v>218</v>
      </c>
      <c r="B221" s="8" t="str">
        <f>"23132020061112321125373"</f>
        <v>23132020061112321125373</v>
      </c>
      <c r="C221" s="8" t="s">
        <v>15</v>
      </c>
      <c r="D221" s="8" t="str">
        <f>"唐世天"</f>
        <v>唐世天</v>
      </c>
      <c r="E221" s="8" t="str">
        <f t="shared" si="88"/>
        <v>女</v>
      </c>
      <c r="F221" s="8" t="str">
        <f t="shared" si="102"/>
        <v>大专</v>
      </c>
      <c r="G221" s="8" t="str">
        <f aca="true" t="shared" si="103" ref="G221:G226">"海南师范大学"</f>
        <v>海南师范大学</v>
      </c>
      <c r="H221" s="8" t="str">
        <f aca="true" t="shared" si="104" ref="H221:H226">"学前教育"</f>
        <v>学前教育</v>
      </c>
      <c r="I221" s="8" t="str">
        <f t="shared" si="93"/>
        <v>幼儿园教师资格</v>
      </c>
      <c r="J221" s="8" t="str">
        <f>"20134600112003099"</f>
        <v>20134600112003099</v>
      </c>
      <c r="K221" s="9"/>
    </row>
    <row r="222" spans="1:11" s="1" customFormat="1" ht="30" customHeight="1">
      <c r="A222" s="7">
        <v>219</v>
      </c>
      <c r="B222" s="8" t="str">
        <f>"23132020061122381925383"</f>
        <v>23132020061122381925383</v>
      </c>
      <c r="C222" s="8" t="s">
        <v>15</v>
      </c>
      <c r="D222" s="8" t="str">
        <f>"文云品"</f>
        <v>文云品</v>
      </c>
      <c r="E222" s="8" t="str">
        <f t="shared" si="88"/>
        <v>女</v>
      </c>
      <c r="F222" s="8" t="str">
        <f>"本科"</f>
        <v>本科</v>
      </c>
      <c r="G222" s="8" t="str">
        <f t="shared" si="103"/>
        <v>海南师范大学</v>
      </c>
      <c r="H222" s="8" t="str">
        <f t="shared" si="104"/>
        <v>学前教育</v>
      </c>
      <c r="I222" s="8" t="str">
        <f t="shared" si="93"/>
        <v>幼儿园教师资格</v>
      </c>
      <c r="J222" s="8" t="str">
        <f>"20164600412000336"</f>
        <v>20164600412000336</v>
      </c>
      <c r="K222" s="9"/>
    </row>
    <row r="223" spans="1:11" s="1" customFormat="1" ht="30" customHeight="1">
      <c r="A223" s="7">
        <v>220</v>
      </c>
      <c r="B223" s="8" t="str">
        <f>"23132020061123362125386"</f>
        <v>23132020061123362125386</v>
      </c>
      <c r="C223" s="8" t="s">
        <v>15</v>
      </c>
      <c r="D223" s="8" t="str">
        <f>"符小雯"</f>
        <v>符小雯</v>
      </c>
      <c r="E223" s="8" t="str">
        <f t="shared" si="88"/>
        <v>女</v>
      </c>
      <c r="F223" s="8" t="str">
        <f aca="true" t="shared" si="105" ref="F223:F225">"大专"</f>
        <v>大专</v>
      </c>
      <c r="G223" s="8" t="str">
        <f>"琼台师范高等专科学校"</f>
        <v>琼台师范高等专科学校</v>
      </c>
      <c r="H223" s="8" t="str">
        <f>"音乐教育"</f>
        <v>音乐教育</v>
      </c>
      <c r="I223" s="8" t="str">
        <f t="shared" si="93"/>
        <v>幼儿园教师资格</v>
      </c>
      <c r="J223" s="8" t="str">
        <f>"20124600712000049"</f>
        <v>20124600712000049</v>
      </c>
      <c r="K223" s="9"/>
    </row>
    <row r="224" spans="1:11" s="1" customFormat="1" ht="30" customHeight="1">
      <c r="A224" s="7">
        <v>221</v>
      </c>
      <c r="B224" s="8" t="str">
        <f>"23132020061210183625391"</f>
        <v>23132020061210183625391</v>
      </c>
      <c r="C224" s="8" t="s">
        <v>15</v>
      </c>
      <c r="D224" s="8" t="str">
        <f>"高薇薇"</f>
        <v>高薇薇</v>
      </c>
      <c r="E224" s="8" t="str">
        <f t="shared" si="88"/>
        <v>女</v>
      </c>
      <c r="F224" s="8" t="str">
        <f t="shared" si="105"/>
        <v>大专</v>
      </c>
      <c r="G224" s="8" t="str">
        <f>"哈尔滨师范大学"</f>
        <v>哈尔滨师范大学</v>
      </c>
      <c r="H224" s="8" t="str">
        <f>"语文教育"</f>
        <v>语文教育</v>
      </c>
      <c r="I224" s="8" t="str">
        <f t="shared" si="93"/>
        <v>幼儿园教师资格</v>
      </c>
      <c r="J224" s="8" t="str">
        <f>"20184600412001296"</f>
        <v>20184600412001296</v>
      </c>
      <c r="K224" s="9"/>
    </row>
    <row r="225" spans="1:11" s="1" customFormat="1" ht="30" customHeight="1">
      <c r="A225" s="7">
        <v>222</v>
      </c>
      <c r="B225" s="8" t="str">
        <f>"23132020061300093325404"</f>
        <v>23132020061300093325404</v>
      </c>
      <c r="C225" s="8" t="s">
        <v>15</v>
      </c>
      <c r="D225" s="8" t="str">
        <f>"王友红"</f>
        <v>王友红</v>
      </c>
      <c r="E225" s="8" t="str">
        <f t="shared" si="88"/>
        <v>女</v>
      </c>
      <c r="F225" s="8" t="str">
        <f t="shared" si="105"/>
        <v>大专</v>
      </c>
      <c r="G225" s="8" t="str">
        <f t="shared" si="103"/>
        <v>海南师范大学</v>
      </c>
      <c r="H225" s="8" t="str">
        <f t="shared" si="104"/>
        <v>学前教育</v>
      </c>
      <c r="I225" s="8" t="str">
        <f t="shared" si="93"/>
        <v>幼儿园教师资格</v>
      </c>
      <c r="J225" s="8" t="str">
        <f>"20054601511000212"</f>
        <v>20054601511000212</v>
      </c>
      <c r="K225" s="9"/>
    </row>
    <row r="226" spans="1:11" s="1" customFormat="1" ht="30" customHeight="1">
      <c r="A226" s="7">
        <v>223</v>
      </c>
      <c r="B226" s="8" t="str">
        <f>"23132020061307085325405"</f>
        <v>23132020061307085325405</v>
      </c>
      <c r="C226" s="8" t="s">
        <v>15</v>
      </c>
      <c r="D226" s="8" t="str">
        <f>"陈霞"</f>
        <v>陈霞</v>
      </c>
      <c r="E226" s="8" t="str">
        <f t="shared" si="88"/>
        <v>女</v>
      </c>
      <c r="F226" s="8" t="str">
        <f>"本科"</f>
        <v>本科</v>
      </c>
      <c r="G226" s="8" t="str">
        <f t="shared" si="103"/>
        <v>海南师范大学</v>
      </c>
      <c r="H226" s="8" t="str">
        <f t="shared" si="104"/>
        <v>学前教育</v>
      </c>
      <c r="I226" s="8" t="str">
        <f t="shared" si="93"/>
        <v>幼儿园教师资格</v>
      </c>
      <c r="J226" s="8" t="str">
        <f>"20154601812000037"</f>
        <v>20154601812000037</v>
      </c>
      <c r="K226" s="9"/>
    </row>
    <row r="227" spans="1:11" s="1" customFormat="1" ht="30" customHeight="1">
      <c r="A227" s="7">
        <v>224</v>
      </c>
      <c r="B227" s="8" t="str">
        <f>"23132020061311123725407"</f>
        <v>23132020061311123725407</v>
      </c>
      <c r="C227" s="8" t="s">
        <v>15</v>
      </c>
      <c r="D227" s="8" t="str">
        <f>"罗洪茜"</f>
        <v>罗洪茜</v>
      </c>
      <c r="E227" s="8" t="str">
        <f t="shared" si="88"/>
        <v>女</v>
      </c>
      <c r="F227" s="8" t="str">
        <f aca="true" t="shared" si="106" ref="F227:F232">"大专"</f>
        <v>大专</v>
      </c>
      <c r="G227" s="8" t="str">
        <f>"北京师范大学"</f>
        <v>北京师范大学</v>
      </c>
      <c r="H227" s="8" t="str">
        <f>"教育管理"</f>
        <v>教育管理</v>
      </c>
      <c r="I227" s="8" t="str">
        <f t="shared" si="93"/>
        <v>幼儿园教师资格</v>
      </c>
      <c r="J227" s="8" t="str">
        <f>"20124600512000024"</f>
        <v>20124600512000024</v>
      </c>
      <c r="K227" s="9"/>
    </row>
    <row r="228" spans="1:11" s="1" customFormat="1" ht="30" customHeight="1">
      <c r="A228" s="7">
        <v>225</v>
      </c>
      <c r="B228" s="8" t="str">
        <f>"23132020061311493325409"</f>
        <v>23132020061311493325409</v>
      </c>
      <c r="C228" s="8" t="s">
        <v>15</v>
      </c>
      <c r="D228" s="8" t="str">
        <f>"张靖曼"</f>
        <v>张靖曼</v>
      </c>
      <c r="E228" s="8" t="str">
        <f t="shared" si="88"/>
        <v>女</v>
      </c>
      <c r="F228" s="8" t="str">
        <f t="shared" si="106"/>
        <v>大专</v>
      </c>
      <c r="G228" s="8" t="str">
        <f>"琼台师范学院"</f>
        <v>琼台师范学院</v>
      </c>
      <c r="H228" s="8" t="str">
        <f>"学前教育"</f>
        <v>学前教育</v>
      </c>
      <c r="I228" s="8" t="str">
        <f t="shared" si="93"/>
        <v>幼儿园教师资格</v>
      </c>
      <c r="J228" s="8" t="str">
        <f>"20164600412000361"</f>
        <v>20164600412000361</v>
      </c>
      <c r="K228" s="9"/>
    </row>
    <row r="229" spans="1:11" s="1" customFormat="1" ht="30" customHeight="1">
      <c r="A229" s="7">
        <v>226</v>
      </c>
      <c r="B229" s="8" t="str">
        <f>"23132020061316522625413"</f>
        <v>23132020061316522625413</v>
      </c>
      <c r="C229" s="8" t="s">
        <v>15</v>
      </c>
      <c r="D229" s="8" t="str">
        <f>"符芳云"</f>
        <v>符芳云</v>
      </c>
      <c r="E229" s="8" t="str">
        <f t="shared" si="88"/>
        <v>女</v>
      </c>
      <c r="F229" s="8" t="str">
        <f>"本科"</f>
        <v>本科</v>
      </c>
      <c r="G229" s="8" t="str">
        <f>"海南师范大学"</f>
        <v>海南师范大学</v>
      </c>
      <c r="H229" s="8" t="str">
        <f>"小学教育"</f>
        <v>小学教育</v>
      </c>
      <c r="I229" s="8" t="str">
        <f t="shared" si="93"/>
        <v>幼儿园教师资格</v>
      </c>
      <c r="J229" s="8" t="str">
        <f>"20044600111004291"</f>
        <v>20044600111004291</v>
      </c>
      <c r="K229" s="9"/>
    </row>
    <row r="230" spans="1:11" s="1" customFormat="1" ht="30" customHeight="1">
      <c r="A230" s="7">
        <v>227</v>
      </c>
      <c r="B230" s="8" t="str">
        <f>"23132020061318290425415"</f>
        <v>23132020061318290425415</v>
      </c>
      <c r="C230" s="8" t="s">
        <v>15</v>
      </c>
      <c r="D230" s="8" t="str">
        <f>"陈蕾"</f>
        <v>陈蕾</v>
      </c>
      <c r="E230" s="8" t="str">
        <f t="shared" si="88"/>
        <v>女</v>
      </c>
      <c r="F230" s="8" t="str">
        <f t="shared" si="106"/>
        <v>大专</v>
      </c>
      <c r="G230" s="8" t="str">
        <f>"琼台师范"</f>
        <v>琼台师范</v>
      </c>
      <c r="H230" s="8" t="str">
        <f>"初等教育"</f>
        <v>初等教育</v>
      </c>
      <c r="I230" s="8" t="str">
        <f t="shared" si="93"/>
        <v>幼儿园教师资格</v>
      </c>
      <c r="J230" s="8" t="str">
        <f>"20184601412000044"</f>
        <v>20184601412000044</v>
      </c>
      <c r="K230" s="9"/>
    </row>
    <row r="231" spans="1:11" s="1" customFormat="1" ht="30" customHeight="1">
      <c r="A231" s="7">
        <v>228</v>
      </c>
      <c r="B231" s="8" t="str">
        <f>"23132020061321195025420"</f>
        <v>23132020061321195025420</v>
      </c>
      <c r="C231" s="8" t="s">
        <v>15</v>
      </c>
      <c r="D231" s="8" t="str">
        <f>"王燕归"</f>
        <v>王燕归</v>
      </c>
      <c r="E231" s="8" t="str">
        <f t="shared" si="88"/>
        <v>女</v>
      </c>
      <c r="F231" s="8" t="str">
        <f t="shared" si="106"/>
        <v>大专</v>
      </c>
      <c r="G231" s="8" t="str">
        <f>"琼州学院"</f>
        <v>琼州学院</v>
      </c>
      <c r="H231" s="8" t="str">
        <f>"学前教育专业"</f>
        <v>学前教育专业</v>
      </c>
      <c r="I231" s="8" t="str">
        <f t="shared" si="93"/>
        <v>幼儿园教师资格</v>
      </c>
      <c r="J231" s="8" t="str">
        <f>"20174601412000024"</f>
        <v>20174601412000024</v>
      </c>
      <c r="K231" s="9"/>
    </row>
    <row r="232" spans="1:11" s="1" customFormat="1" ht="30" customHeight="1">
      <c r="A232" s="7">
        <v>229</v>
      </c>
      <c r="B232" s="8" t="str">
        <f>"23132020061414512525437"</f>
        <v>23132020061414512525437</v>
      </c>
      <c r="C232" s="8" t="s">
        <v>15</v>
      </c>
      <c r="D232" s="8" t="str">
        <f>"谢少娟"</f>
        <v>谢少娟</v>
      </c>
      <c r="E232" s="8" t="str">
        <f t="shared" si="88"/>
        <v>女</v>
      </c>
      <c r="F232" s="8" t="str">
        <f t="shared" si="106"/>
        <v>大专</v>
      </c>
      <c r="G232" s="8" t="str">
        <f>"琼台师范学院"</f>
        <v>琼台师范学院</v>
      </c>
      <c r="H232" s="8" t="str">
        <f>"学前教育"</f>
        <v>学前教育</v>
      </c>
      <c r="I232" s="8" t="str">
        <f t="shared" si="93"/>
        <v>幼儿园教师资格</v>
      </c>
      <c r="J232" s="8" t="str">
        <f>"20174601612000039"</f>
        <v>20174601612000039</v>
      </c>
      <c r="K232" s="9"/>
    </row>
  </sheetData>
  <sheetProtection/>
  <mergeCells count="2">
    <mergeCell ref="A1:K1"/>
    <mergeCell ref="A2:K2"/>
  </mergeCells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¥嗨$</cp:lastModifiedBy>
  <dcterms:created xsi:type="dcterms:W3CDTF">2020-06-19T08:13:23Z</dcterms:created>
  <dcterms:modified xsi:type="dcterms:W3CDTF">2020-06-22T09:25:35Z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