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281_5ed5cbf8cfb70" sheetId="1" r:id="rId1"/>
  </sheets>
  <definedNames>
    <definedName name="_xlnm._FilterDatabase" localSheetId="0" hidden="1">'2281_5ed5cbf8cfb70'!$A$2:$H$453</definedName>
  </definedNames>
  <calcPr calcId="144525"/>
</workbook>
</file>

<file path=xl/sharedStrings.xml><?xml version="1.0" encoding="utf-8"?>
<sst xmlns="http://schemas.openxmlformats.org/spreadsheetml/2006/main" count="460" uniqueCount="11">
  <si>
    <r>
      <rPr>
        <sz val="18"/>
        <color theme="1"/>
        <rFont val="方正小标宋简体"/>
        <charset val="134"/>
      </rPr>
      <t>中共三亚市委直属机关工作委员会2020年公开招聘下属事业单位
工作人员通过资格初</t>
    </r>
    <r>
      <rPr>
        <sz val="18"/>
        <rFont val="方正小标宋简体"/>
        <charset val="134"/>
      </rPr>
      <t>审进入笔试人</t>
    </r>
    <r>
      <rPr>
        <sz val="18"/>
        <color theme="1"/>
        <rFont val="方正小标宋简体"/>
        <charset val="134"/>
      </rPr>
      <t>员名单</t>
    </r>
  </si>
  <si>
    <t>序号</t>
  </si>
  <si>
    <t>报考号</t>
  </si>
  <si>
    <t>报考岗位</t>
  </si>
  <si>
    <t>姓名</t>
  </si>
  <si>
    <t>性别</t>
  </si>
  <si>
    <t>出生年月</t>
  </si>
  <si>
    <t>学历</t>
  </si>
  <si>
    <t>学位</t>
  </si>
  <si>
    <t>0101_党政岗</t>
  </si>
  <si>
    <t>0102_综合岗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</si>
</sst>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3"/>
  <sheetViews>
    <sheetView tabSelected="1" topLeftCell="A406" workbookViewId="0">
      <selection activeCell="M8" sqref="M8"/>
    </sheetView>
  </sheetViews>
  <sheetFormatPr defaultColWidth="9" defaultRowHeight="13.5" outlineLevelCol="7"/>
  <cols>
    <col min="1" max="1" width="6.5" style="1" customWidth="1"/>
    <col min="2" max="2" width="25.125" style="2" customWidth="1"/>
    <col min="3" max="3" width="13.7583333333333" style="2" customWidth="1"/>
    <col min="4" max="4" width="9" style="2"/>
    <col min="5" max="5" width="7.125" style="2" customWidth="1"/>
    <col min="6" max="6" width="14.125" style="2" customWidth="1"/>
    <col min="7" max="8" width="9" style="2"/>
    <col min="9" max="16384" width="9" style="1"/>
  </cols>
  <sheetData>
    <row r="1" ht="5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>
        <v>1</v>
      </c>
      <c r="B3" s="8" t="str">
        <f>"22812020042009053521580"</f>
        <v>22812020042009053521580</v>
      </c>
      <c r="C3" s="8" t="s">
        <v>9</v>
      </c>
      <c r="D3" s="8" t="str">
        <f>"官慧珍"</f>
        <v>官慧珍</v>
      </c>
      <c r="E3" s="8" t="str">
        <f t="shared" ref="E3:E12" si="0">"女"</f>
        <v>女</v>
      </c>
      <c r="F3" s="8" t="str">
        <f>"1995-10-05"</f>
        <v>1995-10-05</v>
      </c>
      <c r="G3" s="8" t="str">
        <f t="shared" ref="G3:G7" si="1">"本科"</f>
        <v>本科</v>
      </c>
      <c r="H3" s="8" t="str">
        <f t="shared" ref="H3:H7" si="2">"学士"</f>
        <v>学士</v>
      </c>
    </row>
    <row r="4" ht="20" customHeight="1" spans="1:8">
      <c r="A4" s="7">
        <v>2</v>
      </c>
      <c r="B4" s="8" t="str">
        <f>"22812020042009390121607"</f>
        <v>22812020042009390121607</v>
      </c>
      <c r="C4" s="8" t="s">
        <v>9</v>
      </c>
      <c r="D4" s="8" t="str">
        <f>"陈寒"</f>
        <v>陈寒</v>
      </c>
      <c r="E4" s="8" t="str">
        <f t="shared" si="0"/>
        <v>女</v>
      </c>
      <c r="F4" s="8" t="str">
        <f>"1990-06-02"</f>
        <v>1990-06-02</v>
      </c>
      <c r="G4" s="8" t="str">
        <f t="shared" si="1"/>
        <v>本科</v>
      </c>
      <c r="H4" s="8" t="str">
        <f t="shared" si="2"/>
        <v>学士</v>
      </c>
    </row>
    <row r="5" ht="20" customHeight="1" spans="1:8">
      <c r="A5" s="7">
        <v>3</v>
      </c>
      <c r="B5" s="8" t="str">
        <f>"22812020042010510121655"</f>
        <v>22812020042010510121655</v>
      </c>
      <c r="C5" s="8" t="s">
        <v>9</v>
      </c>
      <c r="D5" s="8" t="str">
        <f>"陈夏"</f>
        <v>陈夏</v>
      </c>
      <c r="E5" s="8" t="str">
        <f t="shared" si="0"/>
        <v>女</v>
      </c>
      <c r="F5" s="8" t="str">
        <f>"1992-04-13"</f>
        <v>1992-04-13</v>
      </c>
      <c r="G5" s="8" t="str">
        <f t="shared" si="1"/>
        <v>本科</v>
      </c>
      <c r="H5" s="8" t="str">
        <f t="shared" si="2"/>
        <v>学士</v>
      </c>
    </row>
    <row r="6" ht="20" customHeight="1" spans="1:8">
      <c r="A6" s="7">
        <v>4</v>
      </c>
      <c r="B6" s="8" t="str">
        <f>"22812020042010535321663"</f>
        <v>22812020042010535321663</v>
      </c>
      <c r="C6" s="8" t="s">
        <v>9</v>
      </c>
      <c r="D6" s="8" t="str">
        <f>"刘超"</f>
        <v>刘超</v>
      </c>
      <c r="E6" s="8" t="str">
        <f>"男"</f>
        <v>男</v>
      </c>
      <c r="F6" s="8" t="str">
        <f>"1991-05-08"</f>
        <v>1991-05-08</v>
      </c>
      <c r="G6" s="8" t="str">
        <f t="shared" ref="G6:G10" si="3">"研究生"</f>
        <v>研究生</v>
      </c>
      <c r="H6" s="8" t="str">
        <f t="shared" ref="H6:H10" si="4">"硕士"</f>
        <v>硕士</v>
      </c>
    </row>
    <row r="7" ht="20" customHeight="1" spans="1:8">
      <c r="A7" s="7">
        <v>5</v>
      </c>
      <c r="B7" s="8" t="str">
        <f>"22812020042012060221696"</f>
        <v>22812020042012060221696</v>
      </c>
      <c r="C7" s="8" t="s">
        <v>9</v>
      </c>
      <c r="D7" s="8" t="str">
        <f>"吴燕玲"</f>
        <v>吴燕玲</v>
      </c>
      <c r="E7" s="8" t="str">
        <f t="shared" si="0"/>
        <v>女</v>
      </c>
      <c r="F7" s="8" t="str">
        <f>"1997-08-30"</f>
        <v>1997-08-30</v>
      </c>
      <c r="G7" s="8" t="str">
        <f t="shared" si="1"/>
        <v>本科</v>
      </c>
      <c r="H7" s="8" t="str">
        <f t="shared" si="2"/>
        <v>学士</v>
      </c>
    </row>
    <row r="8" ht="20" customHeight="1" spans="1:8">
      <c r="A8" s="7">
        <v>6</v>
      </c>
      <c r="B8" s="8" t="str">
        <f>"22812020042016061021758"</f>
        <v>22812020042016061021758</v>
      </c>
      <c r="C8" s="8" t="s">
        <v>9</v>
      </c>
      <c r="D8" s="8" t="str">
        <f>"方娉"</f>
        <v>方娉</v>
      </c>
      <c r="E8" s="8" t="str">
        <f t="shared" si="0"/>
        <v>女</v>
      </c>
      <c r="F8" s="8" t="str">
        <f>"1988-11-27"</f>
        <v>1988-11-27</v>
      </c>
      <c r="G8" s="8" t="str">
        <f t="shared" si="3"/>
        <v>研究生</v>
      </c>
      <c r="H8" s="8" t="str">
        <f t="shared" si="4"/>
        <v>硕士</v>
      </c>
    </row>
    <row r="9" ht="20" customHeight="1" spans="1:8">
      <c r="A9" s="7">
        <v>7</v>
      </c>
      <c r="B9" s="8" t="str">
        <f>"22812020042016592621780"</f>
        <v>22812020042016592621780</v>
      </c>
      <c r="C9" s="8" t="s">
        <v>9</v>
      </c>
      <c r="D9" s="8" t="str">
        <f>"杨思思"</f>
        <v>杨思思</v>
      </c>
      <c r="E9" s="8" t="str">
        <f t="shared" si="0"/>
        <v>女</v>
      </c>
      <c r="F9" s="8" t="str">
        <f>"1994-10-25"</f>
        <v>1994-10-25</v>
      </c>
      <c r="G9" s="8" t="str">
        <f t="shared" ref="G9:G14" si="5">"本科"</f>
        <v>本科</v>
      </c>
      <c r="H9" s="8" t="str">
        <f t="shared" ref="H9:H14" si="6">"学士"</f>
        <v>学士</v>
      </c>
    </row>
    <row r="10" ht="20" customHeight="1" spans="1:8">
      <c r="A10" s="7">
        <v>8</v>
      </c>
      <c r="B10" s="8" t="str">
        <f>"22812020042018005121799"</f>
        <v>22812020042018005121799</v>
      </c>
      <c r="C10" s="8" t="s">
        <v>9</v>
      </c>
      <c r="D10" s="8" t="str">
        <f>"王恬"</f>
        <v>王恬</v>
      </c>
      <c r="E10" s="8" t="str">
        <f t="shared" si="0"/>
        <v>女</v>
      </c>
      <c r="F10" s="8" t="str">
        <f>"1992-10-01"</f>
        <v>1992-10-01</v>
      </c>
      <c r="G10" s="8" t="str">
        <f t="shared" si="3"/>
        <v>研究生</v>
      </c>
      <c r="H10" s="8" t="str">
        <f t="shared" si="4"/>
        <v>硕士</v>
      </c>
    </row>
    <row r="11" ht="20" customHeight="1" spans="1:8">
      <c r="A11" s="7">
        <v>9</v>
      </c>
      <c r="B11" s="8" t="str">
        <f>"22812020042020091921830"</f>
        <v>22812020042020091921830</v>
      </c>
      <c r="C11" s="8" t="s">
        <v>9</v>
      </c>
      <c r="D11" s="8" t="str">
        <f>"徐春丽"</f>
        <v>徐春丽</v>
      </c>
      <c r="E11" s="8" t="str">
        <f t="shared" si="0"/>
        <v>女</v>
      </c>
      <c r="F11" s="8" t="str">
        <f>"1997-05-25"</f>
        <v>1997-05-25</v>
      </c>
      <c r="G11" s="8" t="str">
        <f t="shared" si="5"/>
        <v>本科</v>
      </c>
      <c r="H11" s="8" t="str">
        <f t="shared" si="6"/>
        <v>学士</v>
      </c>
    </row>
    <row r="12" ht="20" customHeight="1" spans="1:8">
      <c r="A12" s="7">
        <v>10</v>
      </c>
      <c r="B12" s="8" t="str">
        <f>"22812020042021195821855"</f>
        <v>22812020042021195821855</v>
      </c>
      <c r="C12" s="8" t="s">
        <v>9</v>
      </c>
      <c r="D12" s="8" t="str">
        <f>"俞娟娟"</f>
        <v>俞娟娟</v>
      </c>
      <c r="E12" s="8" t="str">
        <f t="shared" si="0"/>
        <v>女</v>
      </c>
      <c r="F12" s="8" t="str">
        <f>"1987-02-09"</f>
        <v>1987-02-09</v>
      </c>
      <c r="G12" s="8" t="str">
        <f t="shared" si="5"/>
        <v>本科</v>
      </c>
      <c r="H12" s="8" t="str">
        <f t="shared" si="6"/>
        <v>学士</v>
      </c>
    </row>
    <row r="13" ht="20" customHeight="1" spans="1:8">
      <c r="A13" s="7">
        <v>11</v>
      </c>
      <c r="B13" s="8" t="str">
        <f>"22812020042021591421869"</f>
        <v>22812020042021591421869</v>
      </c>
      <c r="C13" s="8" t="s">
        <v>9</v>
      </c>
      <c r="D13" s="8" t="str">
        <f>"姚剑辉"</f>
        <v>姚剑辉</v>
      </c>
      <c r="E13" s="8" t="str">
        <f>"男"</f>
        <v>男</v>
      </c>
      <c r="F13" s="8" t="str">
        <f>"1993-04-03"</f>
        <v>1993-04-03</v>
      </c>
      <c r="G13" s="8" t="str">
        <f t="shared" si="5"/>
        <v>本科</v>
      </c>
      <c r="H13" s="8" t="str">
        <f t="shared" si="6"/>
        <v>学士</v>
      </c>
    </row>
    <row r="14" ht="20" customHeight="1" spans="1:8">
      <c r="A14" s="7">
        <v>12</v>
      </c>
      <c r="B14" s="8" t="str">
        <f>"22812020042022113721872"</f>
        <v>22812020042022113721872</v>
      </c>
      <c r="C14" s="8" t="s">
        <v>9</v>
      </c>
      <c r="D14" s="8" t="str">
        <f>"邓晓敏"</f>
        <v>邓晓敏</v>
      </c>
      <c r="E14" s="8" t="str">
        <f t="shared" ref="E14:E21" si="7">"女"</f>
        <v>女</v>
      </c>
      <c r="F14" s="8" t="str">
        <f>"1993-06-08"</f>
        <v>1993-06-08</v>
      </c>
      <c r="G14" s="8" t="str">
        <f t="shared" si="5"/>
        <v>本科</v>
      </c>
      <c r="H14" s="8" t="str">
        <f t="shared" si="6"/>
        <v>学士</v>
      </c>
    </row>
    <row r="15" ht="20" customHeight="1" spans="1:8">
      <c r="A15" s="7">
        <v>13</v>
      </c>
      <c r="B15" s="8" t="str">
        <f>"22812020042108512421917"</f>
        <v>22812020042108512421917</v>
      </c>
      <c r="C15" s="8" t="s">
        <v>9</v>
      </c>
      <c r="D15" s="8" t="str">
        <f>"赵丽君"</f>
        <v>赵丽君</v>
      </c>
      <c r="E15" s="8" t="str">
        <f t="shared" si="7"/>
        <v>女</v>
      </c>
      <c r="F15" s="8" t="str">
        <f>"1984-12-07"</f>
        <v>1984-12-07</v>
      </c>
      <c r="G15" s="8" t="str">
        <f t="shared" ref="G15:G18" si="8">"研究生"</f>
        <v>研究生</v>
      </c>
      <c r="H15" s="8" t="str">
        <f t="shared" ref="H15:H18" si="9">"硕士"</f>
        <v>硕士</v>
      </c>
    </row>
    <row r="16" ht="20" customHeight="1" spans="1:8">
      <c r="A16" s="7">
        <v>14</v>
      </c>
      <c r="B16" s="8" t="str">
        <f>"22812020042109015021921"</f>
        <v>22812020042109015021921</v>
      </c>
      <c r="C16" s="8" t="s">
        <v>9</v>
      </c>
      <c r="D16" s="8" t="str">
        <f>"陈怡帆"</f>
        <v>陈怡帆</v>
      </c>
      <c r="E16" s="8" t="str">
        <f t="shared" si="7"/>
        <v>女</v>
      </c>
      <c r="F16" s="8" t="str">
        <f>"1996-03-18"</f>
        <v>1996-03-18</v>
      </c>
      <c r="G16" s="8" t="str">
        <f t="shared" si="8"/>
        <v>研究生</v>
      </c>
      <c r="H16" s="8" t="str">
        <f t="shared" si="9"/>
        <v>硕士</v>
      </c>
    </row>
    <row r="17" ht="20" customHeight="1" spans="1:8">
      <c r="A17" s="7">
        <v>15</v>
      </c>
      <c r="B17" s="8" t="str">
        <f>"22812020042111304221984"</f>
        <v>22812020042111304221984</v>
      </c>
      <c r="C17" s="8" t="s">
        <v>9</v>
      </c>
      <c r="D17" s="8" t="str">
        <f>"王芬媛"</f>
        <v>王芬媛</v>
      </c>
      <c r="E17" s="8" t="str">
        <f t="shared" si="7"/>
        <v>女</v>
      </c>
      <c r="F17" s="8" t="str">
        <f>"1990-04-05"</f>
        <v>1990-04-05</v>
      </c>
      <c r="G17" s="8" t="str">
        <f t="shared" ref="G17:G25" si="10">"本科"</f>
        <v>本科</v>
      </c>
      <c r="H17" s="8" t="str">
        <f t="shared" ref="H17:H25" si="11">"学士"</f>
        <v>学士</v>
      </c>
    </row>
    <row r="18" ht="20" customHeight="1" spans="1:8">
      <c r="A18" s="7">
        <v>16</v>
      </c>
      <c r="B18" s="8" t="str">
        <f>"22812020042114473022021"</f>
        <v>22812020042114473022021</v>
      </c>
      <c r="C18" s="8" t="s">
        <v>9</v>
      </c>
      <c r="D18" s="8" t="str">
        <f>"梁阿妹"</f>
        <v>梁阿妹</v>
      </c>
      <c r="E18" s="8" t="str">
        <f t="shared" si="7"/>
        <v>女</v>
      </c>
      <c r="F18" s="8" t="str">
        <f>"1993-11-01"</f>
        <v>1993-11-01</v>
      </c>
      <c r="G18" s="8" t="str">
        <f t="shared" si="8"/>
        <v>研究生</v>
      </c>
      <c r="H18" s="8" t="str">
        <f t="shared" si="9"/>
        <v>硕士</v>
      </c>
    </row>
    <row r="19" ht="20" customHeight="1" spans="1:8">
      <c r="A19" s="7">
        <v>17</v>
      </c>
      <c r="B19" s="8" t="str">
        <f>"22812020042116221622055"</f>
        <v>22812020042116221622055</v>
      </c>
      <c r="C19" s="8" t="s">
        <v>9</v>
      </c>
      <c r="D19" s="8" t="str">
        <f>"李朝静"</f>
        <v>李朝静</v>
      </c>
      <c r="E19" s="8" t="str">
        <f t="shared" si="7"/>
        <v>女</v>
      </c>
      <c r="F19" s="8" t="str">
        <f>"1996-05-18"</f>
        <v>1996-05-18</v>
      </c>
      <c r="G19" s="8" t="str">
        <f t="shared" si="10"/>
        <v>本科</v>
      </c>
      <c r="H19" s="8" t="str">
        <f t="shared" si="11"/>
        <v>学士</v>
      </c>
    </row>
    <row r="20" ht="20" customHeight="1" spans="1:8">
      <c r="A20" s="7">
        <v>18</v>
      </c>
      <c r="B20" s="8" t="str">
        <f>"22812020042210094222976"</f>
        <v>22812020042210094222976</v>
      </c>
      <c r="C20" s="8" t="s">
        <v>9</v>
      </c>
      <c r="D20" s="8" t="str">
        <f>"张肖云"</f>
        <v>张肖云</v>
      </c>
      <c r="E20" s="8" t="str">
        <f t="shared" si="7"/>
        <v>女</v>
      </c>
      <c r="F20" s="8" t="str">
        <f>"1995-08-07"</f>
        <v>1995-08-07</v>
      </c>
      <c r="G20" s="8" t="str">
        <f t="shared" si="10"/>
        <v>本科</v>
      </c>
      <c r="H20" s="8" t="str">
        <f t="shared" si="11"/>
        <v>学士</v>
      </c>
    </row>
    <row r="21" ht="20" customHeight="1" spans="1:8">
      <c r="A21" s="7">
        <v>19</v>
      </c>
      <c r="B21" s="8" t="str">
        <f>"22812020042211134422999"</f>
        <v>22812020042211134422999</v>
      </c>
      <c r="C21" s="8" t="s">
        <v>9</v>
      </c>
      <c r="D21" s="8" t="str">
        <f>"刘远星"</f>
        <v>刘远星</v>
      </c>
      <c r="E21" s="8" t="str">
        <f t="shared" si="7"/>
        <v>女</v>
      </c>
      <c r="F21" s="8" t="str">
        <f>"1994-01-02"</f>
        <v>1994-01-02</v>
      </c>
      <c r="G21" s="8" t="str">
        <f t="shared" si="10"/>
        <v>本科</v>
      </c>
      <c r="H21" s="8" t="str">
        <f t="shared" si="11"/>
        <v>学士</v>
      </c>
    </row>
    <row r="22" ht="20" customHeight="1" spans="1:8">
      <c r="A22" s="7">
        <v>20</v>
      </c>
      <c r="B22" s="8" t="str">
        <f>"22812020042213060523022"</f>
        <v>22812020042213060523022</v>
      </c>
      <c r="C22" s="8" t="s">
        <v>9</v>
      </c>
      <c r="D22" s="8" t="str">
        <f>"陆泽鑫"</f>
        <v>陆泽鑫</v>
      </c>
      <c r="E22" s="8" t="str">
        <f>"男"</f>
        <v>男</v>
      </c>
      <c r="F22" s="8" t="str">
        <f>"1993-10-22"</f>
        <v>1993-10-22</v>
      </c>
      <c r="G22" s="8" t="str">
        <f t="shared" si="10"/>
        <v>本科</v>
      </c>
      <c r="H22" s="8" t="str">
        <f t="shared" si="11"/>
        <v>学士</v>
      </c>
    </row>
    <row r="23" ht="20" customHeight="1" spans="1:8">
      <c r="A23" s="7">
        <v>21</v>
      </c>
      <c r="B23" s="8" t="str">
        <f>"22812020042217503823103"</f>
        <v>22812020042217503823103</v>
      </c>
      <c r="C23" s="8" t="s">
        <v>9</v>
      </c>
      <c r="D23" s="8" t="str">
        <f>"苏家娟"</f>
        <v>苏家娟</v>
      </c>
      <c r="E23" s="8" t="str">
        <f t="shared" ref="E23:E29" si="12">"女"</f>
        <v>女</v>
      </c>
      <c r="F23" s="8" t="str">
        <f>"1989-04-20"</f>
        <v>1989-04-20</v>
      </c>
      <c r="G23" s="8" t="str">
        <f t="shared" si="10"/>
        <v>本科</v>
      </c>
      <c r="H23" s="8" t="str">
        <f t="shared" si="11"/>
        <v>学士</v>
      </c>
    </row>
    <row r="24" ht="20" customHeight="1" spans="1:8">
      <c r="A24" s="7">
        <v>22</v>
      </c>
      <c r="B24" s="8" t="str">
        <f>"22812020042309570923182"</f>
        <v>22812020042309570923182</v>
      </c>
      <c r="C24" s="8" t="s">
        <v>9</v>
      </c>
      <c r="D24" s="8" t="str">
        <f>"陈元冲"</f>
        <v>陈元冲</v>
      </c>
      <c r="E24" s="8" t="str">
        <f>"男"</f>
        <v>男</v>
      </c>
      <c r="F24" s="8" t="str">
        <f>"1988-08-21"</f>
        <v>1988-08-21</v>
      </c>
      <c r="G24" s="8" t="str">
        <f t="shared" si="10"/>
        <v>本科</v>
      </c>
      <c r="H24" s="8" t="str">
        <f t="shared" si="11"/>
        <v>学士</v>
      </c>
    </row>
    <row r="25" ht="20" customHeight="1" spans="1:8">
      <c r="A25" s="7">
        <v>23</v>
      </c>
      <c r="B25" s="8" t="str">
        <f>"22812020042312023223222"</f>
        <v>22812020042312023223222</v>
      </c>
      <c r="C25" s="8" t="s">
        <v>9</v>
      </c>
      <c r="D25" s="8" t="str">
        <f>"兰燕茜"</f>
        <v>兰燕茜</v>
      </c>
      <c r="E25" s="8" t="str">
        <f t="shared" si="12"/>
        <v>女</v>
      </c>
      <c r="F25" s="8" t="str">
        <f>"1990-04-15"</f>
        <v>1990-04-15</v>
      </c>
      <c r="G25" s="8" t="str">
        <f t="shared" si="10"/>
        <v>本科</v>
      </c>
      <c r="H25" s="8" t="str">
        <f t="shared" si="11"/>
        <v>学士</v>
      </c>
    </row>
    <row r="26" ht="20" customHeight="1" spans="1:8">
      <c r="A26" s="7">
        <v>24</v>
      </c>
      <c r="B26" s="8" t="str">
        <f>"22812020042314064723236"</f>
        <v>22812020042314064723236</v>
      </c>
      <c r="C26" s="8" t="s">
        <v>9</v>
      </c>
      <c r="D26" s="8" t="str">
        <f>"葛文晓"</f>
        <v>葛文晓</v>
      </c>
      <c r="E26" s="8" t="str">
        <f t="shared" si="12"/>
        <v>女</v>
      </c>
      <c r="F26" s="8" t="str">
        <f>"1992-02-04"</f>
        <v>1992-02-04</v>
      </c>
      <c r="G26" s="8" t="str">
        <f t="shared" ref="G26:G28" si="13">"研究生"</f>
        <v>研究生</v>
      </c>
      <c r="H26" s="8" t="str">
        <f t="shared" ref="H26:H28" si="14">"硕士"</f>
        <v>硕士</v>
      </c>
    </row>
    <row r="27" ht="20" customHeight="1" spans="1:8">
      <c r="A27" s="7">
        <v>25</v>
      </c>
      <c r="B27" s="8" t="str">
        <f>"22812020042411405523389"</f>
        <v>22812020042411405523389</v>
      </c>
      <c r="C27" s="8" t="s">
        <v>9</v>
      </c>
      <c r="D27" s="8" t="str">
        <f>"秦伟杰"</f>
        <v>秦伟杰</v>
      </c>
      <c r="E27" s="8" t="str">
        <f t="shared" si="12"/>
        <v>女</v>
      </c>
      <c r="F27" s="8" t="str">
        <f>"1990-04-28"</f>
        <v>1990-04-28</v>
      </c>
      <c r="G27" s="8" t="str">
        <f t="shared" si="13"/>
        <v>研究生</v>
      </c>
      <c r="H27" s="8" t="str">
        <f t="shared" si="14"/>
        <v>硕士</v>
      </c>
    </row>
    <row r="28" ht="20" customHeight="1" spans="1:8">
      <c r="A28" s="7">
        <v>26</v>
      </c>
      <c r="B28" s="8" t="str">
        <f>"22812020042414515023415"</f>
        <v>22812020042414515023415</v>
      </c>
      <c r="C28" s="8" t="s">
        <v>9</v>
      </c>
      <c r="D28" s="8" t="str">
        <f>"张洪铭"</f>
        <v>张洪铭</v>
      </c>
      <c r="E28" s="8" t="str">
        <f t="shared" si="12"/>
        <v>女</v>
      </c>
      <c r="F28" s="8" t="str">
        <f>"1995-02-02"</f>
        <v>1995-02-02</v>
      </c>
      <c r="G28" s="8" t="str">
        <f t="shared" si="13"/>
        <v>研究生</v>
      </c>
      <c r="H28" s="8" t="str">
        <f t="shared" si="14"/>
        <v>硕士</v>
      </c>
    </row>
    <row r="29" ht="20" customHeight="1" spans="1:8">
      <c r="A29" s="7">
        <v>27</v>
      </c>
      <c r="B29" s="8" t="str">
        <f>"22812020042416062423437"</f>
        <v>22812020042416062423437</v>
      </c>
      <c r="C29" s="8" t="s">
        <v>9</v>
      </c>
      <c r="D29" s="8" t="str">
        <f>"杜琼兰"</f>
        <v>杜琼兰</v>
      </c>
      <c r="E29" s="8" t="str">
        <f t="shared" si="12"/>
        <v>女</v>
      </c>
      <c r="F29" s="8" t="str">
        <f>"1992-09-01"</f>
        <v>1992-09-01</v>
      </c>
      <c r="G29" s="8" t="str">
        <f t="shared" ref="G29:G31" si="15">"本科"</f>
        <v>本科</v>
      </c>
      <c r="H29" s="8" t="str">
        <f t="shared" ref="H29:H31" si="16">"学士"</f>
        <v>学士</v>
      </c>
    </row>
    <row r="30" ht="20" customHeight="1" spans="1:8">
      <c r="A30" s="7">
        <v>28</v>
      </c>
      <c r="B30" s="8" t="str">
        <f>"22812020042417304323467"</f>
        <v>22812020042417304323467</v>
      </c>
      <c r="C30" s="8" t="s">
        <v>9</v>
      </c>
      <c r="D30" s="8" t="str">
        <f>"邢增伟"</f>
        <v>邢增伟</v>
      </c>
      <c r="E30" s="8" t="str">
        <f>"男"</f>
        <v>男</v>
      </c>
      <c r="F30" s="8" t="str">
        <f>"1990-09-06"</f>
        <v>1990-09-06</v>
      </c>
      <c r="G30" s="8" t="str">
        <f t="shared" si="15"/>
        <v>本科</v>
      </c>
      <c r="H30" s="8" t="str">
        <f t="shared" si="16"/>
        <v>学士</v>
      </c>
    </row>
    <row r="31" ht="20" customHeight="1" spans="1:8">
      <c r="A31" s="7">
        <v>29</v>
      </c>
      <c r="B31" s="8" t="str">
        <f>"22812020042512381923589"</f>
        <v>22812020042512381923589</v>
      </c>
      <c r="C31" s="8" t="s">
        <v>9</v>
      </c>
      <c r="D31" s="8" t="str">
        <f>"黄颖婕"</f>
        <v>黄颖婕</v>
      </c>
      <c r="E31" s="8" t="str">
        <f t="shared" ref="E31:E36" si="17">"女"</f>
        <v>女</v>
      </c>
      <c r="F31" s="8" t="str">
        <f>"1996-03-24"</f>
        <v>1996-03-24</v>
      </c>
      <c r="G31" s="8" t="str">
        <f t="shared" si="15"/>
        <v>本科</v>
      </c>
      <c r="H31" s="8" t="str">
        <f t="shared" si="16"/>
        <v>学士</v>
      </c>
    </row>
    <row r="32" ht="20" customHeight="1" spans="1:8">
      <c r="A32" s="7">
        <v>30</v>
      </c>
      <c r="B32" s="8" t="str">
        <f>"22812020042522190823675"</f>
        <v>22812020042522190823675</v>
      </c>
      <c r="C32" s="8" t="s">
        <v>9</v>
      </c>
      <c r="D32" s="8" t="str">
        <f>"任梅香"</f>
        <v>任梅香</v>
      </c>
      <c r="E32" s="8" t="str">
        <f t="shared" si="17"/>
        <v>女</v>
      </c>
      <c r="F32" s="8" t="str">
        <f>"1988-06-17"</f>
        <v>1988-06-17</v>
      </c>
      <c r="G32" s="8" t="str">
        <f>"研究生"</f>
        <v>研究生</v>
      </c>
      <c r="H32" s="8" t="str">
        <f>"硕士"</f>
        <v>硕士</v>
      </c>
    </row>
    <row r="33" ht="20" customHeight="1" spans="1:8">
      <c r="A33" s="7">
        <v>31</v>
      </c>
      <c r="B33" s="8" t="str">
        <f>"22812020042523581523689"</f>
        <v>22812020042523581523689</v>
      </c>
      <c r="C33" s="8" t="s">
        <v>9</v>
      </c>
      <c r="D33" s="8" t="str">
        <f>"符艳珍"</f>
        <v>符艳珍</v>
      </c>
      <c r="E33" s="8" t="str">
        <f t="shared" si="17"/>
        <v>女</v>
      </c>
      <c r="F33" s="8" t="str">
        <f>"1993-01-23"</f>
        <v>1993-01-23</v>
      </c>
      <c r="G33" s="8" t="str">
        <f t="shared" ref="G33:G45" si="18">"本科"</f>
        <v>本科</v>
      </c>
      <c r="H33" s="8" t="str">
        <f t="shared" ref="H33:H45" si="19">"学士"</f>
        <v>学士</v>
      </c>
    </row>
    <row r="34" ht="20" customHeight="1" spans="1:8">
      <c r="A34" s="7">
        <v>32</v>
      </c>
      <c r="B34" s="8" t="str">
        <f>"22812020042701205623845"</f>
        <v>22812020042701205623845</v>
      </c>
      <c r="C34" s="8" t="s">
        <v>9</v>
      </c>
      <c r="D34" s="8" t="str">
        <f>"王水秋"</f>
        <v>王水秋</v>
      </c>
      <c r="E34" s="8" t="str">
        <f t="shared" si="17"/>
        <v>女</v>
      </c>
      <c r="F34" s="8" t="str">
        <f>"1994-04-01"</f>
        <v>1994-04-01</v>
      </c>
      <c r="G34" s="8" t="str">
        <f>"研究生"</f>
        <v>研究生</v>
      </c>
      <c r="H34" s="8" t="str">
        <f>"硕士"</f>
        <v>硕士</v>
      </c>
    </row>
    <row r="35" ht="20" customHeight="1" spans="1:8">
      <c r="A35" s="7">
        <v>33</v>
      </c>
      <c r="B35" s="8" t="str">
        <f>"22812020042709112823849"</f>
        <v>22812020042709112823849</v>
      </c>
      <c r="C35" s="8" t="s">
        <v>9</v>
      </c>
      <c r="D35" s="8" t="str">
        <f>"毛莎莎"</f>
        <v>毛莎莎</v>
      </c>
      <c r="E35" s="8" t="str">
        <f t="shared" si="17"/>
        <v>女</v>
      </c>
      <c r="F35" s="8" t="str">
        <f>"1988-09-06"</f>
        <v>1988-09-06</v>
      </c>
      <c r="G35" s="8" t="str">
        <f t="shared" si="18"/>
        <v>本科</v>
      </c>
      <c r="H35" s="8" t="str">
        <f t="shared" si="19"/>
        <v>学士</v>
      </c>
    </row>
    <row r="36" ht="20" customHeight="1" spans="1:8">
      <c r="A36" s="7">
        <v>34</v>
      </c>
      <c r="B36" s="8" t="str">
        <f>"22812020042711025323858"</f>
        <v>22812020042711025323858</v>
      </c>
      <c r="C36" s="8" t="s">
        <v>9</v>
      </c>
      <c r="D36" s="8" t="str">
        <f>"黎玉清"</f>
        <v>黎玉清</v>
      </c>
      <c r="E36" s="8" t="str">
        <f t="shared" si="17"/>
        <v>女</v>
      </c>
      <c r="F36" s="8" t="str">
        <f>"1990-12-02"</f>
        <v>1990-12-02</v>
      </c>
      <c r="G36" s="8" t="str">
        <f t="shared" si="18"/>
        <v>本科</v>
      </c>
      <c r="H36" s="8" t="str">
        <f t="shared" si="19"/>
        <v>学士</v>
      </c>
    </row>
    <row r="37" ht="20" customHeight="1" spans="1:8">
      <c r="A37" s="7">
        <v>35</v>
      </c>
      <c r="B37" s="8" t="str">
        <f>"22812020042817262223969"</f>
        <v>22812020042817262223969</v>
      </c>
      <c r="C37" s="8" t="s">
        <v>9</v>
      </c>
      <c r="D37" s="8" t="str">
        <f>"符箕敏"</f>
        <v>符箕敏</v>
      </c>
      <c r="E37" s="8" t="str">
        <f>"男"</f>
        <v>男</v>
      </c>
      <c r="F37" s="8" t="str">
        <f>"1994-04-15"</f>
        <v>1994-04-15</v>
      </c>
      <c r="G37" s="8" t="str">
        <f t="shared" si="18"/>
        <v>本科</v>
      </c>
      <c r="H37" s="8" t="str">
        <f t="shared" si="19"/>
        <v>学士</v>
      </c>
    </row>
    <row r="38" ht="20" customHeight="1" spans="1:8">
      <c r="A38" s="7">
        <v>36</v>
      </c>
      <c r="B38" s="8" t="str">
        <f>"22812020042818244323976"</f>
        <v>22812020042818244323976</v>
      </c>
      <c r="C38" s="8" t="s">
        <v>9</v>
      </c>
      <c r="D38" s="8" t="str">
        <f>"邓昭君"</f>
        <v>邓昭君</v>
      </c>
      <c r="E38" s="8" t="str">
        <f t="shared" ref="E38:E46" si="20">"女"</f>
        <v>女</v>
      </c>
      <c r="F38" s="8" t="str">
        <f>"1989-06-13"</f>
        <v>1989-06-13</v>
      </c>
      <c r="G38" s="8" t="str">
        <f t="shared" si="18"/>
        <v>本科</v>
      </c>
      <c r="H38" s="8" t="str">
        <f t="shared" si="19"/>
        <v>学士</v>
      </c>
    </row>
    <row r="39" ht="20" customHeight="1" spans="1:8">
      <c r="A39" s="7">
        <v>37</v>
      </c>
      <c r="B39" s="8" t="str">
        <f>"22812020042911012624015"</f>
        <v>22812020042911012624015</v>
      </c>
      <c r="C39" s="8" t="s">
        <v>9</v>
      </c>
      <c r="D39" s="8" t="str">
        <f>"胡家帅"</f>
        <v>胡家帅</v>
      </c>
      <c r="E39" s="8" t="str">
        <f>"男"</f>
        <v>男</v>
      </c>
      <c r="F39" s="8" t="str">
        <f>"1994-11-10"</f>
        <v>1994-11-10</v>
      </c>
      <c r="G39" s="8" t="str">
        <f t="shared" si="18"/>
        <v>本科</v>
      </c>
      <c r="H39" s="8" t="str">
        <f t="shared" si="19"/>
        <v>学士</v>
      </c>
    </row>
    <row r="40" ht="20" customHeight="1" spans="1:8">
      <c r="A40" s="7">
        <v>38</v>
      </c>
      <c r="B40" s="8" t="str">
        <f>"22812020042913594124028"</f>
        <v>22812020042913594124028</v>
      </c>
      <c r="C40" s="8" t="s">
        <v>9</v>
      </c>
      <c r="D40" s="8" t="str">
        <f>"马丽少"</f>
        <v>马丽少</v>
      </c>
      <c r="E40" s="8" t="str">
        <f t="shared" si="20"/>
        <v>女</v>
      </c>
      <c r="F40" s="8" t="str">
        <f>"1995-02-12"</f>
        <v>1995-02-12</v>
      </c>
      <c r="G40" s="8" t="str">
        <f t="shared" si="18"/>
        <v>本科</v>
      </c>
      <c r="H40" s="8" t="str">
        <f t="shared" si="19"/>
        <v>学士</v>
      </c>
    </row>
    <row r="41" ht="20" customHeight="1" spans="1:8">
      <c r="A41" s="7">
        <v>39</v>
      </c>
      <c r="B41" s="8" t="str">
        <f>"22812020043015175024116"</f>
        <v>22812020043015175024116</v>
      </c>
      <c r="C41" s="8" t="s">
        <v>9</v>
      </c>
      <c r="D41" s="8" t="str">
        <f>"王悦"</f>
        <v>王悦</v>
      </c>
      <c r="E41" s="8" t="str">
        <f t="shared" si="20"/>
        <v>女</v>
      </c>
      <c r="F41" s="8" t="str">
        <f>"1994-05-15"</f>
        <v>1994-05-15</v>
      </c>
      <c r="G41" s="8" t="str">
        <f t="shared" si="18"/>
        <v>本科</v>
      </c>
      <c r="H41" s="8" t="str">
        <f t="shared" si="19"/>
        <v>学士</v>
      </c>
    </row>
    <row r="42" ht="20" customHeight="1" spans="1:8">
      <c r="A42" s="7">
        <v>40</v>
      </c>
      <c r="B42" s="8" t="str">
        <f>"22812020043018003024127"</f>
        <v>22812020043018003024127</v>
      </c>
      <c r="C42" s="8" t="s">
        <v>9</v>
      </c>
      <c r="D42" s="8" t="str">
        <f>"王月"</f>
        <v>王月</v>
      </c>
      <c r="E42" s="8" t="str">
        <f t="shared" si="20"/>
        <v>女</v>
      </c>
      <c r="F42" s="8" t="str">
        <f>"1994-06-01"</f>
        <v>1994-06-01</v>
      </c>
      <c r="G42" s="8" t="str">
        <f t="shared" si="18"/>
        <v>本科</v>
      </c>
      <c r="H42" s="8" t="str">
        <f t="shared" si="19"/>
        <v>学士</v>
      </c>
    </row>
    <row r="43" ht="20" customHeight="1" spans="1:8">
      <c r="A43" s="7">
        <v>41</v>
      </c>
      <c r="B43" s="8" t="str">
        <f>"22812020050110395524149"</f>
        <v>22812020050110395524149</v>
      </c>
      <c r="C43" s="8" t="s">
        <v>9</v>
      </c>
      <c r="D43" s="8" t="str">
        <f>"符祥玲"</f>
        <v>符祥玲</v>
      </c>
      <c r="E43" s="8" t="str">
        <f t="shared" si="20"/>
        <v>女</v>
      </c>
      <c r="F43" s="8" t="str">
        <f>"1988-12-23"</f>
        <v>1988-12-23</v>
      </c>
      <c r="G43" s="8" t="str">
        <f t="shared" si="18"/>
        <v>本科</v>
      </c>
      <c r="H43" s="8" t="str">
        <f t="shared" si="19"/>
        <v>学士</v>
      </c>
    </row>
    <row r="44" ht="20" customHeight="1" spans="1:8">
      <c r="A44" s="7">
        <v>42</v>
      </c>
      <c r="B44" s="8" t="str">
        <f>"22812020050112224424157"</f>
        <v>22812020050112224424157</v>
      </c>
      <c r="C44" s="8" t="s">
        <v>9</v>
      </c>
      <c r="D44" s="8" t="str">
        <f>"符再飞"</f>
        <v>符再飞</v>
      </c>
      <c r="E44" s="8" t="str">
        <f t="shared" si="20"/>
        <v>女</v>
      </c>
      <c r="F44" s="8" t="str">
        <f>"1989-05-13"</f>
        <v>1989-05-13</v>
      </c>
      <c r="G44" s="8" t="str">
        <f t="shared" si="18"/>
        <v>本科</v>
      </c>
      <c r="H44" s="8" t="str">
        <f t="shared" si="19"/>
        <v>学士</v>
      </c>
    </row>
    <row r="45" ht="20" customHeight="1" spans="1:8">
      <c r="A45" s="7">
        <v>43</v>
      </c>
      <c r="B45" s="8" t="str">
        <f>"22812020050221304624184"</f>
        <v>22812020050221304624184</v>
      </c>
      <c r="C45" s="8" t="s">
        <v>9</v>
      </c>
      <c r="D45" s="8" t="str">
        <f>"陈运薇"</f>
        <v>陈运薇</v>
      </c>
      <c r="E45" s="8" t="str">
        <f t="shared" si="20"/>
        <v>女</v>
      </c>
      <c r="F45" s="8" t="str">
        <f>"1993-08-28"</f>
        <v>1993-08-28</v>
      </c>
      <c r="G45" s="8" t="str">
        <f t="shared" si="18"/>
        <v>本科</v>
      </c>
      <c r="H45" s="8" t="str">
        <f t="shared" si="19"/>
        <v>学士</v>
      </c>
    </row>
    <row r="46" ht="20" customHeight="1" spans="1:8">
      <c r="A46" s="7">
        <v>44</v>
      </c>
      <c r="B46" s="8" t="str">
        <f>"22812020050410324224225"</f>
        <v>22812020050410324224225</v>
      </c>
      <c r="C46" s="8" t="s">
        <v>9</v>
      </c>
      <c r="D46" s="8" t="str">
        <f>"郝佳"</f>
        <v>郝佳</v>
      </c>
      <c r="E46" s="8" t="str">
        <f t="shared" si="20"/>
        <v>女</v>
      </c>
      <c r="F46" s="8" t="str">
        <f>"1988-03-04"</f>
        <v>1988-03-04</v>
      </c>
      <c r="G46" s="8" t="str">
        <f>"研究生"</f>
        <v>研究生</v>
      </c>
      <c r="H46" s="8" t="str">
        <f>"硕士"</f>
        <v>硕士</v>
      </c>
    </row>
    <row r="47" ht="20" customHeight="1" spans="1:8">
      <c r="A47" s="7">
        <v>45</v>
      </c>
      <c r="B47" s="8" t="str">
        <f>"22812020050422245424254"</f>
        <v>22812020050422245424254</v>
      </c>
      <c r="C47" s="8" t="s">
        <v>9</v>
      </c>
      <c r="D47" s="8" t="str">
        <f>"钟财"</f>
        <v>钟财</v>
      </c>
      <c r="E47" s="8" t="str">
        <f t="shared" ref="E47:E52" si="21">"男"</f>
        <v>男</v>
      </c>
      <c r="F47" s="8" t="str">
        <f>"1995-05-10"</f>
        <v>1995-05-10</v>
      </c>
      <c r="G47" s="8" t="str">
        <f t="shared" ref="G47:G66" si="22">"本科"</f>
        <v>本科</v>
      </c>
      <c r="H47" s="8" t="str">
        <f t="shared" ref="H47:H66" si="23">"学士"</f>
        <v>学士</v>
      </c>
    </row>
    <row r="48" ht="20" customHeight="1" spans="1:8">
      <c r="A48" s="7">
        <v>46</v>
      </c>
      <c r="B48" s="8" t="str">
        <f>"22812020050509014624260"</f>
        <v>22812020050509014624260</v>
      </c>
      <c r="C48" s="8" t="s">
        <v>9</v>
      </c>
      <c r="D48" s="8" t="str">
        <f>"王僮"</f>
        <v>王僮</v>
      </c>
      <c r="E48" s="8" t="str">
        <f t="shared" si="21"/>
        <v>男</v>
      </c>
      <c r="F48" s="8" t="str">
        <f>"1989-10-18"</f>
        <v>1989-10-18</v>
      </c>
      <c r="G48" s="8" t="str">
        <f>"研究生"</f>
        <v>研究生</v>
      </c>
      <c r="H48" s="8" t="str">
        <f>"硕士"</f>
        <v>硕士</v>
      </c>
    </row>
    <row r="49" ht="20" customHeight="1" spans="1:8">
      <c r="A49" s="7">
        <v>47</v>
      </c>
      <c r="B49" s="8" t="str">
        <f>"22812020050509383524263"</f>
        <v>22812020050509383524263</v>
      </c>
      <c r="C49" s="8" t="s">
        <v>9</v>
      </c>
      <c r="D49" s="8" t="str">
        <f>"刘露"</f>
        <v>刘露</v>
      </c>
      <c r="E49" s="8" t="str">
        <f t="shared" ref="E49:E54" si="24">"女"</f>
        <v>女</v>
      </c>
      <c r="F49" s="8" t="str">
        <f>"1989-09-24"</f>
        <v>1989-09-24</v>
      </c>
      <c r="G49" s="8" t="str">
        <f t="shared" si="22"/>
        <v>本科</v>
      </c>
      <c r="H49" s="8" t="str">
        <f t="shared" si="23"/>
        <v>学士</v>
      </c>
    </row>
    <row r="50" ht="20" customHeight="1" spans="1:8">
      <c r="A50" s="7">
        <v>48</v>
      </c>
      <c r="B50" s="8" t="str">
        <f>"22812020050513412024275"</f>
        <v>22812020050513412024275</v>
      </c>
      <c r="C50" s="8" t="s">
        <v>9</v>
      </c>
      <c r="D50" s="8" t="str">
        <f>"林丽"</f>
        <v>林丽</v>
      </c>
      <c r="E50" s="8" t="str">
        <f t="shared" si="24"/>
        <v>女</v>
      </c>
      <c r="F50" s="8" t="str">
        <f>"1991-11-18"</f>
        <v>1991-11-18</v>
      </c>
      <c r="G50" s="8" t="str">
        <f t="shared" si="22"/>
        <v>本科</v>
      </c>
      <c r="H50" s="8" t="str">
        <f t="shared" si="23"/>
        <v>学士</v>
      </c>
    </row>
    <row r="51" ht="20" customHeight="1" spans="1:8">
      <c r="A51" s="7">
        <v>49</v>
      </c>
      <c r="B51" s="8" t="str">
        <f>"22812020042009013721578"</f>
        <v>22812020042009013721578</v>
      </c>
      <c r="C51" s="8" t="s">
        <v>10</v>
      </c>
      <c r="D51" s="8" t="str">
        <f>"王鹏"</f>
        <v>王鹏</v>
      </c>
      <c r="E51" s="8" t="str">
        <f t="shared" si="21"/>
        <v>男</v>
      </c>
      <c r="F51" s="8" t="str">
        <f>"1994-11-22"</f>
        <v>1994-11-22</v>
      </c>
      <c r="G51" s="8" t="str">
        <f t="shared" si="22"/>
        <v>本科</v>
      </c>
      <c r="H51" s="8" t="str">
        <f t="shared" si="23"/>
        <v>学士</v>
      </c>
    </row>
    <row r="52" ht="20" customHeight="1" spans="1:8">
      <c r="A52" s="7">
        <v>50</v>
      </c>
      <c r="B52" s="8" t="str">
        <f>"22812020042009110921583"</f>
        <v>22812020042009110921583</v>
      </c>
      <c r="C52" s="8" t="s">
        <v>10</v>
      </c>
      <c r="D52" s="8" t="str">
        <f>"苏裕博"</f>
        <v>苏裕博</v>
      </c>
      <c r="E52" s="8" t="str">
        <f t="shared" si="21"/>
        <v>男</v>
      </c>
      <c r="F52" s="8" t="str">
        <f>"1992-09-29"</f>
        <v>1992-09-29</v>
      </c>
      <c r="G52" s="8" t="str">
        <f t="shared" si="22"/>
        <v>本科</v>
      </c>
      <c r="H52" s="8" t="str">
        <f t="shared" si="23"/>
        <v>学士</v>
      </c>
    </row>
    <row r="53" ht="20" customHeight="1" spans="1:8">
      <c r="A53" s="7">
        <v>51</v>
      </c>
      <c r="B53" s="8" t="str">
        <f>"22812020042009193521592"</f>
        <v>22812020042009193521592</v>
      </c>
      <c r="C53" s="8" t="s">
        <v>10</v>
      </c>
      <c r="D53" s="8" t="str">
        <f>"廖伶慧"</f>
        <v>廖伶慧</v>
      </c>
      <c r="E53" s="8" t="str">
        <f t="shared" si="24"/>
        <v>女</v>
      </c>
      <c r="F53" s="8" t="str">
        <f>"1993-12-20"</f>
        <v>1993-12-20</v>
      </c>
      <c r="G53" s="8" t="str">
        <f t="shared" si="22"/>
        <v>本科</v>
      </c>
      <c r="H53" s="8" t="str">
        <f t="shared" si="23"/>
        <v>学士</v>
      </c>
    </row>
    <row r="54" ht="20" customHeight="1" spans="1:8">
      <c r="A54" s="7">
        <v>52</v>
      </c>
      <c r="B54" s="8" t="str">
        <f>"22812020042009215521594"</f>
        <v>22812020042009215521594</v>
      </c>
      <c r="C54" s="8" t="s">
        <v>10</v>
      </c>
      <c r="D54" s="8" t="str">
        <f>"邢孔佼"</f>
        <v>邢孔佼</v>
      </c>
      <c r="E54" s="8" t="str">
        <f t="shared" si="24"/>
        <v>女</v>
      </c>
      <c r="F54" s="8" t="str">
        <f>"1992-02-21"</f>
        <v>1992-02-21</v>
      </c>
      <c r="G54" s="8" t="str">
        <f t="shared" si="22"/>
        <v>本科</v>
      </c>
      <c r="H54" s="8" t="str">
        <f t="shared" si="23"/>
        <v>学士</v>
      </c>
    </row>
    <row r="55" ht="20" customHeight="1" spans="1:8">
      <c r="A55" s="7">
        <v>53</v>
      </c>
      <c r="B55" s="8" t="str">
        <f>"22812020042009230521595"</f>
        <v>22812020042009230521595</v>
      </c>
      <c r="C55" s="8" t="s">
        <v>10</v>
      </c>
      <c r="D55" s="8" t="str">
        <f>"陈伟鸿"</f>
        <v>陈伟鸿</v>
      </c>
      <c r="E55" s="8" t="str">
        <f t="shared" ref="E55:E57" si="25">"男"</f>
        <v>男</v>
      </c>
      <c r="F55" s="8" t="str">
        <f>"1996-08-06"</f>
        <v>1996-08-06</v>
      </c>
      <c r="G55" s="8" t="str">
        <f t="shared" si="22"/>
        <v>本科</v>
      </c>
      <c r="H55" s="8" t="str">
        <f t="shared" si="23"/>
        <v>学士</v>
      </c>
    </row>
    <row r="56" ht="20" customHeight="1" spans="1:8">
      <c r="A56" s="7">
        <v>54</v>
      </c>
      <c r="B56" s="8" t="str">
        <f>"22812020042009330121599"</f>
        <v>22812020042009330121599</v>
      </c>
      <c r="C56" s="8" t="s">
        <v>10</v>
      </c>
      <c r="D56" s="8" t="str">
        <f>"钟涛"</f>
        <v>钟涛</v>
      </c>
      <c r="E56" s="8" t="str">
        <f t="shared" si="25"/>
        <v>男</v>
      </c>
      <c r="F56" s="8" t="str">
        <f>"1994-07-01"</f>
        <v>1994-07-01</v>
      </c>
      <c r="G56" s="8" t="str">
        <f t="shared" si="22"/>
        <v>本科</v>
      </c>
      <c r="H56" s="8" t="str">
        <f t="shared" si="23"/>
        <v>学士</v>
      </c>
    </row>
    <row r="57" ht="20" customHeight="1" spans="1:8">
      <c r="A57" s="7">
        <v>55</v>
      </c>
      <c r="B57" s="8" t="str">
        <f>"22812020042009334521600"</f>
        <v>22812020042009334521600</v>
      </c>
      <c r="C57" s="8" t="s">
        <v>10</v>
      </c>
      <c r="D57" s="8" t="str">
        <f>"张乔迪"</f>
        <v>张乔迪</v>
      </c>
      <c r="E57" s="8" t="str">
        <f t="shared" si="25"/>
        <v>男</v>
      </c>
      <c r="F57" s="8" t="str">
        <f>"1993-10-03"</f>
        <v>1993-10-03</v>
      </c>
      <c r="G57" s="8" t="str">
        <f t="shared" si="22"/>
        <v>本科</v>
      </c>
      <c r="H57" s="8" t="str">
        <f t="shared" si="23"/>
        <v>学士</v>
      </c>
    </row>
    <row r="58" ht="20" customHeight="1" spans="1:8">
      <c r="A58" s="7">
        <v>56</v>
      </c>
      <c r="B58" s="8" t="str">
        <f>"22812020042009340021601"</f>
        <v>22812020042009340021601</v>
      </c>
      <c r="C58" s="8" t="s">
        <v>10</v>
      </c>
      <c r="D58" s="8" t="str">
        <f>"王海斌"</f>
        <v>王海斌</v>
      </c>
      <c r="E58" s="8" t="str">
        <f t="shared" ref="E58:E62" si="26">"女"</f>
        <v>女</v>
      </c>
      <c r="F58" s="8" t="str">
        <f>"1995-11-20"</f>
        <v>1995-11-20</v>
      </c>
      <c r="G58" s="8" t="str">
        <f t="shared" si="22"/>
        <v>本科</v>
      </c>
      <c r="H58" s="8" t="str">
        <f t="shared" si="23"/>
        <v>学士</v>
      </c>
    </row>
    <row r="59" ht="20" customHeight="1" spans="1:8">
      <c r="A59" s="7">
        <v>57</v>
      </c>
      <c r="B59" s="8" t="str">
        <f>"22812020042009365421603"</f>
        <v>22812020042009365421603</v>
      </c>
      <c r="C59" s="8" t="s">
        <v>10</v>
      </c>
      <c r="D59" s="8" t="str">
        <f>"符谷宇"</f>
        <v>符谷宇</v>
      </c>
      <c r="E59" s="8" t="str">
        <f>"男"</f>
        <v>男</v>
      </c>
      <c r="F59" s="8" t="str">
        <f>"1993-05-11"</f>
        <v>1993-05-11</v>
      </c>
      <c r="G59" s="8" t="str">
        <f t="shared" si="22"/>
        <v>本科</v>
      </c>
      <c r="H59" s="8" t="str">
        <f t="shared" si="23"/>
        <v>学士</v>
      </c>
    </row>
    <row r="60" ht="20" customHeight="1" spans="1:8">
      <c r="A60" s="7">
        <v>58</v>
      </c>
      <c r="B60" s="8" t="str">
        <f>"22812020042009372721604"</f>
        <v>22812020042009372721604</v>
      </c>
      <c r="C60" s="8" t="s">
        <v>10</v>
      </c>
      <c r="D60" s="8" t="str">
        <f>"黎青青"</f>
        <v>黎青青</v>
      </c>
      <c r="E60" s="8" t="str">
        <f t="shared" si="26"/>
        <v>女</v>
      </c>
      <c r="F60" s="8" t="str">
        <f>"1994-02-10"</f>
        <v>1994-02-10</v>
      </c>
      <c r="G60" s="8" t="str">
        <f t="shared" si="22"/>
        <v>本科</v>
      </c>
      <c r="H60" s="8" t="str">
        <f t="shared" si="23"/>
        <v>学士</v>
      </c>
    </row>
    <row r="61" ht="20" customHeight="1" spans="1:8">
      <c r="A61" s="7">
        <v>59</v>
      </c>
      <c r="B61" s="8" t="str">
        <f>"22812020042009375821605"</f>
        <v>22812020042009375821605</v>
      </c>
      <c r="C61" s="8" t="s">
        <v>10</v>
      </c>
      <c r="D61" s="8" t="str">
        <f>"李庆利"</f>
        <v>李庆利</v>
      </c>
      <c r="E61" s="8" t="str">
        <f t="shared" si="26"/>
        <v>女</v>
      </c>
      <c r="F61" s="8" t="str">
        <f>"1993-12-01"</f>
        <v>1993-12-01</v>
      </c>
      <c r="G61" s="8" t="str">
        <f t="shared" si="22"/>
        <v>本科</v>
      </c>
      <c r="H61" s="8" t="str">
        <f t="shared" si="23"/>
        <v>学士</v>
      </c>
    </row>
    <row r="62" ht="20" customHeight="1" spans="1:8">
      <c r="A62" s="7">
        <v>60</v>
      </c>
      <c r="B62" s="8" t="str">
        <f>"22812020042009381521606"</f>
        <v>22812020042009381521606</v>
      </c>
      <c r="C62" s="8" t="s">
        <v>10</v>
      </c>
      <c r="D62" s="8" t="str">
        <f>"宋晓娜"</f>
        <v>宋晓娜</v>
      </c>
      <c r="E62" s="8" t="str">
        <f t="shared" si="26"/>
        <v>女</v>
      </c>
      <c r="F62" s="8" t="str">
        <f>"1993-09-12"</f>
        <v>1993-09-12</v>
      </c>
      <c r="G62" s="8" t="str">
        <f t="shared" si="22"/>
        <v>本科</v>
      </c>
      <c r="H62" s="8" t="str">
        <f t="shared" si="23"/>
        <v>学士</v>
      </c>
    </row>
    <row r="63" ht="20" customHeight="1" spans="1:8">
      <c r="A63" s="7">
        <v>61</v>
      </c>
      <c r="B63" s="8" t="str">
        <f>"22812020042009420721610"</f>
        <v>22812020042009420721610</v>
      </c>
      <c r="C63" s="8" t="s">
        <v>10</v>
      </c>
      <c r="D63" s="8" t="str">
        <f>"罗艺峰"</f>
        <v>罗艺峰</v>
      </c>
      <c r="E63" s="8" t="str">
        <f>"男"</f>
        <v>男</v>
      </c>
      <c r="F63" s="8" t="str">
        <f>"1995-10-09"</f>
        <v>1995-10-09</v>
      </c>
      <c r="G63" s="8" t="str">
        <f t="shared" si="22"/>
        <v>本科</v>
      </c>
      <c r="H63" s="8" t="str">
        <f t="shared" si="23"/>
        <v>学士</v>
      </c>
    </row>
    <row r="64" ht="20" customHeight="1" spans="1:8">
      <c r="A64" s="7">
        <v>62</v>
      </c>
      <c r="B64" s="8" t="str">
        <f>"22812020042009462521611"</f>
        <v>22812020042009462521611</v>
      </c>
      <c r="C64" s="8" t="s">
        <v>10</v>
      </c>
      <c r="D64" s="8" t="str">
        <f>"王春晓"</f>
        <v>王春晓</v>
      </c>
      <c r="E64" s="8" t="str">
        <f t="shared" ref="E64:E70" si="27">"女"</f>
        <v>女</v>
      </c>
      <c r="F64" s="8" t="str">
        <f>"1998-09-17"</f>
        <v>1998-09-17</v>
      </c>
      <c r="G64" s="8" t="str">
        <f t="shared" si="22"/>
        <v>本科</v>
      </c>
      <c r="H64" s="8" t="str">
        <f t="shared" si="23"/>
        <v>学士</v>
      </c>
    </row>
    <row r="65" ht="20" customHeight="1" spans="1:8">
      <c r="A65" s="7">
        <v>63</v>
      </c>
      <c r="B65" s="8" t="str">
        <f>"22812020042009471921612"</f>
        <v>22812020042009471921612</v>
      </c>
      <c r="C65" s="8" t="s">
        <v>10</v>
      </c>
      <c r="D65" s="8" t="str">
        <f>"吴迪欣"</f>
        <v>吴迪欣</v>
      </c>
      <c r="E65" s="8" t="str">
        <f t="shared" si="27"/>
        <v>女</v>
      </c>
      <c r="F65" s="8" t="str">
        <f>"1994-10-21"</f>
        <v>1994-10-21</v>
      </c>
      <c r="G65" s="8" t="str">
        <f t="shared" si="22"/>
        <v>本科</v>
      </c>
      <c r="H65" s="8" t="str">
        <f t="shared" si="23"/>
        <v>学士</v>
      </c>
    </row>
    <row r="66" ht="20" customHeight="1" spans="1:8">
      <c r="A66" s="7">
        <v>64</v>
      </c>
      <c r="B66" s="8" t="str">
        <f>"22812020042009494021613"</f>
        <v>22812020042009494021613</v>
      </c>
      <c r="C66" s="8" t="s">
        <v>10</v>
      </c>
      <c r="D66" s="8" t="str">
        <f>"吉玉佳"</f>
        <v>吉玉佳</v>
      </c>
      <c r="E66" s="8" t="str">
        <f t="shared" si="27"/>
        <v>女</v>
      </c>
      <c r="F66" s="8" t="str">
        <f>"1997-03-15"</f>
        <v>1997-03-15</v>
      </c>
      <c r="G66" s="8" t="str">
        <f t="shared" si="22"/>
        <v>本科</v>
      </c>
      <c r="H66" s="8" t="str">
        <f t="shared" si="23"/>
        <v>学士</v>
      </c>
    </row>
    <row r="67" ht="20" customHeight="1" spans="1:8">
      <c r="A67" s="7">
        <v>65</v>
      </c>
      <c r="B67" s="8" t="str">
        <f>"22812020042009512921615"</f>
        <v>22812020042009512921615</v>
      </c>
      <c r="C67" s="8" t="s">
        <v>10</v>
      </c>
      <c r="D67" s="8" t="str">
        <f>"金淑珍"</f>
        <v>金淑珍</v>
      </c>
      <c r="E67" s="8" t="str">
        <f t="shared" si="27"/>
        <v>女</v>
      </c>
      <c r="F67" s="8" t="str">
        <f>"1995-10-14"</f>
        <v>1995-10-14</v>
      </c>
      <c r="G67" s="8" t="str">
        <f>"研究生"</f>
        <v>研究生</v>
      </c>
      <c r="H67" s="8" t="str">
        <f>"硕士"</f>
        <v>硕士</v>
      </c>
    </row>
    <row r="68" ht="20" customHeight="1" spans="1:8">
      <c r="A68" s="7">
        <v>66</v>
      </c>
      <c r="B68" s="8" t="str">
        <f>"22812020042010051821621"</f>
        <v>22812020042010051821621</v>
      </c>
      <c r="C68" s="8" t="s">
        <v>10</v>
      </c>
      <c r="D68" s="8" t="str">
        <f>"陈会清"</f>
        <v>陈会清</v>
      </c>
      <c r="E68" s="8" t="str">
        <f t="shared" si="27"/>
        <v>女</v>
      </c>
      <c r="F68" s="8" t="str">
        <f>"1998-02-01"</f>
        <v>1998-02-01</v>
      </c>
      <c r="G68" s="8" t="str">
        <f t="shared" ref="G68:G91" si="28">"本科"</f>
        <v>本科</v>
      </c>
      <c r="H68" s="8" t="str">
        <f t="shared" ref="H68:H91" si="29">"学士"</f>
        <v>学士</v>
      </c>
    </row>
    <row r="69" ht="20" customHeight="1" spans="1:8">
      <c r="A69" s="7">
        <v>67</v>
      </c>
      <c r="B69" s="8" t="str">
        <f>"22812020042010115221624"</f>
        <v>22812020042010115221624</v>
      </c>
      <c r="C69" s="8" t="s">
        <v>10</v>
      </c>
      <c r="D69" s="8" t="str">
        <f>"卢丽萍"</f>
        <v>卢丽萍</v>
      </c>
      <c r="E69" s="8" t="str">
        <f t="shared" si="27"/>
        <v>女</v>
      </c>
      <c r="F69" s="8" t="str">
        <f>"1991-01-08"</f>
        <v>1991-01-08</v>
      </c>
      <c r="G69" s="8" t="str">
        <f t="shared" si="28"/>
        <v>本科</v>
      </c>
      <c r="H69" s="8" t="str">
        <f t="shared" si="29"/>
        <v>学士</v>
      </c>
    </row>
    <row r="70" ht="20" customHeight="1" spans="1:8">
      <c r="A70" s="7">
        <v>68</v>
      </c>
      <c r="B70" s="8" t="str">
        <f>"22812020042010180721628"</f>
        <v>22812020042010180721628</v>
      </c>
      <c r="C70" s="8" t="s">
        <v>10</v>
      </c>
      <c r="D70" s="8" t="str">
        <f>"商小丽"</f>
        <v>商小丽</v>
      </c>
      <c r="E70" s="8" t="str">
        <f t="shared" si="27"/>
        <v>女</v>
      </c>
      <c r="F70" s="8" t="str">
        <f>"1994-11-04"</f>
        <v>1994-11-04</v>
      </c>
      <c r="G70" s="8" t="str">
        <f t="shared" si="28"/>
        <v>本科</v>
      </c>
      <c r="H70" s="8" t="str">
        <f t="shared" si="29"/>
        <v>学士</v>
      </c>
    </row>
    <row r="71" ht="20" customHeight="1" spans="1:8">
      <c r="A71" s="7">
        <v>69</v>
      </c>
      <c r="B71" s="8" t="str">
        <f>"22812020042010262821636"</f>
        <v>22812020042010262821636</v>
      </c>
      <c r="C71" s="8" t="s">
        <v>10</v>
      </c>
      <c r="D71" s="8" t="str">
        <f>"黄昌华"</f>
        <v>黄昌华</v>
      </c>
      <c r="E71" s="8" t="str">
        <f t="shared" ref="E71:E75" si="30">"男"</f>
        <v>男</v>
      </c>
      <c r="F71" s="8" t="str">
        <f>"1990-12-06"</f>
        <v>1990-12-06</v>
      </c>
      <c r="G71" s="8" t="str">
        <f t="shared" si="28"/>
        <v>本科</v>
      </c>
      <c r="H71" s="8" t="str">
        <f t="shared" si="29"/>
        <v>学士</v>
      </c>
    </row>
    <row r="72" ht="20" customHeight="1" spans="1:8">
      <c r="A72" s="7">
        <v>70</v>
      </c>
      <c r="B72" s="8" t="str">
        <f>"22812020042010282821637"</f>
        <v>22812020042010282821637</v>
      </c>
      <c r="C72" s="8" t="s">
        <v>10</v>
      </c>
      <c r="D72" s="8" t="str">
        <f>"张宇"</f>
        <v>张宇</v>
      </c>
      <c r="E72" s="8" t="str">
        <f t="shared" si="30"/>
        <v>男</v>
      </c>
      <c r="F72" s="8" t="str">
        <f>"1995-03-28"</f>
        <v>1995-03-28</v>
      </c>
      <c r="G72" s="8" t="str">
        <f t="shared" si="28"/>
        <v>本科</v>
      </c>
      <c r="H72" s="8" t="str">
        <f t="shared" si="29"/>
        <v>学士</v>
      </c>
    </row>
    <row r="73" ht="20" customHeight="1" spans="1:8">
      <c r="A73" s="7">
        <v>71</v>
      </c>
      <c r="B73" s="8" t="str">
        <f>"22812020042010320021639"</f>
        <v>22812020042010320021639</v>
      </c>
      <c r="C73" s="8" t="s">
        <v>10</v>
      </c>
      <c r="D73" s="8" t="str">
        <f>"石秋荫"</f>
        <v>石秋荫</v>
      </c>
      <c r="E73" s="8" t="str">
        <f t="shared" ref="E73:E77" si="31">"女"</f>
        <v>女</v>
      </c>
      <c r="F73" s="8" t="str">
        <f>"1987-06-24"</f>
        <v>1987-06-24</v>
      </c>
      <c r="G73" s="8" t="str">
        <f t="shared" si="28"/>
        <v>本科</v>
      </c>
      <c r="H73" s="8" t="str">
        <f t="shared" si="29"/>
        <v>学士</v>
      </c>
    </row>
    <row r="74" ht="20" customHeight="1" spans="1:8">
      <c r="A74" s="7">
        <v>72</v>
      </c>
      <c r="B74" s="8" t="str">
        <f>"22812020042010324521640"</f>
        <v>22812020042010324521640</v>
      </c>
      <c r="C74" s="8" t="s">
        <v>10</v>
      </c>
      <c r="D74" s="8" t="str">
        <f>"王莹"</f>
        <v>王莹</v>
      </c>
      <c r="E74" s="8" t="str">
        <f t="shared" si="31"/>
        <v>女</v>
      </c>
      <c r="F74" s="8" t="str">
        <f>"1989-12-19"</f>
        <v>1989-12-19</v>
      </c>
      <c r="G74" s="8" t="str">
        <f t="shared" si="28"/>
        <v>本科</v>
      </c>
      <c r="H74" s="8" t="str">
        <f t="shared" si="29"/>
        <v>学士</v>
      </c>
    </row>
    <row r="75" ht="20" customHeight="1" spans="1:8">
      <c r="A75" s="7">
        <v>73</v>
      </c>
      <c r="B75" s="8" t="str">
        <f>"22812020042010325921641"</f>
        <v>22812020042010325921641</v>
      </c>
      <c r="C75" s="8" t="s">
        <v>10</v>
      </c>
      <c r="D75" s="8" t="str">
        <f>"曹圣义"</f>
        <v>曹圣义</v>
      </c>
      <c r="E75" s="8" t="str">
        <f t="shared" si="30"/>
        <v>男</v>
      </c>
      <c r="F75" s="8" t="str">
        <f>"1995-10-06"</f>
        <v>1995-10-06</v>
      </c>
      <c r="G75" s="8" t="str">
        <f t="shared" si="28"/>
        <v>本科</v>
      </c>
      <c r="H75" s="8" t="str">
        <f t="shared" si="29"/>
        <v>学士</v>
      </c>
    </row>
    <row r="76" ht="20" customHeight="1" spans="1:8">
      <c r="A76" s="7">
        <v>74</v>
      </c>
      <c r="B76" s="8" t="str">
        <f>"22812020042010374321644"</f>
        <v>22812020042010374321644</v>
      </c>
      <c r="C76" s="8" t="s">
        <v>10</v>
      </c>
      <c r="D76" s="8" t="str">
        <f>"丁梓冉"</f>
        <v>丁梓冉</v>
      </c>
      <c r="E76" s="8" t="str">
        <f t="shared" si="31"/>
        <v>女</v>
      </c>
      <c r="F76" s="8" t="str">
        <f>"1995-08-27"</f>
        <v>1995-08-27</v>
      </c>
      <c r="G76" s="8" t="str">
        <f t="shared" si="28"/>
        <v>本科</v>
      </c>
      <c r="H76" s="8" t="str">
        <f t="shared" si="29"/>
        <v>学士</v>
      </c>
    </row>
    <row r="77" ht="20" customHeight="1" spans="1:8">
      <c r="A77" s="7">
        <v>75</v>
      </c>
      <c r="B77" s="8" t="str">
        <f>"22812020042010420921646"</f>
        <v>22812020042010420921646</v>
      </c>
      <c r="C77" s="8" t="s">
        <v>10</v>
      </c>
      <c r="D77" s="8" t="str">
        <f>"孙珂珺"</f>
        <v>孙珂珺</v>
      </c>
      <c r="E77" s="8" t="str">
        <f t="shared" si="31"/>
        <v>女</v>
      </c>
      <c r="F77" s="8" t="str">
        <f>"1989-07-29"</f>
        <v>1989-07-29</v>
      </c>
      <c r="G77" s="8" t="str">
        <f t="shared" si="28"/>
        <v>本科</v>
      </c>
      <c r="H77" s="8" t="str">
        <f t="shared" si="29"/>
        <v>学士</v>
      </c>
    </row>
    <row r="78" ht="20" customHeight="1" spans="1:8">
      <c r="A78" s="7">
        <v>76</v>
      </c>
      <c r="B78" s="8" t="str">
        <f>"22812020042010434721649"</f>
        <v>22812020042010434721649</v>
      </c>
      <c r="C78" s="8" t="s">
        <v>10</v>
      </c>
      <c r="D78" s="8" t="str">
        <f>"艾三多"</f>
        <v>艾三多</v>
      </c>
      <c r="E78" s="8" t="str">
        <f>"男"</f>
        <v>男</v>
      </c>
      <c r="F78" s="8" t="str">
        <f>"1993-02-28"</f>
        <v>1993-02-28</v>
      </c>
      <c r="G78" s="8" t="str">
        <f t="shared" si="28"/>
        <v>本科</v>
      </c>
      <c r="H78" s="8" t="str">
        <f t="shared" si="29"/>
        <v>学士</v>
      </c>
    </row>
    <row r="79" ht="20" customHeight="1" spans="1:8">
      <c r="A79" s="7">
        <v>77</v>
      </c>
      <c r="B79" s="8" t="str">
        <f>"22812020042010440321650"</f>
        <v>22812020042010440321650</v>
      </c>
      <c r="C79" s="8" t="s">
        <v>10</v>
      </c>
      <c r="D79" s="8" t="str">
        <f>"阮钰"</f>
        <v>阮钰</v>
      </c>
      <c r="E79" s="8" t="str">
        <f t="shared" ref="E79:E82" si="32">"女"</f>
        <v>女</v>
      </c>
      <c r="F79" s="8" t="str">
        <f>"1994-12-01"</f>
        <v>1994-12-01</v>
      </c>
      <c r="G79" s="8" t="str">
        <f t="shared" si="28"/>
        <v>本科</v>
      </c>
      <c r="H79" s="8" t="str">
        <f t="shared" si="29"/>
        <v>学士</v>
      </c>
    </row>
    <row r="80" ht="20" customHeight="1" spans="1:8">
      <c r="A80" s="7">
        <v>78</v>
      </c>
      <c r="B80" s="8" t="str">
        <f>"22812020042010524421659"</f>
        <v>22812020042010524421659</v>
      </c>
      <c r="C80" s="8" t="s">
        <v>10</v>
      </c>
      <c r="D80" s="8" t="str">
        <f>"吴炜"</f>
        <v>吴炜</v>
      </c>
      <c r="E80" s="8" t="str">
        <f t="shared" si="32"/>
        <v>女</v>
      </c>
      <c r="F80" s="8" t="str">
        <f>"1997-01-08"</f>
        <v>1997-01-08</v>
      </c>
      <c r="G80" s="8" t="str">
        <f t="shared" si="28"/>
        <v>本科</v>
      </c>
      <c r="H80" s="8" t="str">
        <f t="shared" si="29"/>
        <v>学士</v>
      </c>
    </row>
    <row r="81" ht="20" customHeight="1" spans="1:8">
      <c r="A81" s="7">
        <v>79</v>
      </c>
      <c r="B81" s="8" t="str">
        <f>"22812020042010530121660"</f>
        <v>22812020042010530121660</v>
      </c>
      <c r="C81" s="8" t="s">
        <v>10</v>
      </c>
      <c r="D81" s="8" t="str">
        <f>"刘轩"</f>
        <v>刘轩</v>
      </c>
      <c r="E81" s="8" t="str">
        <f t="shared" si="32"/>
        <v>女</v>
      </c>
      <c r="F81" s="8" t="str">
        <f>"1992-08-23"</f>
        <v>1992-08-23</v>
      </c>
      <c r="G81" s="8" t="str">
        <f t="shared" si="28"/>
        <v>本科</v>
      </c>
      <c r="H81" s="8" t="str">
        <f t="shared" si="29"/>
        <v>学士</v>
      </c>
    </row>
    <row r="82" ht="20" customHeight="1" spans="1:8">
      <c r="A82" s="7">
        <v>80</v>
      </c>
      <c r="B82" s="8" t="str">
        <f>"22812020042010580121665"</f>
        <v>22812020042010580121665</v>
      </c>
      <c r="C82" s="8" t="s">
        <v>10</v>
      </c>
      <c r="D82" s="8" t="str">
        <f>"王静"</f>
        <v>王静</v>
      </c>
      <c r="E82" s="8" t="str">
        <f t="shared" si="32"/>
        <v>女</v>
      </c>
      <c r="F82" s="8" t="str">
        <f>"1997-09-24"</f>
        <v>1997-09-24</v>
      </c>
      <c r="G82" s="8" t="str">
        <f t="shared" si="28"/>
        <v>本科</v>
      </c>
      <c r="H82" s="8" t="str">
        <f t="shared" si="29"/>
        <v>学士</v>
      </c>
    </row>
    <row r="83" ht="20" customHeight="1" spans="1:8">
      <c r="A83" s="7">
        <v>81</v>
      </c>
      <c r="B83" s="8" t="str">
        <f>"22812020042011025821668"</f>
        <v>22812020042011025821668</v>
      </c>
      <c r="C83" s="8" t="s">
        <v>10</v>
      </c>
      <c r="D83" s="8" t="str">
        <f>"陈泰锎"</f>
        <v>陈泰锎</v>
      </c>
      <c r="E83" s="8" t="str">
        <f>"男"</f>
        <v>男</v>
      </c>
      <c r="F83" s="8" t="str">
        <f>"1995-08-19"</f>
        <v>1995-08-19</v>
      </c>
      <c r="G83" s="8" t="str">
        <f t="shared" si="28"/>
        <v>本科</v>
      </c>
      <c r="H83" s="8" t="str">
        <f t="shared" si="29"/>
        <v>学士</v>
      </c>
    </row>
    <row r="84" ht="20" customHeight="1" spans="1:8">
      <c r="A84" s="7">
        <v>82</v>
      </c>
      <c r="B84" s="8" t="str">
        <f>"22812020042011042721669"</f>
        <v>22812020042011042721669</v>
      </c>
      <c r="C84" s="8" t="s">
        <v>10</v>
      </c>
      <c r="D84" s="8" t="str">
        <f>"李颖"</f>
        <v>李颖</v>
      </c>
      <c r="E84" s="8" t="str">
        <f t="shared" ref="E84:E88" si="33">"女"</f>
        <v>女</v>
      </c>
      <c r="F84" s="8" t="str">
        <f>"1995-06-06"</f>
        <v>1995-06-06</v>
      </c>
      <c r="G84" s="8" t="str">
        <f t="shared" si="28"/>
        <v>本科</v>
      </c>
      <c r="H84" s="8" t="str">
        <f t="shared" si="29"/>
        <v>学士</v>
      </c>
    </row>
    <row r="85" ht="20" customHeight="1" spans="1:8">
      <c r="A85" s="7">
        <v>83</v>
      </c>
      <c r="B85" s="8" t="str">
        <f>"22812020042011080121670"</f>
        <v>22812020042011080121670</v>
      </c>
      <c r="C85" s="8" t="s">
        <v>10</v>
      </c>
      <c r="D85" s="8" t="str">
        <f>"刘妍"</f>
        <v>刘妍</v>
      </c>
      <c r="E85" s="8" t="str">
        <f t="shared" si="33"/>
        <v>女</v>
      </c>
      <c r="F85" s="8" t="str">
        <f>"1989-01-09"</f>
        <v>1989-01-09</v>
      </c>
      <c r="G85" s="8" t="str">
        <f t="shared" si="28"/>
        <v>本科</v>
      </c>
      <c r="H85" s="8" t="str">
        <f t="shared" si="29"/>
        <v>学士</v>
      </c>
    </row>
    <row r="86" ht="20" customHeight="1" spans="1:8">
      <c r="A86" s="7">
        <v>84</v>
      </c>
      <c r="B86" s="8" t="str">
        <f>"22812020042011224421679"</f>
        <v>22812020042011224421679</v>
      </c>
      <c r="C86" s="8" t="s">
        <v>10</v>
      </c>
      <c r="D86" s="8" t="str">
        <f>"叶蕾"</f>
        <v>叶蕾</v>
      </c>
      <c r="E86" s="8" t="str">
        <f t="shared" si="33"/>
        <v>女</v>
      </c>
      <c r="F86" s="8" t="str">
        <f>"1994-10-07"</f>
        <v>1994-10-07</v>
      </c>
      <c r="G86" s="8" t="str">
        <f t="shared" si="28"/>
        <v>本科</v>
      </c>
      <c r="H86" s="8" t="str">
        <f t="shared" si="29"/>
        <v>学士</v>
      </c>
    </row>
    <row r="87" ht="20" customHeight="1" spans="1:8">
      <c r="A87" s="7">
        <v>85</v>
      </c>
      <c r="B87" s="8" t="str">
        <f>"22812020042011362821684"</f>
        <v>22812020042011362821684</v>
      </c>
      <c r="C87" s="8" t="s">
        <v>10</v>
      </c>
      <c r="D87" s="8" t="str">
        <f>"李芷欣"</f>
        <v>李芷欣</v>
      </c>
      <c r="E87" s="8" t="str">
        <f t="shared" si="33"/>
        <v>女</v>
      </c>
      <c r="F87" s="8" t="str">
        <f>"1994-10-16"</f>
        <v>1994-10-16</v>
      </c>
      <c r="G87" s="8" t="str">
        <f t="shared" si="28"/>
        <v>本科</v>
      </c>
      <c r="H87" s="8" t="str">
        <f t="shared" si="29"/>
        <v>学士</v>
      </c>
    </row>
    <row r="88" ht="20" customHeight="1" spans="1:8">
      <c r="A88" s="7">
        <v>86</v>
      </c>
      <c r="B88" s="8" t="str">
        <f>"22812020042011400321685"</f>
        <v>22812020042011400321685</v>
      </c>
      <c r="C88" s="8" t="s">
        <v>10</v>
      </c>
      <c r="D88" s="8" t="str">
        <f>"朱海凤"</f>
        <v>朱海凤</v>
      </c>
      <c r="E88" s="8" t="str">
        <f t="shared" si="33"/>
        <v>女</v>
      </c>
      <c r="F88" s="8" t="str">
        <f>"1996-07-05"</f>
        <v>1996-07-05</v>
      </c>
      <c r="G88" s="8" t="str">
        <f t="shared" si="28"/>
        <v>本科</v>
      </c>
      <c r="H88" s="8" t="str">
        <f t="shared" si="29"/>
        <v>学士</v>
      </c>
    </row>
    <row r="89" ht="20" customHeight="1" spans="1:8">
      <c r="A89" s="7">
        <v>87</v>
      </c>
      <c r="B89" s="8" t="str">
        <f>"22812020042011455221687"</f>
        <v>22812020042011455221687</v>
      </c>
      <c r="C89" s="8" t="s">
        <v>10</v>
      </c>
      <c r="D89" s="8" t="str">
        <f>"陈海清"</f>
        <v>陈海清</v>
      </c>
      <c r="E89" s="8" t="str">
        <f>"男"</f>
        <v>男</v>
      </c>
      <c r="F89" s="8" t="str">
        <f>"1986-03-02"</f>
        <v>1986-03-02</v>
      </c>
      <c r="G89" s="8" t="str">
        <f t="shared" si="28"/>
        <v>本科</v>
      </c>
      <c r="H89" s="8" t="str">
        <f t="shared" si="29"/>
        <v>学士</v>
      </c>
    </row>
    <row r="90" ht="20" customHeight="1" spans="1:8">
      <c r="A90" s="7">
        <v>88</v>
      </c>
      <c r="B90" s="8" t="str">
        <f>"22812020042011565321692"</f>
        <v>22812020042011565321692</v>
      </c>
      <c r="C90" s="8" t="s">
        <v>10</v>
      </c>
      <c r="D90" s="8" t="str">
        <f>"罗宗巧"</f>
        <v>罗宗巧</v>
      </c>
      <c r="E90" s="8" t="str">
        <f t="shared" ref="E90:E95" si="34">"女"</f>
        <v>女</v>
      </c>
      <c r="F90" s="8" t="str">
        <f>"1989-11-09"</f>
        <v>1989-11-09</v>
      </c>
      <c r="G90" s="8" t="str">
        <f t="shared" si="28"/>
        <v>本科</v>
      </c>
      <c r="H90" s="8" t="str">
        <f t="shared" si="29"/>
        <v>学士</v>
      </c>
    </row>
    <row r="91" ht="20" customHeight="1" spans="1:8">
      <c r="A91" s="7">
        <v>89</v>
      </c>
      <c r="B91" s="8" t="str">
        <f>"22812020042012100721698"</f>
        <v>22812020042012100721698</v>
      </c>
      <c r="C91" s="8" t="s">
        <v>10</v>
      </c>
      <c r="D91" s="8" t="str">
        <f>"吴丽佳"</f>
        <v>吴丽佳</v>
      </c>
      <c r="E91" s="8" t="str">
        <f t="shared" si="34"/>
        <v>女</v>
      </c>
      <c r="F91" s="8" t="str">
        <f>"1995-08-16"</f>
        <v>1995-08-16</v>
      </c>
      <c r="G91" s="8" t="str">
        <f t="shared" si="28"/>
        <v>本科</v>
      </c>
      <c r="H91" s="8" t="str">
        <f t="shared" si="29"/>
        <v>学士</v>
      </c>
    </row>
    <row r="92" ht="20" customHeight="1" spans="1:8">
      <c r="A92" s="7">
        <v>90</v>
      </c>
      <c r="B92" s="8" t="str">
        <f>"22812020042012232721701"</f>
        <v>22812020042012232721701</v>
      </c>
      <c r="C92" s="8" t="s">
        <v>10</v>
      </c>
      <c r="D92" s="8" t="str">
        <f>"郑维乙"</f>
        <v>郑维乙</v>
      </c>
      <c r="E92" s="8" t="str">
        <f>"男"</f>
        <v>男</v>
      </c>
      <c r="F92" s="8" t="str">
        <f>"1994-02-19"</f>
        <v>1994-02-19</v>
      </c>
      <c r="G92" s="8" t="str">
        <f t="shared" ref="G92:G94" si="35">"研究生"</f>
        <v>研究生</v>
      </c>
      <c r="H92" s="8" t="str">
        <f t="shared" ref="H92:H94" si="36">"硕士"</f>
        <v>硕士</v>
      </c>
    </row>
    <row r="93" ht="20" customHeight="1" spans="1:8">
      <c r="A93" s="7">
        <v>91</v>
      </c>
      <c r="B93" s="8" t="str">
        <f>"22812020042012271121703"</f>
        <v>22812020042012271121703</v>
      </c>
      <c r="C93" s="8" t="s">
        <v>10</v>
      </c>
      <c r="D93" s="8" t="str">
        <f>"陈琬森"</f>
        <v>陈琬森</v>
      </c>
      <c r="E93" s="8" t="str">
        <f t="shared" si="34"/>
        <v>女</v>
      </c>
      <c r="F93" s="8" t="str">
        <f>"1986-08-31"</f>
        <v>1986-08-31</v>
      </c>
      <c r="G93" s="8" t="str">
        <f t="shared" si="35"/>
        <v>研究生</v>
      </c>
      <c r="H93" s="8" t="str">
        <f t="shared" si="36"/>
        <v>硕士</v>
      </c>
    </row>
    <row r="94" ht="20" customHeight="1" spans="1:8">
      <c r="A94" s="7">
        <v>92</v>
      </c>
      <c r="B94" s="8" t="str">
        <f>"22812020042012493721709"</f>
        <v>22812020042012493721709</v>
      </c>
      <c r="C94" s="8" t="s">
        <v>10</v>
      </c>
      <c r="D94" s="8" t="str">
        <f>"徐敏超"</f>
        <v>徐敏超</v>
      </c>
      <c r="E94" s="8" t="str">
        <f t="shared" si="34"/>
        <v>女</v>
      </c>
      <c r="F94" s="8" t="str">
        <f>"1993-11-03"</f>
        <v>1993-11-03</v>
      </c>
      <c r="G94" s="8" t="str">
        <f t="shared" si="35"/>
        <v>研究生</v>
      </c>
      <c r="H94" s="8" t="str">
        <f t="shared" si="36"/>
        <v>硕士</v>
      </c>
    </row>
    <row r="95" ht="20" customHeight="1" spans="1:8">
      <c r="A95" s="7">
        <v>93</v>
      </c>
      <c r="B95" s="8" t="str">
        <f>"22812020042012561021712"</f>
        <v>22812020042012561021712</v>
      </c>
      <c r="C95" s="8" t="s">
        <v>10</v>
      </c>
      <c r="D95" s="8" t="str">
        <f>"林燕"</f>
        <v>林燕</v>
      </c>
      <c r="E95" s="8" t="str">
        <f t="shared" si="34"/>
        <v>女</v>
      </c>
      <c r="F95" s="8" t="str">
        <f>"1993-08-19"</f>
        <v>1993-08-19</v>
      </c>
      <c r="G95" s="8" t="str">
        <f t="shared" ref="G95:G144" si="37">"本科"</f>
        <v>本科</v>
      </c>
      <c r="H95" s="8" t="str">
        <f t="shared" ref="H95:H144" si="38">"学士"</f>
        <v>学士</v>
      </c>
    </row>
    <row r="96" ht="20" customHeight="1" spans="1:8">
      <c r="A96" s="7">
        <v>94</v>
      </c>
      <c r="B96" s="8" t="str">
        <f>"22812020042013063921713"</f>
        <v>22812020042013063921713</v>
      </c>
      <c r="C96" s="8" t="s">
        <v>10</v>
      </c>
      <c r="D96" s="8" t="str">
        <f>"邢钦波"</f>
        <v>邢钦波</v>
      </c>
      <c r="E96" s="8" t="str">
        <f t="shared" ref="E96:E101" si="39">"男"</f>
        <v>男</v>
      </c>
      <c r="F96" s="8" t="str">
        <f>"1986-08-09"</f>
        <v>1986-08-09</v>
      </c>
      <c r="G96" s="8" t="str">
        <f t="shared" si="37"/>
        <v>本科</v>
      </c>
      <c r="H96" s="8" t="str">
        <f t="shared" si="38"/>
        <v>学士</v>
      </c>
    </row>
    <row r="97" ht="20" customHeight="1" spans="1:8">
      <c r="A97" s="7">
        <v>95</v>
      </c>
      <c r="B97" s="8" t="str">
        <f>"22812020042013140921715"</f>
        <v>22812020042013140921715</v>
      </c>
      <c r="C97" s="8" t="s">
        <v>10</v>
      </c>
      <c r="D97" s="8" t="str">
        <f>"冯婷婷"</f>
        <v>冯婷婷</v>
      </c>
      <c r="E97" s="8" t="str">
        <f t="shared" ref="E97:E99" si="40">"女"</f>
        <v>女</v>
      </c>
      <c r="F97" s="8" t="str">
        <f>"1993-08-10"</f>
        <v>1993-08-10</v>
      </c>
      <c r="G97" s="8" t="str">
        <f t="shared" si="37"/>
        <v>本科</v>
      </c>
      <c r="H97" s="8" t="str">
        <f t="shared" si="38"/>
        <v>学士</v>
      </c>
    </row>
    <row r="98" ht="20" customHeight="1" spans="1:8">
      <c r="A98" s="7">
        <v>96</v>
      </c>
      <c r="B98" s="8" t="str">
        <f>"22812020042013205221718"</f>
        <v>22812020042013205221718</v>
      </c>
      <c r="C98" s="8" t="s">
        <v>10</v>
      </c>
      <c r="D98" s="8" t="str">
        <f>"谭娜"</f>
        <v>谭娜</v>
      </c>
      <c r="E98" s="8" t="str">
        <f t="shared" si="40"/>
        <v>女</v>
      </c>
      <c r="F98" s="8" t="str">
        <f>"1994-05-26"</f>
        <v>1994-05-26</v>
      </c>
      <c r="G98" s="8" t="str">
        <f t="shared" si="37"/>
        <v>本科</v>
      </c>
      <c r="H98" s="8" t="str">
        <f t="shared" si="38"/>
        <v>学士</v>
      </c>
    </row>
    <row r="99" ht="20" customHeight="1" spans="1:8">
      <c r="A99" s="7">
        <v>97</v>
      </c>
      <c r="B99" s="8" t="str">
        <f>"22812020042013384321719"</f>
        <v>22812020042013384321719</v>
      </c>
      <c r="C99" s="8" t="s">
        <v>10</v>
      </c>
      <c r="D99" s="8" t="str">
        <f>"王怡婷"</f>
        <v>王怡婷</v>
      </c>
      <c r="E99" s="8" t="str">
        <f t="shared" si="40"/>
        <v>女</v>
      </c>
      <c r="F99" s="8" t="str">
        <f>"1990-08-05"</f>
        <v>1990-08-05</v>
      </c>
      <c r="G99" s="8" t="str">
        <f t="shared" si="37"/>
        <v>本科</v>
      </c>
      <c r="H99" s="8" t="str">
        <f t="shared" si="38"/>
        <v>学士</v>
      </c>
    </row>
    <row r="100" ht="20" customHeight="1" spans="1:8">
      <c r="A100" s="7">
        <v>98</v>
      </c>
      <c r="B100" s="8" t="str">
        <f>"22812020042013405921720"</f>
        <v>22812020042013405921720</v>
      </c>
      <c r="C100" s="8" t="s">
        <v>10</v>
      </c>
      <c r="D100" s="8" t="str">
        <f>"钟书云"</f>
        <v>钟书云</v>
      </c>
      <c r="E100" s="8" t="str">
        <f t="shared" si="39"/>
        <v>男</v>
      </c>
      <c r="F100" s="8" t="str">
        <f>"1997-09-25"</f>
        <v>1997-09-25</v>
      </c>
      <c r="G100" s="8" t="str">
        <f t="shared" si="37"/>
        <v>本科</v>
      </c>
      <c r="H100" s="8" t="str">
        <f t="shared" si="38"/>
        <v>学士</v>
      </c>
    </row>
    <row r="101" ht="20" customHeight="1" spans="1:8">
      <c r="A101" s="7">
        <v>99</v>
      </c>
      <c r="B101" s="8" t="str">
        <f>"22812020042014111521727"</f>
        <v>22812020042014111521727</v>
      </c>
      <c r="C101" s="8" t="s">
        <v>10</v>
      </c>
      <c r="D101" s="8" t="str">
        <f>"陈永帅"</f>
        <v>陈永帅</v>
      </c>
      <c r="E101" s="8" t="str">
        <f t="shared" si="39"/>
        <v>男</v>
      </c>
      <c r="F101" s="8" t="str">
        <f>"1996-04-05"</f>
        <v>1996-04-05</v>
      </c>
      <c r="G101" s="8" t="str">
        <f t="shared" si="37"/>
        <v>本科</v>
      </c>
      <c r="H101" s="8" t="str">
        <f t="shared" si="38"/>
        <v>学士</v>
      </c>
    </row>
    <row r="102" ht="20" customHeight="1" spans="1:8">
      <c r="A102" s="7">
        <v>100</v>
      </c>
      <c r="B102" s="8" t="str">
        <f>"22812020042014530921734"</f>
        <v>22812020042014530921734</v>
      </c>
      <c r="C102" s="8" t="s">
        <v>10</v>
      </c>
      <c r="D102" s="8" t="str">
        <f>"林琛"</f>
        <v>林琛</v>
      </c>
      <c r="E102" s="8" t="str">
        <f t="shared" ref="E102:E123" si="41">"女"</f>
        <v>女</v>
      </c>
      <c r="F102" s="8" t="str">
        <f>"1991-05-14"</f>
        <v>1991-05-14</v>
      </c>
      <c r="G102" s="8" t="str">
        <f t="shared" si="37"/>
        <v>本科</v>
      </c>
      <c r="H102" s="8" t="str">
        <f t="shared" si="38"/>
        <v>学士</v>
      </c>
    </row>
    <row r="103" ht="20" customHeight="1" spans="1:8">
      <c r="A103" s="7">
        <v>101</v>
      </c>
      <c r="B103" s="8" t="str">
        <f>"22812020042014563821736"</f>
        <v>22812020042014563821736</v>
      </c>
      <c r="C103" s="8" t="s">
        <v>10</v>
      </c>
      <c r="D103" s="8" t="str">
        <f>"吴玉兴"</f>
        <v>吴玉兴</v>
      </c>
      <c r="E103" s="8" t="str">
        <f t="shared" si="41"/>
        <v>女</v>
      </c>
      <c r="F103" s="8" t="str">
        <f>"1993-03-18"</f>
        <v>1993-03-18</v>
      </c>
      <c r="G103" s="8" t="str">
        <f t="shared" si="37"/>
        <v>本科</v>
      </c>
      <c r="H103" s="8" t="str">
        <f t="shared" si="38"/>
        <v>学士</v>
      </c>
    </row>
    <row r="104" ht="20" customHeight="1" spans="1:8">
      <c r="A104" s="7">
        <v>102</v>
      </c>
      <c r="B104" s="8" t="str">
        <f>"22812020042015052821738"</f>
        <v>22812020042015052821738</v>
      </c>
      <c r="C104" s="8" t="s">
        <v>10</v>
      </c>
      <c r="D104" s="8" t="str">
        <f>"李冬岩"</f>
        <v>李冬岩</v>
      </c>
      <c r="E104" s="8" t="str">
        <f t="shared" si="41"/>
        <v>女</v>
      </c>
      <c r="F104" s="8" t="str">
        <f>"1993-12-20"</f>
        <v>1993-12-20</v>
      </c>
      <c r="G104" s="8" t="str">
        <f t="shared" si="37"/>
        <v>本科</v>
      </c>
      <c r="H104" s="8" t="str">
        <f t="shared" si="38"/>
        <v>学士</v>
      </c>
    </row>
    <row r="105" ht="20" customHeight="1" spans="1:8">
      <c r="A105" s="7">
        <v>103</v>
      </c>
      <c r="B105" s="8" t="str">
        <f>"22812020042015063021739"</f>
        <v>22812020042015063021739</v>
      </c>
      <c r="C105" s="8" t="s">
        <v>10</v>
      </c>
      <c r="D105" s="8" t="str">
        <f>"张佳仪"</f>
        <v>张佳仪</v>
      </c>
      <c r="E105" s="8" t="str">
        <f t="shared" si="41"/>
        <v>女</v>
      </c>
      <c r="F105" s="8" t="str">
        <f>"1994-06-09"</f>
        <v>1994-06-09</v>
      </c>
      <c r="G105" s="8" t="str">
        <f t="shared" si="37"/>
        <v>本科</v>
      </c>
      <c r="H105" s="8" t="str">
        <f t="shared" si="38"/>
        <v>学士</v>
      </c>
    </row>
    <row r="106" ht="20" customHeight="1" spans="1:8">
      <c r="A106" s="7">
        <v>104</v>
      </c>
      <c r="B106" s="8" t="str">
        <f>"22812020042015172721745"</f>
        <v>22812020042015172721745</v>
      </c>
      <c r="C106" s="8" t="s">
        <v>10</v>
      </c>
      <c r="D106" s="8" t="str">
        <f>"刘睿晗"</f>
        <v>刘睿晗</v>
      </c>
      <c r="E106" s="8" t="str">
        <f t="shared" si="41"/>
        <v>女</v>
      </c>
      <c r="F106" s="8" t="str">
        <f>"1990-03-28"</f>
        <v>1990-03-28</v>
      </c>
      <c r="G106" s="8" t="str">
        <f t="shared" si="37"/>
        <v>本科</v>
      </c>
      <c r="H106" s="8" t="str">
        <f t="shared" si="38"/>
        <v>学士</v>
      </c>
    </row>
    <row r="107" ht="20" customHeight="1" spans="1:8">
      <c r="A107" s="7">
        <v>105</v>
      </c>
      <c r="B107" s="8" t="str">
        <f>"22812020042015243721747"</f>
        <v>22812020042015243721747</v>
      </c>
      <c r="C107" s="8" t="s">
        <v>10</v>
      </c>
      <c r="D107" s="8" t="str">
        <f>"和文静"</f>
        <v>和文静</v>
      </c>
      <c r="E107" s="8" t="str">
        <f t="shared" si="41"/>
        <v>女</v>
      </c>
      <c r="F107" s="8" t="str">
        <f>"1998-08-14"</f>
        <v>1998-08-14</v>
      </c>
      <c r="G107" s="8" t="str">
        <f t="shared" si="37"/>
        <v>本科</v>
      </c>
      <c r="H107" s="8" t="str">
        <f t="shared" si="38"/>
        <v>学士</v>
      </c>
    </row>
    <row r="108" ht="20" customHeight="1" spans="1:8">
      <c r="A108" s="7">
        <v>106</v>
      </c>
      <c r="B108" s="8" t="str">
        <f>"22812020042015371721753"</f>
        <v>22812020042015371721753</v>
      </c>
      <c r="C108" s="8" t="s">
        <v>10</v>
      </c>
      <c r="D108" s="8" t="str">
        <f>"孟凡佳"</f>
        <v>孟凡佳</v>
      </c>
      <c r="E108" s="8" t="str">
        <f t="shared" si="41"/>
        <v>女</v>
      </c>
      <c r="F108" s="8" t="str">
        <f>"1989-05-22"</f>
        <v>1989-05-22</v>
      </c>
      <c r="G108" s="8" t="str">
        <f t="shared" si="37"/>
        <v>本科</v>
      </c>
      <c r="H108" s="8" t="str">
        <f t="shared" si="38"/>
        <v>学士</v>
      </c>
    </row>
    <row r="109" ht="20" customHeight="1" spans="1:8">
      <c r="A109" s="7">
        <v>107</v>
      </c>
      <c r="B109" s="8" t="str">
        <f>"22812020042015430821755"</f>
        <v>22812020042015430821755</v>
      </c>
      <c r="C109" s="8" t="s">
        <v>10</v>
      </c>
      <c r="D109" s="8" t="str">
        <f>"李誉"</f>
        <v>李誉</v>
      </c>
      <c r="E109" s="8" t="str">
        <f t="shared" si="41"/>
        <v>女</v>
      </c>
      <c r="F109" s="8" t="str">
        <f>"1993-02-18"</f>
        <v>1993-02-18</v>
      </c>
      <c r="G109" s="8" t="str">
        <f t="shared" si="37"/>
        <v>本科</v>
      </c>
      <c r="H109" s="8" t="str">
        <f t="shared" si="38"/>
        <v>学士</v>
      </c>
    </row>
    <row r="110" ht="20" customHeight="1" spans="1:8">
      <c r="A110" s="7">
        <v>108</v>
      </c>
      <c r="B110" s="8" t="str">
        <f>"22812020042015591921757"</f>
        <v>22812020042015591921757</v>
      </c>
      <c r="C110" s="8" t="s">
        <v>10</v>
      </c>
      <c r="D110" s="8" t="str">
        <f>"黄臻"</f>
        <v>黄臻</v>
      </c>
      <c r="E110" s="8" t="str">
        <f t="shared" si="41"/>
        <v>女</v>
      </c>
      <c r="F110" s="8" t="str">
        <f>"1996-09-03"</f>
        <v>1996-09-03</v>
      </c>
      <c r="G110" s="8" t="str">
        <f t="shared" si="37"/>
        <v>本科</v>
      </c>
      <c r="H110" s="8" t="str">
        <f t="shared" si="38"/>
        <v>学士</v>
      </c>
    </row>
    <row r="111" ht="20" customHeight="1" spans="1:8">
      <c r="A111" s="7">
        <v>109</v>
      </c>
      <c r="B111" s="8" t="str">
        <f>"22812020042016192721763"</f>
        <v>22812020042016192721763</v>
      </c>
      <c r="C111" s="8" t="s">
        <v>10</v>
      </c>
      <c r="D111" s="8" t="str">
        <f>"李瑞"</f>
        <v>李瑞</v>
      </c>
      <c r="E111" s="8" t="str">
        <f t="shared" si="41"/>
        <v>女</v>
      </c>
      <c r="F111" s="8" t="str">
        <f>"1989-11-22"</f>
        <v>1989-11-22</v>
      </c>
      <c r="G111" s="8" t="str">
        <f t="shared" si="37"/>
        <v>本科</v>
      </c>
      <c r="H111" s="8" t="str">
        <f t="shared" si="38"/>
        <v>学士</v>
      </c>
    </row>
    <row r="112" ht="20" customHeight="1" spans="1:8">
      <c r="A112" s="7">
        <v>110</v>
      </c>
      <c r="B112" s="8" t="str">
        <f>"22812020042016253521767"</f>
        <v>22812020042016253521767</v>
      </c>
      <c r="C112" s="8" t="s">
        <v>10</v>
      </c>
      <c r="D112" s="8" t="str">
        <f>"吴晓君"</f>
        <v>吴晓君</v>
      </c>
      <c r="E112" s="8" t="str">
        <f t="shared" si="41"/>
        <v>女</v>
      </c>
      <c r="F112" s="8" t="str">
        <f>"1989-09-02"</f>
        <v>1989-09-02</v>
      </c>
      <c r="G112" s="8" t="str">
        <f t="shared" si="37"/>
        <v>本科</v>
      </c>
      <c r="H112" s="8" t="str">
        <f t="shared" si="38"/>
        <v>学士</v>
      </c>
    </row>
    <row r="113" ht="20" customHeight="1" spans="1:8">
      <c r="A113" s="7">
        <v>111</v>
      </c>
      <c r="B113" s="8" t="str">
        <f>"22812020042016325821770"</f>
        <v>22812020042016325821770</v>
      </c>
      <c r="C113" s="8" t="s">
        <v>10</v>
      </c>
      <c r="D113" s="8" t="str">
        <f>"朱孟丽"</f>
        <v>朱孟丽</v>
      </c>
      <c r="E113" s="8" t="str">
        <f t="shared" si="41"/>
        <v>女</v>
      </c>
      <c r="F113" s="8" t="str">
        <f>"1995-10-25"</f>
        <v>1995-10-25</v>
      </c>
      <c r="G113" s="8" t="str">
        <f t="shared" si="37"/>
        <v>本科</v>
      </c>
      <c r="H113" s="8" t="str">
        <f t="shared" si="38"/>
        <v>学士</v>
      </c>
    </row>
    <row r="114" ht="20" customHeight="1" spans="1:8">
      <c r="A114" s="7">
        <v>112</v>
      </c>
      <c r="B114" s="8" t="str">
        <f>"22812020042016494721777"</f>
        <v>22812020042016494721777</v>
      </c>
      <c r="C114" s="8" t="s">
        <v>10</v>
      </c>
      <c r="D114" s="8" t="str">
        <f>"陈婕"</f>
        <v>陈婕</v>
      </c>
      <c r="E114" s="8" t="str">
        <f t="shared" si="41"/>
        <v>女</v>
      </c>
      <c r="F114" s="8" t="str">
        <f>"1995-02-27"</f>
        <v>1995-02-27</v>
      </c>
      <c r="G114" s="8" t="str">
        <f t="shared" si="37"/>
        <v>本科</v>
      </c>
      <c r="H114" s="8" t="str">
        <f t="shared" si="38"/>
        <v>学士</v>
      </c>
    </row>
    <row r="115" ht="20" customHeight="1" spans="1:8">
      <c r="A115" s="7">
        <v>113</v>
      </c>
      <c r="B115" s="8" t="str">
        <f>"22812020042016543721778"</f>
        <v>22812020042016543721778</v>
      </c>
      <c r="C115" s="8" t="s">
        <v>10</v>
      </c>
      <c r="D115" s="8" t="str">
        <f>"庞广妹"</f>
        <v>庞广妹</v>
      </c>
      <c r="E115" s="8" t="str">
        <f t="shared" si="41"/>
        <v>女</v>
      </c>
      <c r="F115" s="8" t="str">
        <f>"1992-08-11"</f>
        <v>1992-08-11</v>
      </c>
      <c r="G115" s="8" t="str">
        <f t="shared" si="37"/>
        <v>本科</v>
      </c>
      <c r="H115" s="8" t="str">
        <f t="shared" si="38"/>
        <v>学士</v>
      </c>
    </row>
    <row r="116" ht="20" customHeight="1" spans="1:8">
      <c r="A116" s="7">
        <v>114</v>
      </c>
      <c r="B116" s="8" t="str">
        <f>"22812020042017220521786"</f>
        <v>22812020042017220521786</v>
      </c>
      <c r="C116" s="8" t="s">
        <v>10</v>
      </c>
      <c r="D116" s="8" t="str">
        <f>"陈立静"</f>
        <v>陈立静</v>
      </c>
      <c r="E116" s="8" t="str">
        <f t="shared" si="41"/>
        <v>女</v>
      </c>
      <c r="F116" s="8" t="str">
        <f>"1995-08-11"</f>
        <v>1995-08-11</v>
      </c>
      <c r="G116" s="8" t="str">
        <f t="shared" si="37"/>
        <v>本科</v>
      </c>
      <c r="H116" s="8" t="str">
        <f t="shared" si="38"/>
        <v>学士</v>
      </c>
    </row>
    <row r="117" ht="20" customHeight="1" spans="1:8">
      <c r="A117" s="7">
        <v>115</v>
      </c>
      <c r="B117" s="8" t="str">
        <f>"22812020042017371321793"</f>
        <v>22812020042017371321793</v>
      </c>
      <c r="C117" s="8" t="s">
        <v>10</v>
      </c>
      <c r="D117" s="8" t="str">
        <f>"文永雅"</f>
        <v>文永雅</v>
      </c>
      <c r="E117" s="8" t="str">
        <f t="shared" si="41"/>
        <v>女</v>
      </c>
      <c r="F117" s="8" t="str">
        <f>"1993-12-13"</f>
        <v>1993-12-13</v>
      </c>
      <c r="G117" s="8" t="str">
        <f t="shared" si="37"/>
        <v>本科</v>
      </c>
      <c r="H117" s="8" t="str">
        <f t="shared" si="38"/>
        <v>学士</v>
      </c>
    </row>
    <row r="118" ht="20" customHeight="1" spans="1:8">
      <c r="A118" s="7">
        <v>116</v>
      </c>
      <c r="B118" s="8" t="str">
        <f>"22812020042017541921795"</f>
        <v>22812020042017541921795</v>
      </c>
      <c r="C118" s="8" t="s">
        <v>10</v>
      </c>
      <c r="D118" s="8" t="str">
        <f>"蔡宏丽"</f>
        <v>蔡宏丽</v>
      </c>
      <c r="E118" s="8" t="str">
        <f t="shared" si="41"/>
        <v>女</v>
      </c>
      <c r="F118" s="8" t="str">
        <f>"1990-03-25"</f>
        <v>1990-03-25</v>
      </c>
      <c r="G118" s="8" t="str">
        <f t="shared" si="37"/>
        <v>本科</v>
      </c>
      <c r="H118" s="8" t="str">
        <f t="shared" si="38"/>
        <v>学士</v>
      </c>
    </row>
    <row r="119" ht="20" customHeight="1" spans="1:8">
      <c r="A119" s="7">
        <v>117</v>
      </c>
      <c r="B119" s="8" t="str">
        <f>"22812020042018024321800"</f>
        <v>22812020042018024321800</v>
      </c>
      <c r="C119" s="8" t="s">
        <v>10</v>
      </c>
      <c r="D119" s="8" t="str">
        <f>"钟慧"</f>
        <v>钟慧</v>
      </c>
      <c r="E119" s="8" t="str">
        <f t="shared" si="41"/>
        <v>女</v>
      </c>
      <c r="F119" s="8" t="str">
        <f>"1989-09-18"</f>
        <v>1989-09-18</v>
      </c>
      <c r="G119" s="8" t="str">
        <f t="shared" si="37"/>
        <v>本科</v>
      </c>
      <c r="H119" s="8" t="str">
        <f t="shared" si="38"/>
        <v>学士</v>
      </c>
    </row>
    <row r="120" ht="20" customHeight="1" spans="1:8">
      <c r="A120" s="7">
        <v>118</v>
      </c>
      <c r="B120" s="8" t="str">
        <f>"22812020042018132121803"</f>
        <v>22812020042018132121803</v>
      </c>
      <c r="C120" s="8" t="s">
        <v>10</v>
      </c>
      <c r="D120" s="8" t="str">
        <f>"王希"</f>
        <v>王希</v>
      </c>
      <c r="E120" s="8" t="str">
        <f t="shared" si="41"/>
        <v>女</v>
      </c>
      <c r="F120" s="8" t="str">
        <f>"1994-09-03"</f>
        <v>1994-09-03</v>
      </c>
      <c r="G120" s="8" t="str">
        <f t="shared" si="37"/>
        <v>本科</v>
      </c>
      <c r="H120" s="8" t="str">
        <f t="shared" si="38"/>
        <v>学士</v>
      </c>
    </row>
    <row r="121" ht="20" customHeight="1" spans="1:8">
      <c r="A121" s="7">
        <v>119</v>
      </c>
      <c r="B121" s="8" t="str">
        <f>"22812020042018463921810"</f>
        <v>22812020042018463921810</v>
      </c>
      <c r="C121" s="8" t="s">
        <v>10</v>
      </c>
      <c r="D121" s="8" t="str">
        <f>"林晓扬"</f>
        <v>林晓扬</v>
      </c>
      <c r="E121" s="8" t="str">
        <f t="shared" si="41"/>
        <v>女</v>
      </c>
      <c r="F121" s="8" t="str">
        <f>"1986-05-25"</f>
        <v>1986-05-25</v>
      </c>
      <c r="G121" s="8" t="str">
        <f t="shared" si="37"/>
        <v>本科</v>
      </c>
      <c r="H121" s="8" t="str">
        <f t="shared" si="38"/>
        <v>学士</v>
      </c>
    </row>
    <row r="122" ht="20" customHeight="1" spans="1:8">
      <c r="A122" s="7">
        <v>120</v>
      </c>
      <c r="B122" s="8" t="str">
        <f>"22812020042018512521812"</f>
        <v>22812020042018512521812</v>
      </c>
      <c r="C122" s="8" t="s">
        <v>10</v>
      </c>
      <c r="D122" s="8" t="str">
        <f>"韩旭"</f>
        <v>韩旭</v>
      </c>
      <c r="E122" s="8" t="str">
        <f t="shared" si="41"/>
        <v>女</v>
      </c>
      <c r="F122" s="8" t="str">
        <f>"1994-02-06"</f>
        <v>1994-02-06</v>
      </c>
      <c r="G122" s="8" t="str">
        <f t="shared" si="37"/>
        <v>本科</v>
      </c>
      <c r="H122" s="8" t="str">
        <f t="shared" si="38"/>
        <v>学士</v>
      </c>
    </row>
    <row r="123" ht="20" customHeight="1" spans="1:8">
      <c r="A123" s="7">
        <v>121</v>
      </c>
      <c r="B123" s="8" t="str">
        <f>"22812020042019040621815"</f>
        <v>22812020042019040621815</v>
      </c>
      <c r="C123" s="8" t="s">
        <v>10</v>
      </c>
      <c r="D123" s="8" t="str">
        <f>"刘雪娇"</f>
        <v>刘雪娇</v>
      </c>
      <c r="E123" s="8" t="str">
        <f t="shared" si="41"/>
        <v>女</v>
      </c>
      <c r="F123" s="8" t="str">
        <f>"1993-05-01"</f>
        <v>1993-05-01</v>
      </c>
      <c r="G123" s="8" t="str">
        <f t="shared" si="37"/>
        <v>本科</v>
      </c>
      <c r="H123" s="8" t="str">
        <f t="shared" si="38"/>
        <v>学士</v>
      </c>
    </row>
    <row r="124" ht="20" customHeight="1" spans="1:8">
      <c r="A124" s="7">
        <v>122</v>
      </c>
      <c r="B124" s="8" t="str">
        <f>"22812020042019164021818"</f>
        <v>22812020042019164021818</v>
      </c>
      <c r="C124" s="8" t="s">
        <v>10</v>
      </c>
      <c r="D124" s="8" t="str">
        <f>"赵明镜"</f>
        <v>赵明镜</v>
      </c>
      <c r="E124" s="8" t="str">
        <f t="shared" ref="E124:E127" si="42">"男"</f>
        <v>男</v>
      </c>
      <c r="F124" s="8" t="str">
        <f>"1988-03-05"</f>
        <v>1988-03-05</v>
      </c>
      <c r="G124" s="8" t="str">
        <f t="shared" si="37"/>
        <v>本科</v>
      </c>
      <c r="H124" s="8" t="str">
        <f t="shared" si="38"/>
        <v>学士</v>
      </c>
    </row>
    <row r="125" ht="20" customHeight="1" spans="1:8">
      <c r="A125" s="7">
        <v>123</v>
      </c>
      <c r="B125" s="8" t="str">
        <f>"22812020042019390521819"</f>
        <v>22812020042019390521819</v>
      </c>
      <c r="C125" s="8" t="s">
        <v>10</v>
      </c>
      <c r="D125" s="8" t="str">
        <f>"李林珂"</f>
        <v>李林珂</v>
      </c>
      <c r="E125" s="8" t="str">
        <f t="shared" ref="E125:E130" si="43">"女"</f>
        <v>女</v>
      </c>
      <c r="F125" s="8" t="str">
        <f>"1990-03-14"</f>
        <v>1990-03-14</v>
      </c>
      <c r="G125" s="8" t="str">
        <f t="shared" si="37"/>
        <v>本科</v>
      </c>
      <c r="H125" s="8" t="str">
        <f t="shared" si="38"/>
        <v>学士</v>
      </c>
    </row>
    <row r="126" ht="20" customHeight="1" spans="1:8">
      <c r="A126" s="7">
        <v>124</v>
      </c>
      <c r="B126" s="8" t="str">
        <f>"22812020042019461221820"</f>
        <v>22812020042019461221820</v>
      </c>
      <c r="C126" s="8" t="s">
        <v>10</v>
      </c>
      <c r="D126" s="8" t="str">
        <f>"吴幸森"</f>
        <v>吴幸森</v>
      </c>
      <c r="E126" s="8" t="str">
        <f t="shared" si="42"/>
        <v>男</v>
      </c>
      <c r="F126" s="8" t="str">
        <f>"1992-01-01"</f>
        <v>1992-01-01</v>
      </c>
      <c r="G126" s="8" t="str">
        <f t="shared" si="37"/>
        <v>本科</v>
      </c>
      <c r="H126" s="8" t="str">
        <f t="shared" si="38"/>
        <v>学士</v>
      </c>
    </row>
    <row r="127" ht="20" customHeight="1" spans="1:8">
      <c r="A127" s="7">
        <v>125</v>
      </c>
      <c r="B127" s="8" t="str">
        <f>"22812020042019481321822"</f>
        <v>22812020042019481321822</v>
      </c>
      <c r="C127" s="8" t="s">
        <v>10</v>
      </c>
      <c r="D127" s="8" t="str">
        <f>"莫光"</f>
        <v>莫光</v>
      </c>
      <c r="E127" s="8" t="str">
        <f t="shared" si="42"/>
        <v>男</v>
      </c>
      <c r="F127" s="8" t="str">
        <f>"1990-05-04"</f>
        <v>1990-05-04</v>
      </c>
      <c r="G127" s="8" t="str">
        <f t="shared" si="37"/>
        <v>本科</v>
      </c>
      <c r="H127" s="8" t="str">
        <f t="shared" si="38"/>
        <v>学士</v>
      </c>
    </row>
    <row r="128" ht="20" customHeight="1" spans="1:8">
      <c r="A128" s="7">
        <v>126</v>
      </c>
      <c r="B128" s="8" t="str">
        <f>"22812020042019550321824"</f>
        <v>22812020042019550321824</v>
      </c>
      <c r="C128" s="8" t="s">
        <v>10</v>
      </c>
      <c r="D128" s="8" t="str">
        <f>"麦秋翠"</f>
        <v>麦秋翠</v>
      </c>
      <c r="E128" s="8" t="str">
        <f t="shared" si="43"/>
        <v>女</v>
      </c>
      <c r="F128" s="8" t="str">
        <f>"1992-11-03"</f>
        <v>1992-11-03</v>
      </c>
      <c r="G128" s="8" t="str">
        <f t="shared" si="37"/>
        <v>本科</v>
      </c>
      <c r="H128" s="8" t="str">
        <f t="shared" si="38"/>
        <v>学士</v>
      </c>
    </row>
    <row r="129" ht="20" customHeight="1" spans="1:8">
      <c r="A129" s="7">
        <v>127</v>
      </c>
      <c r="B129" s="8" t="str">
        <f>"22812020042019571221826"</f>
        <v>22812020042019571221826</v>
      </c>
      <c r="C129" s="8" t="s">
        <v>10</v>
      </c>
      <c r="D129" s="8" t="str">
        <f>"郑雅芳"</f>
        <v>郑雅芳</v>
      </c>
      <c r="E129" s="8" t="str">
        <f t="shared" si="43"/>
        <v>女</v>
      </c>
      <c r="F129" s="8" t="str">
        <f>"1991-11-21"</f>
        <v>1991-11-21</v>
      </c>
      <c r="G129" s="8" t="str">
        <f t="shared" si="37"/>
        <v>本科</v>
      </c>
      <c r="H129" s="8" t="str">
        <f t="shared" si="38"/>
        <v>学士</v>
      </c>
    </row>
    <row r="130" ht="20" customHeight="1" spans="1:8">
      <c r="A130" s="7">
        <v>128</v>
      </c>
      <c r="B130" s="8" t="str">
        <f>"22812020042020300421835"</f>
        <v>22812020042020300421835</v>
      </c>
      <c r="C130" s="8" t="s">
        <v>10</v>
      </c>
      <c r="D130" s="8" t="str">
        <f>"王梦琳"</f>
        <v>王梦琳</v>
      </c>
      <c r="E130" s="8" t="str">
        <f t="shared" si="43"/>
        <v>女</v>
      </c>
      <c r="F130" s="8" t="str">
        <f>"1990-05-12"</f>
        <v>1990-05-12</v>
      </c>
      <c r="G130" s="8" t="str">
        <f t="shared" si="37"/>
        <v>本科</v>
      </c>
      <c r="H130" s="8" t="str">
        <f t="shared" si="38"/>
        <v>学士</v>
      </c>
    </row>
    <row r="131" ht="20" customHeight="1" spans="1:8">
      <c r="A131" s="7">
        <v>129</v>
      </c>
      <c r="B131" s="8" t="str">
        <f>"22812020042020463021839"</f>
        <v>22812020042020463021839</v>
      </c>
      <c r="C131" s="8" t="s">
        <v>10</v>
      </c>
      <c r="D131" s="8" t="str">
        <f>"吉明会"</f>
        <v>吉明会</v>
      </c>
      <c r="E131" s="8" t="str">
        <f>"男"</f>
        <v>男</v>
      </c>
      <c r="F131" s="8" t="str">
        <f>"1985-10-15"</f>
        <v>1985-10-15</v>
      </c>
      <c r="G131" s="8" t="str">
        <f t="shared" si="37"/>
        <v>本科</v>
      </c>
      <c r="H131" s="8" t="str">
        <f t="shared" si="38"/>
        <v>学士</v>
      </c>
    </row>
    <row r="132" ht="20" customHeight="1" spans="1:8">
      <c r="A132" s="7">
        <v>130</v>
      </c>
      <c r="B132" s="8" t="str">
        <f>"22812020042020484321841"</f>
        <v>22812020042020484321841</v>
      </c>
      <c r="C132" s="8" t="s">
        <v>10</v>
      </c>
      <c r="D132" s="8" t="str">
        <f>"陈丽虹"</f>
        <v>陈丽虹</v>
      </c>
      <c r="E132" s="8" t="str">
        <f t="shared" ref="E132:E136" si="44">"女"</f>
        <v>女</v>
      </c>
      <c r="F132" s="8" t="str">
        <f>"1997-08-22"</f>
        <v>1997-08-22</v>
      </c>
      <c r="G132" s="8" t="str">
        <f t="shared" si="37"/>
        <v>本科</v>
      </c>
      <c r="H132" s="8" t="str">
        <f t="shared" si="38"/>
        <v>学士</v>
      </c>
    </row>
    <row r="133" ht="20" customHeight="1" spans="1:8">
      <c r="A133" s="7">
        <v>131</v>
      </c>
      <c r="B133" s="8" t="str">
        <f>"22812020042020493621842"</f>
        <v>22812020042020493621842</v>
      </c>
      <c r="C133" s="8" t="s">
        <v>10</v>
      </c>
      <c r="D133" s="8" t="str">
        <f>"农燕玲"</f>
        <v>农燕玲</v>
      </c>
      <c r="E133" s="8" t="str">
        <f t="shared" si="44"/>
        <v>女</v>
      </c>
      <c r="F133" s="8" t="str">
        <f>"1996-05-10"</f>
        <v>1996-05-10</v>
      </c>
      <c r="G133" s="8" t="str">
        <f t="shared" si="37"/>
        <v>本科</v>
      </c>
      <c r="H133" s="8" t="str">
        <f t="shared" si="38"/>
        <v>学士</v>
      </c>
    </row>
    <row r="134" ht="20" customHeight="1" spans="1:8">
      <c r="A134" s="7">
        <v>132</v>
      </c>
      <c r="B134" s="8" t="str">
        <f>"22812020042021055621851"</f>
        <v>22812020042021055621851</v>
      </c>
      <c r="C134" s="8" t="s">
        <v>10</v>
      </c>
      <c r="D134" s="8" t="str">
        <f>"符大师"</f>
        <v>符大师</v>
      </c>
      <c r="E134" s="8" t="str">
        <f t="shared" ref="E134:E139" si="45">"男"</f>
        <v>男</v>
      </c>
      <c r="F134" s="8" t="str">
        <f>"1998-05-27"</f>
        <v>1998-05-27</v>
      </c>
      <c r="G134" s="8" t="str">
        <f t="shared" si="37"/>
        <v>本科</v>
      </c>
      <c r="H134" s="8" t="str">
        <f t="shared" si="38"/>
        <v>学士</v>
      </c>
    </row>
    <row r="135" ht="20" customHeight="1" spans="1:8">
      <c r="A135" s="7">
        <v>133</v>
      </c>
      <c r="B135" s="8" t="str">
        <f>"22812020042021152421853"</f>
        <v>22812020042021152421853</v>
      </c>
      <c r="C135" s="8" t="s">
        <v>10</v>
      </c>
      <c r="D135" s="8" t="str">
        <f>"符家伊"</f>
        <v>符家伊</v>
      </c>
      <c r="E135" s="8" t="str">
        <f t="shared" si="44"/>
        <v>女</v>
      </c>
      <c r="F135" s="8" t="str">
        <f>"1989-12-10"</f>
        <v>1989-12-10</v>
      </c>
      <c r="G135" s="8" t="str">
        <f t="shared" si="37"/>
        <v>本科</v>
      </c>
      <c r="H135" s="8" t="str">
        <f t="shared" si="38"/>
        <v>学士</v>
      </c>
    </row>
    <row r="136" ht="20" customHeight="1" spans="1:8">
      <c r="A136" s="7">
        <v>134</v>
      </c>
      <c r="B136" s="8" t="str">
        <f>"22812020042021203521856"</f>
        <v>22812020042021203521856</v>
      </c>
      <c r="C136" s="8" t="s">
        <v>10</v>
      </c>
      <c r="D136" s="8" t="str">
        <f>"陈雪音"</f>
        <v>陈雪音</v>
      </c>
      <c r="E136" s="8" t="str">
        <f t="shared" si="44"/>
        <v>女</v>
      </c>
      <c r="F136" s="8" t="str">
        <f>"1997-08-10"</f>
        <v>1997-08-10</v>
      </c>
      <c r="G136" s="8" t="str">
        <f t="shared" si="37"/>
        <v>本科</v>
      </c>
      <c r="H136" s="8" t="str">
        <f t="shared" si="38"/>
        <v>学士</v>
      </c>
    </row>
    <row r="137" ht="20" customHeight="1" spans="1:8">
      <c r="A137" s="7">
        <v>135</v>
      </c>
      <c r="B137" s="8" t="str">
        <f>"22812020042021275521858"</f>
        <v>22812020042021275521858</v>
      </c>
      <c r="C137" s="8" t="s">
        <v>10</v>
      </c>
      <c r="D137" s="8" t="str">
        <f>"吴易凡"</f>
        <v>吴易凡</v>
      </c>
      <c r="E137" s="8" t="str">
        <f t="shared" si="45"/>
        <v>男</v>
      </c>
      <c r="F137" s="8" t="str">
        <f>"1997-07-29"</f>
        <v>1997-07-29</v>
      </c>
      <c r="G137" s="8" t="str">
        <f t="shared" si="37"/>
        <v>本科</v>
      </c>
      <c r="H137" s="8" t="str">
        <f t="shared" si="38"/>
        <v>学士</v>
      </c>
    </row>
    <row r="138" ht="20" customHeight="1" spans="1:8">
      <c r="A138" s="7">
        <v>136</v>
      </c>
      <c r="B138" s="8" t="str">
        <f>"22812020042021505521864"</f>
        <v>22812020042021505521864</v>
      </c>
      <c r="C138" s="8" t="s">
        <v>10</v>
      </c>
      <c r="D138" s="8" t="str">
        <f>"林孟双"</f>
        <v>林孟双</v>
      </c>
      <c r="E138" s="8" t="str">
        <f t="shared" ref="E138:E141" si="46">"女"</f>
        <v>女</v>
      </c>
      <c r="F138" s="8" t="str">
        <f>"1993-07-14"</f>
        <v>1993-07-14</v>
      </c>
      <c r="G138" s="8" t="str">
        <f t="shared" si="37"/>
        <v>本科</v>
      </c>
      <c r="H138" s="8" t="str">
        <f t="shared" si="38"/>
        <v>学士</v>
      </c>
    </row>
    <row r="139" ht="20" customHeight="1" spans="1:8">
      <c r="A139" s="7">
        <v>137</v>
      </c>
      <c r="B139" s="8" t="str">
        <f>"22812020042022073021870"</f>
        <v>22812020042022073021870</v>
      </c>
      <c r="C139" s="8" t="s">
        <v>10</v>
      </c>
      <c r="D139" s="8" t="str">
        <f>"陈川豪"</f>
        <v>陈川豪</v>
      </c>
      <c r="E139" s="8" t="str">
        <f t="shared" si="45"/>
        <v>男</v>
      </c>
      <c r="F139" s="8" t="str">
        <f>"1993-10-14"</f>
        <v>1993-10-14</v>
      </c>
      <c r="G139" s="8" t="str">
        <f t="shared" si="37"/>
        <v>本科</v>
      </c>
      <c r="H139" s="8" t="str">
        <f t="shared" si="38"/>
        <v>学士</v>
      </c>
    </row>
    <row r="140" ht="20" customHeight="1" spans="1:8">
      <c r="A140" s="7">
        <v>138</v>
      </c>
      <c r="B140" s="8" t="str">
        <f>"22812020042022305321877"</f>
        <v>22812020042022305321877</v>
      </c>
      <c r="C140" s="8" t="s">
        <v>10</v>
      </c>
      <c r="D140" s="8" t="str">
        <f>"黄怡"</f>
        <v>黄怡</v>
      </c>
      <c r="E140" s="8" t="str">
        <f t="shared" si="46"/>
        <v>女</v>
      </c>
      <c r="F140" s="8" t="str">
        <f>"1998-06-12"</f>
        <v>1998-06-12</v>
      </c>
      <c r="G140" s="8" t="str">
        <f t="shared" si="37"/>
        <v>本科</v>
      </c>
      <c r="H140" s="8" t="str">
        <f t="shared" si="38"/>
        <v>学士</v>
      </c>
    </row>
    <row r="141" ht="20" customHeight="1" spans="1:8">
      <c r="A141" s="7">
        <v>139</v>
      </c>
      <c r="B141" s="8" t="str">
        <f>"22812020042023140521888"</f>
        <v>22812020042023140521888</v>
      </c>
      <c r="C141" s="8" t="s">
        <v>10</v>
      </c>
      <c r="D141" s="8" t="str">
        <f>"陈坤秀"</f>
        <v>陈坤秀</v>
      </c>
      <c r="E141" s="8" t="str">
        <f t="shared" si="46"/>
        <v>女</v>
      </c>
      <c r="F141" s="8" t="str">
        <f>"1997-12-27"</f>
        <v>1997-12-27</v>
      </c>
      <c r="G141" s="8" t="str">
        <f t="shared" si="37"/>
        <v>本科</v>
      </c>
      <c r="H141" s="8" t="str">
        <f t="shared" si="38"/>
        <v>学士</v>
      </c>
    </row>
    <row r="142" ht="20" customHeight="1" spans="1:8">
      <c r="A142" s="7">
        <v>140</v>
      </c>
      <c r="B142" s="8" t="str">
        <f>"22812020042023451221895"</f>
        <v>22812020042023451221895</v>
      </c>
      <c r="C142" s="8" t="s">
        <v>10</v>
      </c>
      <c r="D142" s="8" t="str">
        <f>"李章波"</f>
        <v>李章波</v>
      </c>
      <c r="E142" s="8" t="str">
        <f t="shared" ref="E142:E144" si="47">"男"</f>
        <v>男</v>
      </c>
      <c r="F142" s="8" t="str">
        <f>"1986-07-09"</f>
        <v>1986-07-09</v>
      </c>
      <c r="G142" s="8" t="str">
        <f t="shared" si="37"/>
        <v>本科</v>
      </c>
      <c r="H142" s="8" t="str">
        <f t="shared" si="38"/>
        <v>学士</v>
      </c>
    </row>
    <row r="143" ht="20" customHeight="1" spans="1:8">
      <c r="A143" s="7">
        <v>141</v>
      </c>
      <c r="B143" s="8" t="str">
        <f>"22812020042100153321898"</f>
        <v>22812020042100153321898</v>
      </c>
      <c r="C143" s="8" t="s">
        <v>10</v>
      </c>
      <c r="D143" s="8" t="str">
        <f>"白惠东"</f>
        <v>白惠东</v>
      </c>
      <c r="E143" s="8" t="str">
        <f t="shared" si="47"/>
        <v>男</v>
      </c>
      <c r="F143" s="8" t="str">
        <f>"1991-04-10"</f>
        <v>1991-04-10</v>
      </c>
      <c r="G143" s="8" t="str">
        <f t="shared" si="37"/>
        <v>本科</v>
      </c>
      <c r="H143" s="8" t="str">
        <f t="shared" si="38"/>
        <v>学士</v>
      </c>
    </row>
    <row r="144" ht="20" customHeight="1" spans="1:8">
      <c r="A144" s="7">
        <v>142</v>
      </c>
      <c r="B144" s="8" t="str">
        <f>"22812020042100310821899"</f>
        <v>22812020042100310821899</v>
      </c>
      <c r="C144" s="8" t="s">
        <v>10</v>
      </c>
      <c r="D144" s="8" t="str">
        <f>"王建树"</f>
        <v>王建树</v>
      </c>
      <c r="E144" s="8" t="str">
        <f t="shared" si="47"/>
        <v>男</v>
      </c>
      <c r="F144" s="8" t="str">
        <f>"1994-01-14"</f>
        <v>1994-01-14</v>
      </c>
      <c r="G144" s="8" t="str">
        <f t="shared" si="37"/>
        <v>本科</v>
      </c>
      <c r="H144" s="8" t="str">
        <f t="shared" si="38"/>
        <v>学士</v>
      </c>
    </row>
    <row r="145" ht="20" customHeight="1" spans="1:8">
      <c r="A145" s="7">
        <v>143</v>
      </c>
      <c r="B145" s="8" t="str">
        <f>"22812020042100362321900"</f>
        <v>22812020042100362321900</v>
      </c>
      <c r="C145" s="8" t="s">
        <v>10</v>
      </c>
      <c r="D145" s="8" t="str">
        <f>"杨哲"</f>
        <v>杨哲</v>
      </c>
      <c r="E145" s="8" t="str">
        <f t="shared" ref="E145:E150" si="48">"女"</f>
        <v>女</v>
      </c>
      <c r="F145" s="8" t="str">
        <f>"1986-11-10"</f>
        <v>1986-11-10</v>
      </c>
      <c r="G145" s="8" t="str">
        <f>"研究生"</f>
        <v>研究生</v>
      </c>
      <c r="H145" s="8" t="str">
        <f>"硕士"</f>
        <v>硕士</v>
      </c>
    </row>
    <row r="146" ht="20" customHeight="1" spans="1:8">
      <c r="A146" s="7">
        <v>144</v>
      </c>
      <c r="B146" s="8" t="str">
        <f>"22812020042108280021908"</f>
        <v>22812020042108280021908</v>
      </c>
      <c r="C146" s="8" t="s">
        <v>10</v>
      </c>
      <c r="D146" s="8" t="str">
        <f>"刘晟源"</f>
        <v>刘晟源</v>
      </c>
      <c r="E146" s="8" t="str">
        <f>"男"</f>
        <v>男</v>
      </c>
      <c r="F146" s="8" t="str">
        <f>"1996-08-07"</f>
        <v>1996-08-07</v>
      </c>
      <c r="G146" s="8" t="str">
        <f t="shared" ref="G146:G192" si="49">"本科"</f>
        <v>本科</v>
      </c>
      <c r="H146" s="8" t="str">
        <f t="shared" ref="H146:H192" si="50">"学士"</f>
        <v>学士</v>
      </c>
    </row>
    <row r="147" ht="20" customHeight="1" spans="1:8">
      <c r="A147" s="7">
        <v>145</v>
      </c>
      <c r="B147" s="8" t="str">
        <f>"22812020042108372221911"</f>
        <v>22812020042108372221911</v>
      </c>
      <c r="C147" s="8" t="s">
        <v>10</v>
      </c>
      <c r="D147" s="8" t="str">
        <f>"欧家霞"</f>
        <v>欧家霞</v>
      </c>
      <c r="E147" s="8" t="str">
        <f t="shared" si="48"/>
        <v>女</v>
      </c>
      <c r="F147" s="8" t="str">
        <f>"1991-09-07"</f>
        <v>1991-09-07</v>
      </c>
      <c r="G147" s="8" t="str">
        <f t="shared" si="49"/>
        <v>本科</v>
      </c>
      <c r="H147" s="8" t="str">
        <f t="shared" si="50"/>
        <v>学士</v>
      </c>
    </row>
    <row r="148" ht="20" customHeight="1" spans="1:8">
      <c r="A148" s="7">
        <v>146</v>
      </c>
      <c r="B148" s="8" t="str">
        <f>"22812020042108413421913"</f>
        <v>22812020042108413421913</v>
      </c>
      <c r="C148" s="8" t="s">
        <v>10</v>
      </c>
      <c r="D148" s="8" t="str">
        <f>"黄倩玉"</f>
        <v>黄倩玉</v>
      </c>
      <c r="E148" s="8" t="str">
        <f t="shared" si="48"/>
        <v>女</v>
      </c>
      <c r="F148" s="8" t="str">
        <f>"1990-07-07"</f>
        <v>1990-07-07</v>
      </c>
      <c r="G148" s="8" t="str">
        <f t="shared" si="49"/>
        <v>本科</v>
      </c>
      <c r="H148" s="8" t="str">
        <f t="shared" si="50"/>
        <v>学士</v>
      </c>
    </row>
    <row r="149" ht="20" customHeight="1" spans="1:8">
      <c r="A149" s="7">
        <v>147</v>
      </c>
      <c r="B149" s="8" t="str">
        <f>"22812020042109011521920"</f>
        <v>22812020042109011521920</v>
      </c>
      <c r="C149" s="8" t="s">
        <v>10</v>
      </c>
      <c r="D149" s="8" t="str">
        <f>"陈光潭"</f>
        <v>陈光潭</v>
      </c>
      <c r="E149" s="8" t="str">
        <f t="shared" si="48"/>
        <v>女</v>
      </c>
      <c r="F149" s="8" t="str">
        <f>"1995-05-23"</f>
        <v>1995-05-23</v>
      </c>
      <c r="G149" s="8" t="str">
        <f t="shared" si="49"/>
        <v>本科</v>
      </c>
      <c r="H149" s="8" t="str">
        <f t="shared" si="50"/>
        <v>学士</v>
      </c>
    </row>
    <row r="150" ht="20" customHeight="1" spans="1:8">
      <c r="A150" s="7">
        <v>148</v>
      </c>
      <c r="B150" s="8" t="str">
        <f>"22812020042109261321931"</f>
        <v>22812020042109261321931</v>
      </c>
      <c r="C150" s="8" t="s">
        <v>10</v>
      </c>
      <c r="D150" s="8" t="str">
        <f>"林亚少"</f>
        <v>林亚少</v>
      </c>
      <c r="E150" s="8" t="str">
        <f t="shared" si="48"/>
        <v>女</v>
      </c>
      <c r="F150" s="8" t="str">
        <f>"1998-10-25"</f>
        <v>1998-10-25</v>
      </c>
      <c r="G150" s="8" t="str">
        <f t="shared" si="49"/>
        <v>本科</v>
      </c>
      <c r="H150" s="8" t="str">
        <f t="shared" si="50"/>
        <v>学士</v>
      </c>
    </row>
    <row r="151" ht="20" customHeight="1" spans="1:8">
      <c r="A151" s="7">
        <v>149</v>
      </c>
      <c r="B151" s="8" t="str">
        <f>"22812020042109355921935"</f>
        <v>22812020042109355921935</v>
      </c>
      <c r="C151" s="8" t="s">
        <v>10</v>
      </c>
      <c r="D151" s="8" t="str">
        <f>"黎李根"</f>
        <v>黎李根</v>
      </c>
      <c r="E151" s="8" t="str">
        <f>"男"</f>
        <v>男</v>
      </c>
      <c r="F151" s="8" t="str">
        <f>"1991-01-27"</f>
        <v>1991-01-27</v>
      </c>
      <c r="G151" s="8" t="str">
        <f t="shared" si="49"/>
        <v>本科</v>
      </c>
      <c r="H151" s="8" t="str">
        <f t="shared" si="50"/>
        <v>学士</v>
      </c>
    </row>
    <row r="152" ht="20" customHeight="1" spans="1:8">
      <c r="A152" s="7">
        <v>150</v>
      </c>
      <c r="B152" s="8" t="str">
        <f>"22812020042109480521943"</f>
        <v>22812020042109480521943</v>
      </c>
      <c r="C152" s="8" t="s">
        <v>10</v>
      </c>
      <c r="D152" s="8" t="str">
        <f>"陈思慧"</f>
        <v>陈思慧</v>
      </c>
      <c r="E152" s="8" t="str">
        <f t="shared" ref="E152:E155" si="51">"女"</f>
        <v>女</v>
      </c>
      <c r="F152" s="8" t="str">
        <f>"1984-12-07"</f>
        <v>1984-12-07</v>
      </c>
      <c r="G152" s="8" t="str">
        <f t="shared" si="49"/>
        <v>本科</v>
      </c>
      <c r="H152" s="8" t="str">
        <f t="shared" si="50"/>
        <v>学士</v>
      </c>
    </row>
    <row r="153" ht="20" customHeight="1" spans="1:8">
      <c r="A153" s="7">
        <v>151</v>
      </c>
      <c r="B153" s="8" t="str">
        <f>"22812020042110151821955"</f>
        <v>22812020042110151821955</v>
      </c>
      <c r="C153" s="8" t="s">
        <v>10</v>
      </c>
      <c r="D153" s="8" t="str">
        <f>"贾婕"</f>
        <v>贾婕</v>
      </c>
      <c r="E153" s="8" t="str">
        <f t="shared" si="51"/>
        <v>女</v>
      </c>
      <c r="F153" s="8" t="str">
        <f>"1998-12-24"</f>
        <v>1998-12-24</v>
      </c>
      <c r="G153" s="8" t="str">
        <f t="shared" si="49"/>
        <v>本科</v>
      </c>
      <c r="H153" s="8" t="str">
        <f t="shared" si="50"/>
        <v>学士</v>
      </c>
    </row>
    <row r="154" ht="20" customHeight="1" spans="1:8">
      <c r="A154" s="7">
        <v>152</v>
      </c>
      <c r="B154" s="8" t="str">
        <f>"22812020042110241921959"</f>
        <v>22812020042110241921959</v>
      </c>
      <c r="C154" s="8" t="s">
        <v>10</v>
      </c>
      <c r="D154" s="8" t="str">
        <f>"蔡瑞敏"</f>
        <v>蔡瑞敏</v>
      </c>
      <c r="E154" s="8" t="str">
        <f t="shared" si="51"/>
        <v>女</v>
      </c>
      <c r="F154" s="8" t="str">
        <f>"1994-10-25"</f>
        <v>1994-10-25</v>
      </c>
      <c r="G154" s="8" t="str">
        <f t="shared" si="49"/>
        <v>本科</v>
      </c>
      <c r="H154" s="8" t="str">
        <f t="shared" si="50"/>
        <v>学士</v>
      </c>
    </row>
    <row r="155" ht="20" customHeight="1" spans="1:8">
      <c r="A155" s="7">
        <v>153</v>
      </c>
      <c r="B155" s="8" t="str">
        <f>"22812020042110251521961"</f>
        <v>22812020042110251521961</v>
      </c>
      <c r="C155" s="8" t="s">
        <v>10</v>
      </c>
      <c r="D155" s="8" t="str">
        <f>"曾令菲"</f>
        <v>曾令菲</v>
      </c>
      <c r="E155" s="8" t="str">
        <f t="shared" si="51"/>
        <v>女</v>
      </c>
      <c r="F155" s="8" t="str">
        <f>"1998-10-19"</f>
        <v>1998-10-19</v>
      </c>
      <c r="G155" s="8" t="str">
        <f t="shared" si="49"/>
        <v>本科</v>
      </c>
      <c r="H155" s="8" t="str">
        <f t="shared" si="50"/>
        <v>学士</v>
      </c>
    </row>
    <row r="156" ht="20" customHeight="1" spans="1:8">
      <c r="A156" s="7">
        <v>154</v>
      </c>
      <c r="B156" s="8" t="str">
        <f>"22812020042110310321963"</f>
        <v>22812020042110310321963</v>
      </c>
      <c r="C156" s="8" t="s">
        <v>10</v>
      </c>
      <c r="D156" s="8" t="str">
        <f>"许世扬"</f>
        <v>许世扬</v>
      </c>
      <c r="E156" s="8" t="str">
        <f>"男"</f>
        <v>男</v>
      </c>
      <c r="F156" s="8" t="str">
        <f>"1997-07-15"</f>
        <v>1997-07-15</v>
      </c>
      <c r="G156" s="8" t="str">
        <f t="shared" si="49"/>
        <v>本科</v>
      </c>
      <c r="H156" s="8" t="str">
        <f t="shared" si="50"/>
        <v>学士</v>
      </c>
    </row>
    <row r="157" ht="20" customHeight="1" spans="1:8">
      <c r="A157" s="7">
        <v>155</v>
      </c>
      <c r="B157" s="8" t="str">
        <f>"22812020042110401221964"</f>
        <v>22812020042110401221964</v>
      </c>
      <c r="C157" s="8" t="s">
        <v>10</v>
      </c>
      <c r="D157" s="8" t="str">
        <f>"黎春男"</f>
        <v>黎春男</v>
      </c>
      <c r="E157" s="8" t="str">
        <f t="shared" ref="E157:E162" si="52">"女"</f>
        <v>女</v>
      </c>
      <c r="F157" s="8" t="str">
        <f>"1996-11-17"</f>
        <v>1996-11-17</v>
      </c>
      <c r="G157" s="8" t="str">
        <f t="shared" si="49"/>
        <v>本科</v>
      </c>
      <c r="H157" s="8" t="str">
        <f t="shared" si="50"/>
        <v>学士</v>
      </c>
    </row>
    <row r="158" ht="20" customHeight="1" spans="1:8">
      <c r="A158" s="7">
        <v>156</v>
      </c>
      <c r="B158" s="8" t="str">
        <f>"22812020042110523621970"</f>
        <v>22812020042110523621970</v>
      </c>
      <c r="C158" s="8" t="s">
        <v>10</v>
      </c>
      <c r="D158" s="8" t="str">
        <f>"郑童少"</f>
        <v>郑童少</v>
      </c>
      <c r="E158" s="8" t="str">
        <f>"男"</f>
        <v>男</v>
      </c>
      <c r="F158" s="8" t="str">
        <f>"1996-03-18"</f>
        <v>1996-03-18</v>
      </c>
      <c r="G158" s="8" t="str">
        <f t="shared" si="49"/>
        <v>本科</v>
      </c>
      <c r="H158" s="8" t="str">
        <f t="shared" si="50"/>
        <v>学士</v>
      </c>
    </row>
    <row r="159" ht="20" customHeight="1" spans="1:8">
      <c r="A159" s="7">
        <v>157</v>
      </c>
      <c r="B159" s="8" t="str">
        <f>"22812020042110564221972"</f>
        <v>22812020042110564221972</v>
      </c>
      <c r="C159" s="8" t="s">
        <v>10</v>
      </c>
      <c r="D159" s="8" t="str">
        <f>"赵钰"</f>
        <v>赵钰</v>
      </c>
      <c r="E159" s="8" t="str">
        <f t="shared" si="52"/>
        <v>女</v>
      </c>
      <c r="F159" s="8" t="str">
        <f>"1997-07-12"</f>
        <v>1997-07-12</v>
      </c>
      <c r="G159" s="8" t="str">
        <f t="shared" si="49"/>
        <v>本科</v>
      </c>
      <c r="H159" s="8" t="str">
        <f t="shared" si="50"/>
        <v>学士</v>
      </c>
    </row>
    <row r="160" ht="20" customHeight="1" spans="1:8">
      <c r="A160" s="7">
        <v>158</v>
      </c>
      <c r="B160" s="8" t="str">
        <f>"22812020042111125121979"</f>
        <v>22812020042111125121979</v>
      </c>
      <c r="C160" s="8" t="s">
        <v>10</v>
      </c>
      <c r="D160" s="8" t="str">
        <f>"吴雯雯"</f>
        <v>吴雯雯</v>
      </c>
      <c r="E160" s="8" t="str">
        <f t="shared" si="52"/>
        <v>女</v>
      </c>
      <c r="F160" s="8" t="str">
        <f>"1996-02-13"</f>
        <v>1996-02-13</v>
      </c>
      <c r="G160" s="8" t="str">
        <f t="shared" si="49"/>
        <v>本科</v>
      </c>
      <c r="H160" s="8" t="str">
        <f t="shared" si="50"/>
        <v>学士</v>
      </c>
    </row>
    <row r="161" ht="20" customHeight="1" spans="1:8">
      <c r="A161" s="7">
        <v>159</v>
      </c>
      <c r="B161" s="8" t="str">
        <f>"22812020042111421321987"</f>
        <v>22812020042111421321987</v>
      </c>
      <c r="C161" s="8" t="s">
        <v>10</v>
      </c>
      <c r="D161" s="8" t="str">
        <f>"龙杉杉"</f>
        <v>龙杉杉</v>
      </c>
      <c r="E161" s="8" t="str">
        <f t="shared" si="52"/>
        <v>女</v>
      </c>
      <c r="F161" s="8" t="str">
        <f>"1997-06-02"</f>
        <v>1997-06-02</v>
      </c>
      <c r="G161" s="8" t="str">
        <f t="shared" si="49"/>
        <v>本科</v>
      </c>
      <c r="H161" s="8" t="str">
        <f t="shared" si="50"/>
        <v>学士</v>
      </c>
    </row>
    <row r="162" ht="20" customHeight="1" spans="1:8">
      <c r="A162" s="7">
        <v>160</v>
      </c>
      <c r="B162" s="8" t="str">
        <f>"22812020042111540021991"</f>
        <v>22812020042111540021991</v>
      </c>
      <c r="C162" s="8" t="s">
        <v>10</v>
      </c>
      <c r="D162" s="8" t="str">
        <f>"谢鸿丽"</f>
        <v>谢鸿丽</v>
      </c>
      <c r="E162" s="8" t="str">
        <f t="shared" si="52"/>
        <v>女</v>
      </c>
      <c r="F162" s="8" t="str">
        <f>"1996-09-23"</f>
        <v>1996-09-23</v>
      </c>
      <c r="G162" s="8" t="str">
        <f t="shared" si="49"/>
        <v>本科</v>
      </c>
      <c r="H162" s="8" t="str">
        <f t="shared" si="50"/>
        <v>学士</v>
      </c>
    </row>
    <row r="163" ht="20" customHeight="1" spans="1:8">
      <c r="A163" s="7">
        <v>161</v>
      </c>
      <c r="B163" s="8" t="str">
        <f>"22812020042111575321992"</f>
        <v>22812020042111575321992</v>
      </c>
      <c r="C163" s="8" t="s">
        <v>10</v>
      </c>
      <c r="D163" s="8" t="str">
        <f>"纪一帆"</f>
        <v>纪一帆</v>
      </c>
      <c r="E163" s="8" t="str">
        <f t="shared" ref="E163:E166" si="53">"男"</f>
        <v>男</v>
      </c>
      <c r="F163" s="8" t="str">
        <f>"1994-08-04"</f>
        <v>1994-08-04</v>
      </c>
      <c r="G163" s="8" t="str">
        <f t="shared" si="49"/>
        <v>本科</v>
      </c>
      <c r="H163" s="8" t="str">
        <f t="shared" si="50"/>
        <v>学士</v>
      </c>
    </row>
    <row r="164" ht="20" customHeight="1" spans="1:8">
      <c r="A164" s="7">
        <v>162</v>
      </c>
      <c r="B164" s="8" t="str">
        <f>"22812020042112403221996"</f>
        <v>22812020042112403221996</v>
      </c>
      <c r="C164" s="8" t="s">
        <v>10</v>
      </c>
      <c r="D164" s="8" t="str">
        <f>"纪新盛"</f>
        <v>纪新盛</v>
      </c>
      <c r="E164" s="8" t="str">
        <f t="shared" si="53"/>
        <v>男</v>
      </c>
      <c r="F164" s="8" t="str">
        <f>"1993-10-19"</f>
        <v>1993-10-19</v>
      </c>
      <c r="G164" s="8" t="str">
        <f t="shared" si="49"/>
        <v>本科</v>
      </c>
      <c r="H164" s="8" t="str">
        <f t="shared" si="50"/>
        <v>学士</v>
      </c>
    </row>
    <row r="165" ht="20" customHeight="1" spans="1:8">
      <c r="A165" s="7">
        <v>163</v>
      </c>
      <c r="B165" s="8" t="str">
        <f>"22812020042113284322005"</f>
        <v>22812020042113284322005</v>
      </c>
      <c r="C165" s="8" t="s">
        <v>10</v>
      </c>
      <c r="D165" s="8" t="str">
        <f>"崔月圆"</f>
        <v>崔月圆</v>
      </c>
      <c r="E165" s="8" t="str">
        <f t="shared" ref="E165:E177" si="54">"女"</f>
        <v>女</v>
      </c>
      <c r="F165" s="8" t="str">
        <f>"1995-08-15"</f>
        <v>1995-08-15</v>
      </c>
      <c r="G165" s="8" t="str">
        <f t="shared" si="49"/>
        <v>本科</v>
      </c>
      <c r="H165" s="8" t="str">
        <f t="shared" si="50"/>
        <v>学士</v>
      </c>
    </row>
    <row r="166" ht="20" customHeight="1" spans="1:8">
      <c r="A166" s="7">
        <v>164</v>
      </c>
      <c r="B166" s="8" t="str">
        <f>"22812020042113535222008"</f>
        <v>22812020042113535222008</v>
      </c>
      <c r="C166" s="8" t="s">
        <v>10</v>
      </c>
      <c r="D166" s="8" t="str">
        <f>"陈开雄"</f>
        <v>陈开雄</v>
      </c>
      <c r="E166" s="8" t="str">
        <f t="shared" si="53"/>
        <v>男</v>
      </c>
      <c r="F166" s="8" t="str">
        <f>"1995-08-10"</f>
        <v>1995-08-10</v>
      </c>
      <c r="G166" s="8" t="str">
        <f t="shared" si="49"/>
        <v>本科</v>
      </c>
      <c r="H166" s="8" t="str">
        <f t="shared" si="50"/>
        <v>学士</v>
      </c>
    </row>
    <row r="167" ht="20" customHeight="1" spans="1:8">
      <c r="A167" s="7">
        <v>165</v>
      </c>
      <c r="B167" s="8" t="str">
        <f>"22812020042114112522014"</f>
        <v>22812020042114112522014</v>
      </c>
      <c r="C167" s="8" t="s">
        <v>10</v>
      </c>
      <c r="D167" s="8" t="str">
        <f>"林千佩"</f>
        <v>林千佩</v>
      </c>
      <c r="E167" s="8" t="str">
        <f t="shared" si="54"/>
        <v>女</v>
      </c>
      <c r="F167" s="8" t="str">
        <f>"1996-05-22"</f>
        <v>1996-05-22</v>
      </c>
      <c r="G167" s="8" t="str">
        <f t="shared" si="49"/>
        <v>本科</v>
      </c>
      <c r="H167" s="8" t="str">
        <f t="shared" si="50"/>
        <v>学士</v>
      </c>
    </row>
    <row r="168" ht="20" customHeight="1" spans="1:8">
      <c r="A168" s="7">
        <v>166</v>
      </c>
      <c r="B168" s="8" t="str">
        <f>"22812020042114501922024"</f>
        <v>22812020042114501922024</v>
      </c>
      <c r="C168" s="8" t="s">
        <v>10</v>
      </c>
      <c r="D168" s="8" t="str">
        <f>"张日丰"</f>
        <v>张日丰</v>
      </c>
      <c r="E168" s="8" t="str">
        <f>"男"</f>
        <v>男</v>
      </c>
      <c r="F168" s="8" t="str">
        <f>"1995-12-15"</f>
        <v>1995-12-15</v>
      </c>
      <c r="G168" s="8" t="str">
        <f t="shared" si="49"/>
        <v>本科</v>
      </c>
      <c r="H168" s="8" t="str">
        <f t="shared" si="50"/>
        <v>学士</v>
      </c>
    </row>
    <row r="169" ht="20" customHeight="1" spans="1:8">
      <c r="A169" s="7">
        <v>167</v>
      </c>
      <c r="B169" s="8" t="str">
        <f>"22812020042114504622025"</f>
        <v>22812020042114504622025</v>
      </c>
      <c r="C169" s="8" t="s">
        <v>10</v>
      </c>
      <c r="D169" s="8" t="str">
        <f>"王君"</f>
        <v>王君</v>
      </c>
      <c r="E169" s="8" t="str">
        <f t="shared" si="54"/>
        <v>女</v>
      </c>
      <c r="F169" s="8" t="str">
        <f>"1996-09-16"</f>
        <v>1996-09-16</v>
      </c>
      <c r="G169" s="8" t="str">
        <f t="shared" si="49"/>
        <v>本科</v>
      </c>
      <c r="H169" s="8" t="str">
        <f t="shared" si="50"/>
        <v>学士</v>
      </c>
    </row>
    <row r="170" ht="20" customHeight="1" spans="1:8">
      <c r="A170" s="7">
        <v>168</v>
      </c>
      <c r="B170" s="8" t="str">
        <f>"22812020042114532822026"</f>
        <v>22812020042114532822026</v>
      </c>
      <c r="C170" s="8" t="s">
        <v>10</v>
      </c>
      <c r="D170" s="8" t="str">
        <f>"陈小惠"</f>
        <v>陈小惠</v>
      </c>
      <c r="E170" s="8" t="str">
        <f t="shared" si="54"/>
        <v>女</v>
      </c>
      <c r="F170" s="8" t="str">
        <f>"1996-07-02"</f>
        <v>1996-07-02</v>
      </c>
      <c r="G170" s="8" t="str">
        <f t="shared" si="49"/>
        <v>本科</v>
      </c>
      <c r="H170" s="8" t="str">
        <f t="shared" si="50"/>
        <v>学士</v>
      </c>
    </row>
    <row r="171" ht="20" customHeight="1" spans="1:8">
      <c r="A171" s="7">
        <v>169</v>
      </c>
      <c r="B171" s="8" t="str">
        <f>"22812020042114544622027"</f>
        <v>22812020042114544622027</v>
      </c>
      <c r="C171" s="8" t="s">
        <v>10</v>
      </c>
      <c r="D171" s="8" t="str">
        <f>"陈滢"</f>
        <v>陈滢</v>
      </c>
      <c r="E171" s="8" t="str">
        <f t="shared" si="54"/>
        <v>女</v>
      </c>
      <c r="F171" s="8" t="str">
        <f>"1988-10-10"</f>
        <v>1988-10-10</v>
      </c>
      <c r="G171" s="8" t="str">
        <f t="shared" si="49"/>
        <v>本科</v>
      </c>
      <c r="H171" s="8" t="str">
        <f t="shared" si="50"/>
        <v>学士</v>
      </c>
    </row>
    <row r="172" ht="20" customHeight="1" spans="1:8">
      <c r="A172" s="7">
        <v>170</v>
      </c>
      <c r="B172" s="8" t="str">
        <f>"22812020042115140322035"</f>
        <v>22812020042115140322035</v>
      </c>
      <c r="C172" s="8" t="s">
        <v>10</v>
      </c>
      <c r="D172" s="8" t="str">
        <f>"朱蕊"</f>
        <v>朱蕊</v>
      </c>
      <c r="E172" s="8" t="str">
        <f t="shared" si="54"/>
        <v>女</v>
      </c>
      <c r="F172" s="8" t="str">
        <f>"1997-10-23"</f>
        <v>1997-10-23</v>
      </c>
      <c r="G172" s="8" t="str">
        <f t="shared" si="49"/>
        <v>本科</v>
      </c>
      <c r="H172" s="8" t="str">
        <f t="shared" si="50"/>
        <v>学士</v>
      </c>
    </row>
    <row r="173" ht="20" customHeight="1" spans="1:8">
      <c r="A173" s="7">
        <v>171</v>
      </c>
      <c r="B173" s="8" t="str">
        <f>"22812020042115320922041"</f>
        <v>22812020042115320922041</v>
      </c>
      <c r="C173" s="8" t="s">
        <v>10</v>
      </c>
      <c r="D173" s="8" t="str">
        <f>"黄莹"</f>
        <v>黄莹</v>
      </c>
      <c r="E173" s="8" t="str">
        <f t="shared" si="54"/>
        <v>女</v>
      </c>
      <c r="F173" s="8" t="str">
        <f>"1997-02-09"</f>
        <v>1997-02-09</v>
      </c>
      <c r="G173" s="8" t="str">
        <f t="shared" si="49"/>
        <v>本科</v>
      </c>
      <c r="H173" s="8" t="str">
        <f t="shared" si="50"/>
        <v>学士</v>
      </c>
    </row>
    <row r="174" ht="20" customHeight="1" spans="1:8">
      <c r="A174" s="7">
        <v>172</v>
      </c>
      <c r="B174" s="8" t="str">
        <f>"22812020042115354122042"</f>
        <v>22812020042115354122042</v>
      </c>
      <c r="C174" s="8" t="s">
        <v>10</v>
      </c>
      <c r="D174" s="8" t="str">
        <f>"刘华芳"</f>
        <v>刘华芳</v>
      </c>
      <c r="E174" s="8" t="str">
        <f t="shared" si="54"/>
        <v>女</v>
      </c>
      <c r="F174" s="8" t="str">
        <f>"1991-08-06"</f>
        <v>1991-08-06</v>
      </c>
      <c r="G174" s="8" t="str">
        <f t="shared" si="49"/>
        <v>本科</v>
      </c>
      <c r="H174" s="8" t="str">
        <f t="shared" si="50"/>
        <v>学士</v>
      </c>
    </row>
    <row r="175" ht="20" customHeight="1" spans="1:8">
      <c r="A175" s="7">
        <v>173</v>
      </c>
      <c r="B175" s="8" t="str">
        <f>"22812020042115374722043"</f>
        <v>22812020042115374722043</v>
      </c>
      <c r="C175" s="8" t="s">
        <v>10</v>
      </c>
      <c r="D175" s="8" t="str">
        <f>"蔡明静"</f>
        <v>蔡明静</v>
      </c>
      <c r="E175" s="8" t="str">
        <f t="shared" si="54"/>
        <v>女</v>
      </c>
      <c r="F175" s="8" t="str">
        <f>"1995-03-27"</f>
        <v>1995-03-27</v>
      </c>
      <c r="G175" s="8" t="str">
        <f t="shared" si="49"/>
        <v>本科</v>
      </c>
      <c r="H175" s="8" t="str">
        <f t="shared" si="50"/>
        <v>学士</v>
      </c>
    </row>
    <row r="176" ht="20" customHeight="1" spans="1:8">
      <c r="A176" s="7">
        <v>174</v>
      </c>
      <c r="B176" s="8" t="str">
        <f>"22812020042115403322044"</f>
        <v>22812020042115403322044</v>
      </c>
      <c r="C176" s="8" t="s">
        <v>10</v>
      </c>
      <c r="D176" s="8" t="str">
        <f>"黄亚燕"</f>
        <v>黄亚燕</v>
      </c>
      <c r="E176" s="8" t="str">
        <f t="shared" si="54"/>
        <v>女</v>
      </c>
      <c r="F176" s="8" t="str">
        <f>"1988-12-22"</f>
        <v>1988-12-22</v>
      </c>
      <c r="G176" s="8" t="str">
        <f t="shared" si="49"/>
        <v>本科</v>
      </c>
      <c r="H176" s="8" t="str">
        <f t="shared" si="50"/>
        <v>学士</v>
      </c>
    </row>
    <row r="177" ht="20" customHeight="1" spans="1:8">
      <c r="A177" s="7">
        <v>175</v>
      </c>
      <c r="B177" s="8" t="str">
        <f>"22812020042116162722054"</f>
        <v>22812020042116162722054</v>
      </c>
      <c r="C177" s="8" t="s">
        <v>10</v>
      </c>
      <c r="D177" s="8" t="str">
        <f>"梁叶欣"</f>
        <v>梁叶欣</v>
      </c>
      <c r="E177" s="8" t="str">
        <f t="shared" si="54"/>
        <v>女</v>
      </c>
      <c r="F177" s="8" t="str">
        <f>"1993-01-02"</f>
        <v>1993-01-02</v>
      </c>
      <c r="G177" s="8" t="str">
        <f t="shared" si="49"/>
        <v>本科</v>
      </c>
      <c r="H177" s="8" t="str">
        <f t="shared" si="50"/>
        <v>学士</v>
      </c>
    </row>
    <row r="178" ht="20" customHeight="1" spans="1:8">
      <c r="A178" s="7">
        <v>176</v>
      </c>
      <c r="B178" s="8" t="str">
        <f>"22812020042116284222057"</f>
        <v>22812020042116284222057</v>
      </c>
      <c r="C178" s="8" t="s">
        <v>10</v>
      </c>
      <c r="D178" s="8" t="str">
        <f>"王乙光"</f>
        <v>王乙光</v>
      </c>
      <c r="E178" s="8" t="str">
        <f t="shared" ref="E178:E183" si="55">"男"</f>
        <v>男</v>
      </c>
      <c r="F178" s="8" t="str">
        <f>"1991-01-11"</f>
        <v>1991-01-11</v>
      </c>
      <c r="G178" s="8" t="str">
        <f t="shared" si="49"/>
        <v>本科</v>
      </c>
      <c r="H178" s="8" t="str">
        <f t="shared" si="50"/>
        <v>学士</v>
      </c>
    </row>
    <row r="179" ht="20" customHeight="1" spans="1:8">
      <c r="A179" s="7">
        <v>177</v>
      </c>
      <c r="B179" s="8" t="str">
        <f>"22812020042116462822060"</f>
        <v>22812020042116462822060</v>
      </c>
      <c r="C179" s="8" t="s">
        <v>10</v>
      </c>
      <c r="D179" s="8" t="str">
        <f>"李晶"</f>
        <v>李晶</v>
      </c>
      <c r="E179" s="8" t="str">
        <f t="shared" ref="E179:E182" si="56">"女"</f>
        <v>女</v>
      </c>
      <c r="F179" s="8" t="str">
        <f>"1985-11-05"</f>
        <v>1985-11-05</v>
      </c>
      <c r="G179" s="8" t="str">
        <f t="shared" si="49"/>
        <v>本科</v>
      </c>
      <c r="H179" s="8" t="str">
        <f t="shared" si="50"/>
        <v>学士</v>
      </c>
    </row>
    <row r="180" ht="20" customHeight="1" spans="1:8">
      <c r="A180" s="7">
        <v>178</v>
      </c>
      <c r="B180" s="8" t="str">
        <f>"22812020042116534522061"</f>
        <v>22812020042116534522061</v>
      </c>
      <c r="C180" s="8" t="s">
        <v>10</v>
      </c>
      <c r="D180" s="8" t="str">
        <f>"张昌廉"</f>
        <v>张昌廉</v>
      </c>
      <c r="E180" s="8" t="str">
        <f t="shared" si="55"/>
        <v>男</v>
      </c>
      <c r="F180" s="8" t="str">
        <f>"1990-01-02"</f>
        <v>1990-01-02</v>
      </c>
      <c r="G180" s="8" t="str">
        <f t="shared" si="49"/>
        <v>本科</v>
      </c>
      <c r="H180" s="8" t="str">
        <f t="shared" si="50"/>
        <v>学士</v>
      </c>
    </row>
    <row r="181" ht="20" customHeight="1" spans="1:8">
      <c r="A181" s="7">
        <v>179</v>
      </c>
      <c r="B181" s="8" t="str">
        <f>"22812020042116543722062"</f>
        <v>22812020042116543722062</v>
      </c>
      <c r="C181" s="8" t="s">
        <v>10</v>
      </c>
      <c r="D181" s="8" t="str">
        <f>"胡樱盈"</f>
        <v>胡樱盈</v>
      </c>
      <c r="E181" s="8" t="str">
        <f t="shared" si="56"/>
        <v>女</v>
      </c>
      <c r="F181" s="8" t="str">
        <f>"1996-06-24"</f>
        <v>1996-06-24</v>
      </c>
      <c r="G181" s="8" t="str">
        <f t="shared" si="49"/>
        <v>本科</v>
      </c>
      <c r="H181" s="8" t="str">
        <f t="shared" si="50"/>
        <v>学士</v>
      </c>
    </row>
    <row r="182" ht="20" customHeight="1" spans="1:8">
      <c r="A182" s="7">
        <v>180</v>
      </c>
      <c r="B182" s="8" t="str">
        <f>"22812020042116544722063"</f>
        <v>22812020042116544722063</v>
      </c>
      <c r="C182" s="8" t="s">
        <v>10</v>
      </c>
      <c r="D182" s="8" t="str">
        <f>"冯溢晖"</f>
        <v>冯溢晖</v>
      </c>
      <c r="E182" s="8" t="str">
        <f t="shared" si="56"/>
        <v>女</v>
      </c>
      <c r="F182" s="8" t="str">
        <f>"1999-06-03"</f>
        <v>1999-06-03</v>
      </c>
      <c r="G182" s="8" t="str">
        <f t="shared" si="49"/>
        <v>本科</v>
      </c>
      <c r="H182" s="8" t="str">
        <f t="shared" si="50"/>
        <v>学士</v>
      </c>
    </row>
    <row r="183" ht="20" customHeight="1" spans="1:8">
      <c r="A183" s="7">
        <v>181</v>
      </c>
      <c r="B183" s="8" t="str">
        <f>"22812020042117152022071"</f>
        <v>22812020042117152022071</v>
      </c>
      <c r="C183" s="8" t="s">
        <v>10</v>
      </c>
      <c r="D183" s="8" t="str">
        <f>"高山"</f>
        <v>高山</v>
      </c>
      <c r="E183" s="8" t="str">
        <f t="shared" si="55"/>
        <v>男</v>
      </c>
      <c r="F183" s="8" t="str">
        <f>"1994-07-18"</f>
        <v>1994-07-18</v>
      </c>
      <c r="G183" s="8" t="str">
        <f t="shared" si="49"/>
        <v>本科</v>
      </c>
      <c r="H183" s="8" t="str">
        <f t="shared" si="50"/>
        <v>学士</v>
      </c>
    </row>
    <row r="184" ht="20" customHeight="1" spans="1:8">
      <c r="A184" s="7">
        <v>182</v>
      </c>
      <c r="B184" s="8" t="str">
        <f>"22812020042117211322074"</f>
        <v>22812020042117211322074</v>
      </c>
      <c r="C184" s="8" t="s">
        <v>10</v>
      </c>
      <c r="D184" s="8" t="str">
        <f>"唐小妹"</f>
        <v>唐小妹</v>
      </c>
      <c r="E184" s="8" t="str">
        <f t="shared" ref="E184:E187" si="57">"女"</f>
        <v>女</v>
      </c>
      <c r="F184" s="8" t="str">
        <f>"1990-12-26"</f>
        <v>1990-12-26</v>
      </c>
      <c r="G184" s="8" t="str">
        <f t="shared" si="49"/>
        <v>本科</v>
      </c>
      <c r="H184" s="8" t="str">
        <f t="shared" si="50"/>
        <v>学士</v>
      </c>
    </row>
    <row r="185" ht="20" customHeight="1" spans="1:8">
      <c r="A185" s="7">
        <v>183</v>
      </c>
      <c r="B185" s="8" t="str">
        <f>"22812020042117312722080"</f>
        <v>22812020042117312722080</v>
      </c>
      <c r="C185" s="8" t="s">
        <v>10</v>
      </c>
      <c r="D185" s="8" t="str">
        <f>"许婧灵"</f>
        <v>许婧灵</v>
      </c>
      <c r="E185" s="8" t="str">
        <f t="shared" si="57"/>
        <v>女</v>
      </c>
      <c r="F185" s="8" t="str">
        <f>"1990-10-01"</f>
        <v>1990-10-01</v>
      </c>
      <c r="G185" s="8" t="str">
        <f t="shared" si="49"/>
        <v>本科</v>
      </c>
      <c r="H185" s="8" t="str">
        <f t="shared" si="50"/>
        <v>学士</v>
      </c>
    </row>
    <row r="186" ht="20" customHeight="1" spans="1:8">
      <c r="A186" s="7">
        <v>184</v>
      </c>
      <c r="B186" s="8" t="str">
        <f>"22812020042117352722082"</f>
        <v>22812020042117352722082</v>
      </c>
      <c r="C186" s="8" t="s">
        <v>10</v>
      </c>
      <c r="D186" s="8" t="str">
        <f>"骆月花"</f>
        <v>骆月花</v>
      </c>
      <c r="E186" s="8" t="str">
        <f t="shared" si="57"/>
        <v>女</v>
      </c>
      <c r="F186" s="8" t="str">
        <f>"1997-02-26"</f>
        <v>1997-02-26</v>
      </c>
      <c r="G186" s="8" t="str">
        <f t="shared" si="49"/>
        <v>本科</v>
      </c>
      <c r="H186" s="8" t="str">
        <f t="shared" si="50"/>
        <v>学士</v>
      </c>
    </row>
    <row r="187" ht="20" customHeight="1" spans="1:8">
      <c r="A187" s="7">
        <v>185</v>
      </c>
      <c r="B187" s="8" t="str">
        <f>"22812020042118163722092"</f>
        <v>22812020042118163722092</v>
      </c>
      <c r="C187" s="8" t="s">
        <v>10</v>
      </c>
      <c r="D187" s="8" t="str">
        <f>"代彩虹"</f>
        <v>代彩虹</v>
      </c>
      <c r="E187" s="8" t="str">
        <f t="shared" si="57"/>
        <v>女</v>
      </c>
      <c r="F187" s="8" t="str">
        <f>"1992-02-15"</f>
        <v>1992-02-15</v>
      </c>
      <c r="G187" s="8" t="str">
        <f t="shared" si="49"/>
        <v>本科</v>
      </c>
      <c r="H187" s="8" t="str">
        <f t="shared" si="50"/>
        <v>学士</v>
      </c>
    </row>
    <row r="188" ht="20" customHeight="1" spans="1:8">
      <c r="A188" s="7">
        <v>186</v>
      </c>
      <c r="B188" s="8" t="str">
        <f>"22812020042118441622097"</f>
        <v>22812020042118441622097</v>
      </c>
      <c r="C188" s="8" t="s">
        <v>10</v>
      </c>
      <c r="D188" s="8" t="str">
        <f>"王泽一"</f>
        <v>王泽一</v>
      </c>
      <c r="E188" s="8" t="str">
        <f t="shared" ref="E188:E192" si="58">"男"</f>
        <v>男</v>
      </c>
      <c r="F188" s="8" t="str">
        <f>"1998-08-08"</f>
        <v>1998-08-08</v>
      </c>
      <c r="G188" s="8" t="str">
        <f t="shared" si="49"/>
        <v>本科</v>
      </c>
      <c r="H188" s="8" t="str">
        <f t="shared" si="50"/>
        <v>学士</v>
      </c>
    </row>
    <row r="189" ht="20" customHeight="1" spans="1:8">
      <c r="A189" s="7">
        <v>187</v>
      </c>
      <c r="B189" s="8" t="str">
        <f>"22812020042118534722101"</f>
        <v>22812020042118534722101</v>
      </c>
      <c r="C189" s="8" t="s">
        <v>10</v>
      </c>
      <c r="D189" s="8" t="str">
        <f>"杨婧"</f>
        <v>杨婧</v>
      </c>
      <c r="E189" s="8" t="str">
        <f t="shared" ref="E189:E198" si="59">"女"</f>
        <v>女</v>
      </c>
      <c r="F189" s="8" t="str">
        <f>"1995-03-12"</f>
        <v>1995-03-12</v>
      </c>
      <c r="G189" s="8" t="str">
        <f t="shared" si="49"/>
        <v>本科</v>
      </c>
      <c r="H189" s="8" t="str">
        <f t="shared" si="50"/>
        <v>学士</v>
      </c>
    </row>
    <row r="190" ht="20" customHeight="1" spans="1:8">
      <c r="A190" s="7">
        <v>188</v>
      </c>
      <c r="B190" s="8" t="str">
        <f>"22812020042119071522105"</f>
        <v>22812020042119071522105</v>
      </c>
      <c r="C190" s="8" t="s">
        <v>10</v>
      </c>
      <c r="D190" s="8" t="str">
        <f>"杨慧武"</f>
        <v>杨慧武</v>
      </c>
      <c r="E190" s="8" t="str">
        <f t="shared" si="58"/>
        <v>男</v>
      </c>
      <c r="F190" s="8" t="str">
        <f>"1995-01-31"</f>
        <v>1995-01-31</v>
      </c>
      <c r="G190" s="8" t="str">
        <f t="shared" si="49"/>
        <v>本科</v>
      </c>
      <c r="H190" s="8" t="str">
        <f t="shared" si="50"/>
        <v>学士</v>
      </c>
    </row>
    <row r="191" ht="20" customHeight="1" spans="1:8">
      <c r="A191" s="7">
        <v>189</v>
      </c>
      <c r="B191" s="8" t="str">
        <f>"22812020042119201622111"</f>
        <v>22812020042119201622111</v>
      </c>
      <c r="C191" s="8" t="s">
        <v>10</v>
      </c>
      <c r="D191" s="8" t="str">
        <f>"柯俊婕"</f>
        <v>柯俊婕</v>
      </c>
      <c r="E191" s="8" t="str">
        <f t="shared" si="59"/>
        <v>女</v>
      </c>
      <c r="F191" s="8" t="str">
        <f>"1987-05-08"</f>
        <v>1987-05-08</v>
      </c>
      <c r="G191" s="8" t="str">
        <f t="shared" si="49"/>
        <v>本科</v>
      </c>
      <c r="H191" s="8" t="str">
        <f t="shared" si="50"/>
        <v>学士</v>
      </c>
    </row>
    <row r="192" ht="20" customHeight="1" spans="1:8">
      <c r="A192" s="7">
        <v>190</v>
      </c>
      <c r="B192" s="8" t="str">
        <f>"22812020042119205022112"</f>
        <v>22812020042119205022112</v>
      </c>
      <c r="C192" s="8" t="s">
        <v>10</v>
      </c>
      <c r="D192" s="8" t="str">
        <f>"王凯业"</f>
        <v>王凯业</v>
      </c>
      <c r="E192" s="8" t="str">
        <f t="shared" si="58"/>
        <v>男</v>
      </c>
      <c r="F192" s="8" t="str">
        <f>"1993-06-15"</f>
        <v>1993-06-15</v>
      </c>
      <c r="G192" s="8" t="str">
        <f t="shared" si="49"/>
        <v>本科</v>
      </c>
      <c r="H192" s="8" t="str">
        <f t="shared" si="50"/>
        <v>学士</v>
      </c>
    </row>
    <row r="193" ht="20" customHeight="1" spans="1:8">
      <c r="A193" s="7">
        <v>191</v>
      </c>
      <c r="B193" s="8" t="str">
        <f>"22812020042119275822113"</f>
        <v>22812020042119275822113</v>
      </c>
      <c r="C193" s="8" t="s">
        <v>10</v>
      </c>
      <c r="D193" s="8" t="str">
        <f>"周诗敏"</f>
        <v>周诗敏</v>
      </c>
      <c r="E193" s="8" t="str">
        <f t="shared" si="59"/>
        <v>女</v>
      </c>
      <c r="F193" s="8" t="str">
        <f>"1993-01-11"</f>
        <v>1993-01-11</v>
      </c>
      <c r="G193" s="8" t="str">
        <f>"研究生"</f>
        <v>研究生</v>
      </c>
      <c r="H193" s="8" t="str">
        <f>"硕士"</f>
        <v>硕士</v>
      </c>
    </row>
    <row r="194" ht="20" customHeight="1" spans="1:8">
      <c r="A194" s="7">
        <v>192</v>
      </c>
      <c r="B194" s="8" t="str">
        <f>"22812020042119595922121"</f>
        <v>22812020042119595922121</v>
      </c>
      <c r="C194" s="8" t="s">
        <v>10</v>
      </c>
      <c r="D194" s="8" t="str">
        <f>"陈蔓"</f>
        <v>陈蔓</v>
      </c>
      <c r="E194" s="8" t="str">
        <f t="shared" si="59"/>
        <v>女</v>
      </c>
      <c r="F194" s="8" t="str">
        <f>"1990-03-17"</f>
        <v>1990-03-17</v>
      </c>
      <c r="G194" s="8" t="str">
        <f t="shared" ref="G194:G218" si="60">"本科"</f>
        <v>本科</v>
      </c>
      <c r="H194" s="8" t="str">
        <f t="shared" ref="H194:H218" si="61">"学士"</f>
        <v>学士</v>
      </c>
    </row>
    <row r="195" ht="20" customHeight="1" spans="1:8">
      <c r="A195" s="7">
        <v>193</v>
      </c>
      <c r="B195" s="8" t="str">
        <f>"22812020042120574822138"</f>
        <v>22812020042120574822138</v>
      </c>
      <c r="C195" s="8" t="s">
        <v>10</v>
      </c>
      <c r="D195" s="8" t="str">
        <f>"林莉玉"</f>
        <v>林莉玉</v>
      </c>
      <c r="E195" s="8" t="str">
        <f t="shared" si="59"/>
        <v>女</v>
      </c>
      <c r="F195" s="8" t="str">
        <f>"1993-06-02"</f>
        <v>1993-06-02</v>
      </c>
      <c r="G195" s="8" t="str">
        <f t="shared" si="60"/>
        <v>本科</v>
      </c>
      <c r="H195" s="8" t="str">
        <f t="shared" si="61"/>
        <v>学士</v>
      </c>
    </row>
    <row r="196" ht="20" customHeight="1" spans="1:8">
      <c r="A196" s="7">
        <v>194</v>
      </c>
      <c r="B196" s="8" t="str">
        <f>"22812020042120594822140"</f>
        <v>22812020042120594822140</v>
      </c>
      <c r="C196" s="8" t="s">
        <v>10</v>
      </c>
      <c r="D196" s="8" t="str">
        <f>"武园园"</f>
        <v>武园园</v>
      </c>
      <c r="E196" s="8" t="str">
        <f t="shared" si="59"/>
        <v>女</v>
      </c>
      <c r="F196" s="8" t="str">
        <f>"1988-11-26"</f>
        <v>1988-11-26</v>
      </c>
      <c r="G196" s="8" t="str">
        <f t="shared" si="60"/>
        <v>本科</v>
      </c>
      <c r="H196" s="8" t="str">
        <f t="shared" si="61"/>
        <v>学士</v>
      </c>
    </row>
    <row r="197" ht="20" customHeight="1" spans="1:8">
      <c r="A197" s="7">
        <v>195</v>
      </c>
      <c r="B197" s="8" t="str">
        <f>"22812020042121001622141"</f>
        <v>22812020042121001622141</v>
      </c>
      <c r="C197" s="8" t="s">
        <v>10</v>
      </c>
      <c r="D197" s="8" t="str">
        <f>"郑文姿"</f>
        <v>郑文姿</v>
      </c>
      <c r="E197" s="8" t="str">
        <f t="shared" si="59"/>
        <v>女</v>
      </c>
      <c r="F197" s="8" t="str">
        <f>"1998-05-25"</f>
        <v>1998-05-25</v>
      </c>
      <c r="G197" s="8" t="str">
        <f t="shared" si="60"/>
        <v>本科</v>
      </c>
      <c r="H197" s="8" t="str">
        <f t="shared" si="61"/>
        <v>学士</v>
      </c>
    </row>
    <row r="198" ht="20" customHeight="1" spans="1:8">
      <c r="A198" s="7">
        <v>196</v>
      </c>
      <c r="B198" s="8" t="str">
        <f>"22812020042121024422145"</f>
        <v>22812020042121024422145</v>
      </c>
      <c r="C198" s="8" t="s">
        <v>10</v>
      </c>
      <c r="D198" s="8" t="str">
        <f>"林书琴"</f>
        <v>林书琴</v>
      </c>
      <c r="E198" s="8" t="str">
        <f t="shared" si="59"/>
        <v>女</v>
      </c>
      <c r="F198" s="8" t="str">
        <f>"1997-10-14"</f>
        <v>1997-10-14</v>
      </c>
      <c r="G198" s="8" t="str">
        <f t="shared" si="60"/>
        <v>本科</v>
      </c>
      <c r="H198" s="8" t="str">
        <f t="shared" si="61"/>
        <v>学士</v>
      </c>
    </row>
    <row r="199" ht="20" customHeight="1" spans="1:8">
      <c r="A199" s="7">
        <v>197</v>
      </c>
      <c r="B199" s="8" t="str">
        <f>"22812020042121133822147"</f>
        <v>22812020042121133822147</v>
      </c>
      <c r="C199" s="8" t="s">
        <v>10</v>
      </c>
      <c r="D199" s="8" t="str">
        <f>"符坚鹏"</f>
        <v>符坚鹏</v>
      </c>
      <c r="E199" s="8" t="str">
        <f>"男"</f>
        <v>男</v>
      </c>
      <c r="F199" s="8" t="str">
        <f>"1992-02-04"</f>
        <v>1992-02-04</v>
      </c>
      <c r="G199" s="8" t="str">
        <f t="shared" si="60"/>
        <v>本科</v>
      </c>
      <c r="H199" s="8" t="str">
        <f t="shared" si="61"/>
        <v>学士</v>
      </c>
    </row>
    <row r="200" ht="20" customHeight="1" spans="1:8">
      <c r="A200" s="7">
        <v>198</v>
      </c>
      <c r="B200" s="8" t="str">
        <f>"22812020042121240822153"</f>
        <v>22812020042121240822153</v>
      </c>
      <c r="C200" s="8" t="s">
        <v>10</v>
      </c>
      <c r="D200" s="8" t="str">
        <f>"侯海燕"</f>
        <v>侯海燕</v>
      </c>
      <c r="E200" s="8" t="str">
        <f t="shared" ref="E200:E203" si="62">"女"</f>
        <v>女</v>
      </c>
      <c r="F200" s="8" t="str">
        <f>"1997-07-10"</f>
        <v>1997-07-10</v>
      </c>
      <c r="G200" s="8" t="str">
        <f t="shared" si="60"/>
        <v>本科</v>
      </c>
      <c r="H200" s="8" t="str">
        <f t="shared" si="61"/>
        <v>学士</v>
      </c>
    </row>
    <row r="201" ht="20" customHeight="1" spans="1:8">
      <c r="A201" s="7">
        <v>199</v>
      </c>
      <c r="B201" s="8" t="str">
        <f>"22812020042121285022157"</f>
        <v>22812020042121285022157</v>
      </c>
      <c r="C201" s="8" t="s">
        <v>10</v>
      </c>
      <c r="D201" s="8" t="str">
        <f>"张毓笛"</f>
        <v>张毓笛</v>
      </c>
      <c r="E201" s="8" t="str">
        <f t="shared" si="62"/>
        <v>女</v>
      </c>
      <c r="F201" s="8" t="str">
        <f>"1993-12-29"</f>
        <v>1993-12-29</v>
      </c>
      <c r="G201" s="8" t="str">
        <f t="shared" si="60"/>
        <v>本科</v>
      </c>
      <c r="H201" s="8" t="str">
        <f t="shared" si="61"/>
        <v>学士</v>
      </c>
    </row>
    <row r="202" ht="20" customHeight="1" spans="1:8">
      <c r="A202" s="7">
        <v>200</v>
      </c>
      <c r="B202" s="8" t="str">
        <f>"22812020042121464822159"</f>
        <v>22812020042121464822159</v>
      </c>
      <c r="C202" s="8" t="s">
        <v>10</v>
      </c>
      <c r="D202" s="8" t="str">
        <f>"邢方璨"</f>
        <v>邢方璨</v>
      </c>
      <c r="E202" s="8" t="str">
        <f t="shared" si="62"/>
        <v>女</v>
      </c>
      <c r="F202" s="8" t="str">
        <f>"1993-04-16"</f>
        <v>1993-04-16</v>
      </c>
      <c r="G202" s="8" t="str">
        <f t="shared" si="60"/>
        <v>本科</v>
      </c>
      <c r="H202" s="8" t="str">
        <f t="shared" si="61"/>
        <v>学士</v>
      </c>
    </row>
    <row r="203" ht="20" customHeight="1" spans="1:8">
      <c r="A203" s="7">
        <v>201</v>
      </c>
      <c r="B203" s="8" t="str">
        <f>"22812020042121481822160"</f>
        <v>22812020042121481822160</v>
      </c>
      <c r="C203" s="8" t="s">
        <v>10</v>
      </c>
      <c r="D203" s="8" t="str">
        <f>"韩仪"</f>
        <v>韩仪</v>
      </c>
      <c r="E203" s="8" t="str">
        <f t="shared" si="62"/>
        <v>女</v>
      </c>
      <c r="F203" s="8" t="str">
        <f>"1997-12-22"</f>
        <v>1997-12-22</v>
      </c>
      <c r="G203" s="8" t="str">
        <f t="shared" si="60"/>
        <v>本科</v>
      </c>
      <c r="H203" s="8" t="str">
        <f t="shared" si="61"/>
        <v>学士</v>
      </c>
    </row>
    <row r="204" ht="20" customHeight="1" spans="1:8">
      <c r="A204" s="7">
        <v>202</v>
      </c>
      <c r="B204" s="8" t="str">
        <f>"22812020042121563522162"</f>
        <v>22812020042121563522162</v>
      </c>
      <c r="C204" s="8" t="s">
        <v>10</v>
      </c>
      <c r="D204" s="8" t="str">
        <f>"彭进"</f>
        <v>彭进</v>
      </c>
      <c r="E204" s="8" t="str">
        <f t="shared" ref="E204:E207" si="63">"男"</f>
        <v>男</v>
      </c>
      <c r="F204" s="8" t="str">
        <f>"1996-03-13"</f>
        <v>1996-03-13</v>
      </c>
      <c r="G204" s="8" t="str">
        <f t="shared" si="60"/>
        <v>本科</v>
      </c>
      <c r="H204" s="8" t="str">
        <f t="shared" si="61"/>
        <v>学士</v>
      </c>
    </row>
    <row r="205" ht="20" customHeight="1" spans="1:8">
      <c r="A205" s="7">
        <v>203</v>
      </c>
      <c r="B205" s="8" t="str">
        <f>"22812020042122125222169"</f>
        <v>22812020042122125222169</v>
      </c>
      <c r="C205" s="8" t="s">
        <v>10</v>
      </c>
      <c r="D205" s="8" t="str">
        <f>"张大为"</f>
        <v>张大为</v>
      </c>
      <c r="E205" s="8" t="str">
        <f t="shared" si="63"/>
        <v>男</v>
      </c>
      <c r="F205" s="8" t="str">
        <f>"1986-08-05"</f>
        <v>1986-08-05</v>
      </c>
      <c r="G205" s="8" t="str">
        <f t="shared" si="60"/>
        <v>本科</v>
      </c>
      <c r="H205" s="8" t="str">
        <f t="shared" si="61"/>
        <v>学士</v>
      </c>
    </row>
    <row r="206" ht="20" customHeight="1" spans="1:8">
      <c r="A206" s="7">
        <v>204</v>
      </c>
      <c r="B206" s="8" t="str">
        <f>"22812020042122465322177"</f>
        <v>22812020042122465322177</v>
      </c>
      <c r="C206" s="8" t="s">
        <v>10</v>
      </c>
      <c r="D206" s="8" t="str">
        <f>"陈悦"</f>
        <v>陈悦</v>
      </c>
      <c r="E206" s="8" t="str">
        <f t="shared" ref="E206:E210" si="64">"女"</f>
        <v>女</v>
      </c>
      <c r="F206" s="8" t="str">
        <f>"1997-10-05"</f>
        <v>1997-10-05</v>
      </c>
      <c r="G206" s="8" t="str">
        <f t="shared" si="60"/>
        <v>本科</v>
      </c>
      <c r="H206" s="8" t="str">
        <f t="shared" si="61"/>
        <v>学士</v>
      </c>
    </row>
    <row r="207" ht="20" customHeight="1" spans="1:8">
      <c r="A207" s="7">
        <v>205</v>
      </c>
      <c r="B207" s="8" t="str">
        <f>"22812020042200181322185"</f>
        <v>22812020042200181322185</v>
      </c>
      <c r="C207" s="8" t="s">
        <v>10</v>
      </c>
      <c r="D207" s="8" t="str">
        <f>"王江"</f>
        <v>王江</v>
      </c>
      <c r="E207" s="8" t="str">
        <f t="shared" si="63"/>
        <v>男</v>
      </c>
      <c r="F207" s="8" t="str">
        <f>"1996-01-08"</f>
        <v>1996-01-08</v>
      </c>
      <c r="G207" s="8" t="str">
        <f t="shared" si="60"/>
        <v>本科</v>
      </c>
      <c r="H207" s="8" t="str">
        <f t="shared" si="61"/>
        <v>学士</v>
      </c>
    </row>
    <row r="208" ht="20" customHeight="1" spans="1:8">
      <c r="A208" s="7">
        <v>206</v>
      </c>
      <c r="B208" s="8" t="str">
        <f>"22812020042208584322960"</f>
        <v>22812020042208584322960</v>
      </c>
      <c r="C208" s="8" t="s">
        <v>10</v>
      </c>
      <c r="D208" s="8" t="str">
        <f>"卓扬静"</f>
        <v>卓扬静</v>
      </c>
      <c r="E208" s="8" t="str">
        <f t="shared" si="64"/>
        <v>女</v>
      </c>
      <c r="F208" s="8" t="str">
        <f>"1995-11-16"</f>
        <v>1995-11-16</v>
      </c>
      <c r="G208" s="8" t="str">
        <f t="shared" si="60"/>
        <v>本科</v>
      </c>
      <c r="H208" s="8" t="str">
        <f t="shared" si="61"/>
        <v>学士</v>
      </c>
    </row>
    <row r="209" ht="20" customHeight="1" spans="1:8">
      <c r="A209" s="7">
        <v>207</v>
      </c>
      <c r="B209" s="8" t="str">
        <f>"22812020042209334322964"</f>
        <v>22812020042209334322964</v>
      </c>
      <c r="C209" s="8" t="s">
        <v>10</v>
      </c>
      <c r="D209" s="8" t="str">
        <f>"邢彤"</f>
        <v>邢彤</v>
      </c>
      <c r="E209" s="8" t="str">
        <f t="shared" si="64"/>
        <v>女</v>
      </c>
      <c r="F209" s="8" t="str">
        <f>"1992-06-03"</f>
        <v>1992-06-03</v>
      </c>
      <c r="G209" s="8" t="str">
        <f t="shared" si="60"/>
        <v>本科</v>
      </c>
      <c r="H209" s="8" t="str">
        <f t="shared" si="61"/>
        <v>学士</v>
      </c>
    </row>
    <row r="210" ht="20" customHeight="1" spans="1:8">
      <c r="A210" s="7">
        <v>208</v>
      </c>
      <c r="B210" s="8" t="str">
        <f>"22812020042209353222965"</f>
        <v>22812020042209353222965</v>
      </c>
      <c r="C210" s="8" t="s">
        <v>10</v>
      </c>
      <c r="D210" s="8" t="str">
        <f>"刘芳宁"</f>
        <v>刘芳宁</v>
      </c>
      <c r="E210" s="8" t="str">
        <f t="shared" si="64"/>
        <v>女</v>
      </c>
      <c r="F210" s="8" t="str">
        <f>"1995-08-28"</f>
        <v>1995-08-28</v>
      </c>
      <c r="G210" s="8" t="str">
        <f t="shared" si="60"/>
        <v>本科</v>
      </c>
      <c r="H210" s="8" t="str">
        <f t="shared" si="61"/>
        <v>学士</v>
      </c>
    </row>
    <row r="211" ht="20" customHeight="1" spans="1:8">
      <c r="A211" s="7">
        <v>209</v>
      </c>
      <c r="B211" s="8" t="str">
        <f>"22812020042209512622968"</f>
        <v>22812020042209512622968</v>
      </c>
      <c r="C211" s="8" t="s">
        <v>10</v>
      </c>
      <c r="D211" s="8" t="str">
        <f>"荀子旭"</f>
        <v>荀子旭</v>
      </c>
      <c r="E211" s="8" t="str">
        <f>"男"</f>
        <v>男</v>
      </c>
      <c r="F211" s="8" t="str">
        <f>"1991-12-07"</f>
        <v>1991-12-07</v>
      </c>
      <c r="G211" s="8" t="str">
        <f t="shared" si="60"/>
        <v>本科</v>
      </c>
      <c r="H211" s="8" t="str">
        <f t="shared" si="61"/>
        <v>学士</v>
      </c>
    </row>
    <row r="212" ht="20" customHeight="1" spans="1:8">
      <c r="A212" s="7">
        <v>210</v>
      </c>
      <c r="B212" s="8" t="str">
        <f>"22812020042210010622970"</f>
        <v>22812020042210010622970</v>
      </c>
      <c r="C212" s="8" t="s">
        <v>10</v>
      </c>
      <c r="D212" s="8" t="str">
        <f>"林青琳"</f>
        <v>林青琳</v>
      </c>
      <c r="E212" s="8" t="str">
        <f t="shared" ref="E212:E217" si="65">"女"</f>
        <v>女</v>
      </c>
      <c r="F212" s="8" t="str">
        <f>"1991-07-13"</f>
        <v>1991-07-13</v>
      </c>
      <c r="G212" s="8" t="str">
        <f t="shared" si="60"/>
        <v>本科</v>
      </c>
      <c r="H212" s="8" t="str">
        <f t="shared" si="61"/>
        <v>学士</v>
      </c>
    </row>
    <row r="213" ht="20" customHeight="1" spans="1:8">
      <c r="A213" s="7">
        <v>211</v>
      </c>
      <c r="B213" s="8" t="str">
        <f>"22812020042210020222971"</f>
        <v>22812020042210020222971</v>
      </c>
      <c r="C213" s="8" t="s">
        <v>10</v>
      </c>
      <c r="D213" s="8" t="str">
        <f>"周灿伟"</f>
        <v>周灿伟</v>
      </c>
      <c r="E213" s="8" t="str">
        <f>"男"</f>
        <v>男</v>
      </c>
      <c r="F213" s="8" t="str">
        <f>"1997-01-19"</f>
        <v>1997-01-19</v>
      </c>
      <c r="G213" s="8" t="str">
        <f t="shared" si="60"/>
        <v>本科</v>
      </c>
      <c r="H213" s="8" t="str">
        <f t="shared" si="61"/>
        <v>学士</v>
      </c>
    </row>
    <row r="214" ht="20" customHeight="1" spans="1:8">
      <c r="A214" s="7">
        <v>212</v>
      </c>
      <c r="B214" s="8" t="str">
        <f>"22812020042210042122973"</f>
        <v>22812020042210042122973</v>
      </c>
      <c r="C214" s="8" t="s">
        <v>10</v>
      </c>
      <c r="D214" s="8" t="str">
        <f>"陈春燕"</f>
        <v>陈春燕</v>
      </c>
      <c r="E214" s="8" t="str">
        <f t="shared" si="65"/>
        <v>女</v>
      </c>
      <c r="F214" s="8" t="str">
        <f>"1997-06-26"</f>
        <v>1997-06-26</v>
      </c>
      <c r="G214" s="8" t="str">
        <f t="shared" si="60"/>
        <v>本科</v>
      </c>
      <c r="H214" s="8" t="str">
        <f t="shared" si="61"/>
        <v>学士</v>
      </c>
    </row>
    <row r="215" ht="20" customHeight="1" spans="1:8">
      <c r="A215" s="7">
        <v>213</v>
      </c>
      <c r="B215" s="8" t="str">
        <f>"22812020042210290122982"</f>
        <v>22812020042210290122982</v>
      </c>
      <c r="C215" s="8" t="s">
        <v>10</v>
      </c>
      <c r="D215" s="8" t="str">
        <f>"吴庆云"</f>
        <v>吴庆云</v>
      </c>
      <c r="E215" s="8" t="str">
        <f t="shared" si="65"/>
        <v>女</v>
      </c>
      <c r="F215" s="8" t="str">
        <f>"1996-01-23"</f>
        <v>1996-01-23</v>
      </c>
      <c r="G215" s="8" t="str">
        <f t="shared" si="60"/>
        <v>本科</v>
      </c>
      <c r="H215" s="8" t="str">
        <f t="shared" si="61"/>
        <v>学士</v>
      </c>
    </row>
    <row r="216" ht="20" customHeight="1" spans="1:8">
      <c r="A216" s="7">
        <v>214</v>
      </c>
      <c r="B216" s="8" t="str">
        <f>"22812020042211102322997"</f>
        <v>22812020042211102322997</v>
      </c>
      <c r="C216" s="8" t="s">
        <v>10</v>
      </c>
      <c r="D216" s="8" t="str">
        <f>"黎丽华"</f>
        <v>黎丽华</v>
      </c>
      <c r="E216" s="8" t="str">
        <f t="shared" si="65"/>
        <v>女</v>
      </c>
      <c r="F216" s="8" t="str">
        <f>"1998-09-10"</f>
        <v>1998-09-10</v>
      </c>
      <c r="G216" s="8" t="str">
        <f t="shared" si="60"/>
        <v>本科</v>
      </c>
      <c r="H216" s="8" t="str">
        <f t="shared" si="61"/>
        <v>学士</v>
      </c>
    </row>
    <row r="217" ht="20" customHeight="1" spans="1:8">
      <c r="A217" s="7">
        <v>215</v>
      </c>
      <c r="B217" s="8" t="str">
        <f>"22812020042211275523006"</f>
        <v>22812020042211275523006</v>
      </c>
      <c r="C217" s="8" t="s">
        <v>10</v>
      </c>
      <c r="D217" s="8" t="str">
        <f>"郭冉冉"</f>
        <v>郭冉冉</v>
      </c>
      <c r="E217" s="8" t="str">
        <f t="shared" si="65"/>
        <v>女</v>
      </c>
      <c r="F217" s="8" t="str">
        <f>"1990-05-18"</f>
        <v>1990-05-18</v>
      </c>
      <c r="G217" s="8" t="str">
        <f t="shared" si="60"/>
        <v>本科</v>
      </c>
      <c r="H217" s="8" t="str">
        <f t="shared" si="61"/>
        <v>学士</v>
      </c>
    </row>
    <row r="218" ht="20" customHeight="1" spans="1:8">
      <c r="A218" s="7">
        <v>216</v>
      </c>
      <c r="B218" s="8" t="str">
        <f>"22812020042211282123007"</f>
        <v>22812020042211282123007</v>
      </c>
      <c r="C218" s="8" t="s">
        <v>10</v>
      </c>
      <c r="D218" s="8" t="str">
        <f>"杨劲松"</f>
        <v>杨劲松</v>
      </c>
      <c r="E218" s="8" t="str">
        <f>"男"</f>
        <v>男</v>
      </c>
      <c r="F218" s="8" t="str">
        <f>"1987-12-26"</f>
        <v>1987-12-26</v>
      </c>
      <c r="G218" s="8" t="str">
        <f t="shared" si="60"/>
        <v>本科</v>
      </c>
      <c r="H218" s="8" t="str">
        <f t="shared" si="61"/>
        <v>学士</v>
      </c>
    </row>
    <row r="219" ht="20" customHeight="1" spans="1:8">
      <c r="A219" s="7">
        <v>217</v>
      </c>
      <c r="B219" s="8" t="str">
        <f>"22812020042211362423009"</f>
        <v>22812020042211362423009</v>
      </c>
      <c r="C219" s="8" t="s">
        <v>10</v>
      </c>
      <c r="D219" s="8" t="str">
        <f>"王子珏"</f>
        <v>王子珏</v>
      </c>
      <c r="E219" s="8" t="str">
        <f t="shared" ref="E219:E223" si="66">"女"</f>
        <v>女</v>
      </c>
      <c r="F219" s="8" t="str">
        <f>"1992-01-07"</f>
        <v>1992-01-07</v>
      </c>
      <c r="G219" s="8" t="str">
        <f>"研究生"</f>
        <v>研究生</v>
      </c>
      <c r="H219" s="8" t="str">
        <f>"硕士"</f>
        <v>硕士</v>
      </c>
    </row>
    <row r="220" ht="20" customHeight="1" spans="1:8">
      <c r="A220" s="7">
        <v>218</v>
      </c>
      <c r="B220" s="8" t="str">
        <f>"22812020042212033723013"</f>
        <v>22812020042212033723013</v>
      </c>
      <c r="C220" s="8" t="s">
        <v>10</v>
      </c>
      <c r="D220" s="8" t="str">
        <f>"吴芬"</f>
        <v>吴芬</v>
      </c>
      <c r="E220" s="8" t="str">
        <f t="shared" si="66"/>
        <v>女</v>
      </c>
      <c r="F220" s="8" t="str">
        <f>"1990-01-08"</f>
        <v>1990-01-08</v>
      </c>
      <c r="G220" s="8" t="str">
        <f t="shared" ref="G220:G224" si="67">"本科"</f>
        <v>本科</v>
      </c>
      <c r="H220" s="8" t="str">
        <f t="shared" ref="H220:H224" si="68">"学士"</f>
        <v>学士</v>
      </c>
    </row>
    <row r="221" ht="20" customHeight="1" spans="1:8">
      <c r="A221" s="7">
        <v>219</v>
      </c>
      <c r="B221" s="8" t="str">
        <f>"22812020042212105423014"</f>
        <v>22812020042212105423014</v>
      </c>
      <c r="C221" s="8" t="s">
        <v>10</v>
      </c>
      <c r="D221" s="8" t="str">
        <f>"马文君"</f>
        <v>马文君</v>
      </c>
      <c r="E221" s="8" t="str">
        <f t="shared" si="66"/>
        <v>女</v>
      </c>
      <c r="F221" s="8" t="str">
        <f>"1995-01-20"</f>
        <v>1995-01-20</v>
      </c>
      <c r="G221" s="8" t="str">
        <f t="shared" si="67"/>
        <v>本科</v>
      </c>
      <c r="H221" s="8" t="str">
        <f t="shared" si="68"/>
        <v>学士</v>
      </c>
    </row>
    <row r="222" ht="20" customHeight="1" spans="1:8">
      <c r="A222" s="7">
        <v>220</v>
      </c>
      <c r="B222" s="8" t="str">
        <f>"22812020042212110423015"</f>
        <v>22812020042212110423015</v>
      </c>
      <c r="C222" s="8" t="s">
        <v>10</v>
      </c>
      <c r="D222" s="8" t="str">
        <f>"罗兰子"</f>
        <v>罗兰子</v>
      </c>
      <c r="E222" s="8" t="str">
        <f t="shared" si="66"/>
        <v>女</v>
      </c>
      <c r="F222" s="8" t="str">
        <f>"1989-12-28"</f>
        <v>1989-12-28</v>
      </c>
      <c r="G222" s="8" t="str">
        <f t="shared" si="67"/>
        <v>本科</v>
      </c>
      <c r="H222" s="8" t="str">
        <f t="shared" si="68"/>
        <v>学士</v>
      </c>
    </row>
    <row r="223" ht="20" customHeight="1" spans="1:8">
      <c r="A223" s="7">
        <v>221</v>
      </c>
      <c r="B223" s="8" t="str">
        <f>"22812020042212112723016"</f>
        <v>22812020042212112723016</v>
      </c>
      <c r="C223" s="8" t="s">
        <v>10</v>
      </c>
      <c r="D223" s="8" t="str">
        <f>"谭子芬"</f>
        <v>谭子芬</v>
      </c>
      <c r="E223" s="8" t="str">
        <f t="shared" si="66"/>
        <v>女</v>
      </c>
      <c r="F223" s="8" t="str">
        <f>"1992-11-09"</f>
        <v>1992-11-09</v>
      </c>
      <c r="G223" s="8" t="str">
        <f t="shared" si="67"/>
        <v>本科</v>
      </c>
      <c r="H223" s="8" t="str">
        <f t="shared" si="68"/>
        <v>学士</v>
      </c>
    </row>
    <row r="224" ht="20" customHeight="1" spans="1:8">
      <c r="A224" s="7">
        <v>222</v>
      </c>
      <c r="B224" s="8" t="str">
        <f>"22812020042212501723020"</f>
        <v>22812020042212501723020</v>
      </c>
      <c r="C224" s="8" t="s">
        <v>10</v>
      </c>
      <c r="D224" s="8" t="str">
        <f>"陈文智"</f>
        <v>陈文智</v>
      </c>
      <c r="E224" s="8" t="str">
        <f t="shared" ref="E224:E229" si="69">"男"</f>
        <v>男</v>
      </c>
      <c r="F224" s="8" t="str">
        <f>"1991-02-16"</f>
        <v>1991-02-16</v>
      </c>
      <c r="G224" s="8" t="str">
        <f t="shared" si="67"/>
        <v>本科</v>
      </c>
      <c r="H224" s="8" t="str">
        <f t="shared" si="68"/>
        <v>学士</v>
      </c>
    </row>
    <row r="225" ht="20" customHeight="1" spans="1:8">
      <c r="A225" s="7">
        <v>223</v>
      </c>
      <c r="B225" s="8" t="str">
        <f>"22812020042213143823026"</f>
        <v>22812020042213143823026</v>
      </c>
      <c r="C225" s="8" t="s">
        <v>10</v>
      </c>
      <c r="D225" s="8" t="str">
        <f>"陈学"</f>
        <v>陈学</v>
      </c>
      <c r="E225" s="8" t="str">
        <f t="shared" si="69"/>
        <v>男</v>
      </c>
      <c r="F225" s="8" t="str">
        <f>"1995-08-06"</f>
        <v>1995-08-06</v>
      </c>
      <c r="G225" s="8" t="str">
        <f>"研究生"</f>
        <v>研究生</v>
      </c>
      <c r="H225" s="8" t="str">
        <f>"硕士"</f>
        <v>硕士</v>
      </c>
    </row>
    <row r="226" ht="20" customHeight="1" spans="1:8">
      <c r="A226" s="7">
        <v>224</v>
      </c>
      <c r="B226" s="8" t="str">
        <f>"22812020042215181823055"</f>
        <v>22812020042215181823055</v>
      </c>
      <c r="C226" s="8" t="s">
        <v>10</v>
      </c>
      <c r="D226" s="8" t="str">
        <f>"刘艾洁"</f>
        <v>刘艾洁</v>
      </c>
      <c r="E226" s="8" t="str">
        <f t="shared" ref="E226:E233" si="70">"女"</f>
        <v>女</v>
      </c>
      <c r="F226" s="8" t="str">
        <f>"1996-02-20"</f>
        <v>1996-02-20</v>
      </c>
      <c r="G226" s="8" t="str">
        <f t="shared" ref="G226:G268" si="71">"本科"</f>
        <v>本科</v>
      </c>
      <c r="H226" s="8" t="str">
        <f t="shared" ref="H226:H268" si="72">"学士"</f>
        <v>学士</v>
      </c>
    </row>
    <row r="227" ht="20" customHeight="1" spans="1:8">
      <c r="A227" s="7">
        <v>225</v>
      </c>
      <c r="B227" s="8" t="str">
        <f>"22812020042215311023061"</f>
        <v>22812020042215311023061</v>
      </c>
      <c r="C227" s="8" t="s">
        <v>10</v>
      </c>
      <c r="D227" s="8" t="str">
        <f>"陈旭英"</f>
        <v>陈旭英</v>
      </c>
      <c r="E227" s="8" t="str">
        <f t="shared" si="70"/>
        <v>女</v>
      </c>
      <c r="F227" s="8" t="str">
        <f>"1998-05-13"</f>
        <v>1998-05-13</v>
      </c>
      <c r="G227" s="8" t="str">
        <f t="shared" si="71"/>
        <v>本科</v>
      </c>
      <c r="H227" s="8" t="str">
        <f t="shared" si="72"/>
        <v>学士</v>
      </c>
    </row>
    <row r="228" ht="20" customHeight="1" spans="1:8">
      <c r="A228" s="7">
        <v>226</v>
      </c>
      <c r="B228" s="8" t="str">
        <f>"22812020042215330123062"</f>
        <v>22812020042215330123062</v>
      </c>
      <c r="C228" s="8" t="s">
        <v>10</v>
      </c>
      <c r="D228" s="8" t="str">
        <f>"全宏宇"</f>
        <v>全宏宇</v>
      </c>
      <c r="E228" s="8" t="str">
        <f t="shared" si="69"/>
        <v>男</v>
      </c>
      <c r="F228" s="8" t="str">
        <f>"1993-12-10"</f>
        <v>1993-12-10</v>
      </c>
      <c r="G228" s="8" t="str">
        <f t="shared" si="71"/>
        <v>本科</v>
      </c>
      <c r="H228" s="8" t="str">
        <f t="shared" si="72"/>
        <v>学士</v>
      </c>
    </row>
    <row r="229" ht="20" customHeight="1" spans="1:8">
      <c r="A229" s="7">
        <v>227</v>
      </c>
      <c r="B229" s="8" t="str">
        <f>"22812020042216010623074"</f>
        <v>22812020042216010623074</v>
      </c>
      <c r="C229" s="8" t="s">
        <v>10</v>
      </c>
      <c r="D229" s="8" t="str">
        <f>"冯凯"</f>
        <v>冯凯</v>
      </c>
      <c r="E229" s="8" t="str">
        <f t="shared" si="69"/>
        <v>男</v>
      </c>
      <c r="F229" s="8" t="str">
        <f>"1990-03-13"</f>
        <v>1990-03-13</v>
      </c>
      <c r="G229" s="8" t="str">
        <f t="shared" si="71"/>
        <v>本科</v>
      </c>
      <c r="H229" s="8" t="str">
        <f t="shared" si="72"/>
        <v>学士</v>
      </c>
    </row>
    <row r="230" ht="20" customHeight="1" spans="1:8">
      <c r="A230" s="7">
        <v>228</v>
      </c>
      <c r="B230" s="8" t="str">
        <f>"22812020042216035423075"</f>
        <v>22812020042216035423075</v>
      </c>
      <c r="C230" s="8" t="s">
        <v>10</v>
      </c>
      <c r="D230" s="8" t="str">
        <f>"王文莉"</f>
        <v>王文莉</v>
      </c>
      <c r="E230" s="8" t="str">
        <f t="shared" si="70"/>
        <v>女</v>
      </c>
      <c r="F230" s="8" t="str">
        <f>"1995-12-12"</f>
        <v>1995-12-12</v>
      </c>
      <c r="G230" s="8" t="str">
        <f t="shared" si="71"/>
        <v>本科</v>
      </c>
      <c r="H230" s="8" t="str">
        <f t="shared" si="72"/>
        <v>学士</v>
      </c>
    </row>
    <row r="231" ht="20" customHeight="1" spans="1:8">
      <c r="A231" s="7">
        <v>229</v>
      </c>
      <c r="B231" s="8" t="str">
        <f>"22812020042216081023077"</f>
        <v>22812020042216081023077</v>
      </c>
      <c r="C231" s="8" t="s">
        <v>10</v>
      </c>
      <c r="D231" s="8" t="str">
        <f>"文郁清"</f>
        <v>文郁清</v>
      </c>
      <c r="E231" s="8" t="str">
        <f t="shared" si="70"/>
        <v>女</v>
      </c>
      <c r="F231" s="8" t="str">
        <f>"1995-11-08"</f>
        <v>1995-11-08</v>
      </c>
      <c r="G231" s="8" t="str">
        <f t="shared" si="71"/>
        <v>本科</v>
      </c>
      <c r="H231" s="8" t="str">
        <f t="shared" si="72"/>
        <v>学士</v>
      </c>
    </row>
    <row r="232" ht="20" customHeight="1" spans="1:8">
      <c r="A232" s="7">
        <v>230</v>
      </c>
      <c r="B232" s="8" t="str">
        <f>"22812020042216422723086"</f>
        <v>22812020042216422723086</v>
      </c>
      <c r="C232" s="8" t="s">
        <v>10</v>
      </c>
      <c r="D232" s="8" t="str">
        <f>"潘红"</f>
        <v>潘红</v>
      </c>
      <c r="E232" s="8" t="str">
        <f t="shared" si="70"/>
        <v>女</v>
      </c>
      <c r="F232" s="8" t="str">
        <f>"1990-07-14"</f>
        <v>1990-07-14</v>
      </c>
      <c r="G232" s="8" t="str">
        <f t="shared" si="71"/>
        <v>本科</v>
      </c>
      <c r="H232" s="8" t="str">
        <f t="shared" si="72"/>
        <v>学士</v>
      </c>
    </row>
    <row r="233" ht="20" customHeight="1" spans="1:8">
      <c r="A233" s="7">
        <v>231</v>
      </c>
      <c r="B233" s="8" t="str">
        <f>"22812020042217405723101"</f>
        <v>22812020042217405723101</v>
      </c>
      <c r="C233" s="8" t="s">
        <v>10</v>
      </c>
      <c r="D233" s="8" t="str">
        <f>"陈舒曼"</f>
        <v>陈舒曼</v>
      </c>
      <c r="E233" s="8" t="str">
        <f t="shared" si="70"/>
        <v>女</v>
      </c>
      <c r="F233" s="8" t="str">
        <f>"1996-10-01"</f>
        <v>1996-10-01</v>
      </c>
      <c r="G233" s="8" t="str">
        <f t="shared" si="71"/>
        <v>本科</v>
      </c>
      <c r="H233" s="8" t="str">
        <f t="shared" si="72"/>
        <v>学士</v>
      </c>
    </row>
    <row r="234" ht="20" customHeight="1" spans="1:8">
      <c r="A234" s="7">
        <v>232</v>
      </c>
      <c r="B234" s="8" t="str">
        <f>"22812020042218052523104"</f>
        <v>22812020042218052523104</v>
      </c>
      <c r="C234" s="8" t="s">
        <v>10</v>
      </c>
      <c r="D234" s="8" t="str">
        <f>"高文强"</f>
        <v>高文强</v>
      </c>
      <c r="E234" s="8" t="str">
        <f t="shared" ref="E234:E238" si="73">"男"</f>
        <v>男</v>
      </c>
      <c r="F234" s="8" t="str">
        <f>"1987-09-23"</f>
        <v>1987-09-23</v>
      </c>
      <c r="G234" s="8" t="str">
        <f t="shared" si="71"/>
        <v>本科</v>
      </c>
      <c r="H234" s="8" t="str">
        <f t="shared" si="72"/>
        <v>学士</v>
      </c>
    </row>
    <row r="235" ht="20" customHeight="1" spans="1:8">
      <c r="A235" s="7">
        <v>233</v>
      </c>
      <c r="B235" s="8" t="str">
        <f>"22812020042218095223106"</f>
        <v>22812020042218095223106</v>
      </c>
      <c r="C235" s="8" t="s">
        <v>10</v>
      </c>
      <c r="D235" s="8" t="str">
        <f>"董敏"</f>
        <v>董敏</v>
      </c>
      <c r="E235" s="8" t="str">
        <f t="shared" ref="E235:E240" si="74">"女"</f>
        <v>女</v>
      </c>
      <c r="F235" s="8" t="str">
        <f>"1996-10-08"</f>
        <v>1996-10-08</v>
      </c>
      <c r="G235" s="8" t="str">
        <f t="shared" si="71"/>
        <v>本科</v>
      </c>
      <c r="H235" s="8" t="str">
        <f t="shared" si="72"/>
        <v>学士</v>
      </c>
    </row>
    <row r="236" ht="20" customHeight="1" spans="1:8">
      <c r="A236" s="7">
        <v>234</v>
      </c>
      <c r="B236" s="8" t="str">
        <f>"22812020042218162823108"</f>
        <v>22812020042218162823108</v>
      </c>
      <c r="C236" s="8" t="s">
        <v>10</v>
      </c>
      <c r="D236" s="8" t="str">
        <f>"李铭栋"</f>
        <v>李铭栋</v>
      </c>
      <c r="E236" s="8" t="str">
        <f t="shared" si="73"/>
        <v>男</v>
      </c>
      <c r="F236" s="8" t="str">
        <f>"1993-10-12"</f>
        <v>1993-10-12</v>
      </c>
      <c r="G236" s="8" t="str">
        <f t="shared" si="71"/>
        <v>本科</v>
      </c>
      <c r="H236" s="8" t="str">
        <f t="shared" si="72"/>
        <v>学士</v>
      </c>
    </row>
    <row r="237" ht="20" customHeight="1" spans="1:8">
      <c r="A237" s="7">
        <v>235</v>
      </c>
      <c r="B237" s="8" t="str">
        <f>"22812020042218233223110"</f>
        <v>22812020042218233223110</v>
      </c>
      <c r="C237" s="8" t="s">
        <v>10</v>
      </c>
      <c r="D237" s="8" t="str">
        <f>"陈舒琪"</f>
        <v>陈舒琪</v>
      </c>
      <c r="E237" s="8" t="str">
        <f t="shared" si="74"/>
        <v>女</v>
      </c>
      <c r="F237" s="8" t="str">
        <f>"1996-10-01"</f>
        <v>1996-10-01</v>
      </c>
      <c r="G237" s="8" t="str">
        <f t="shared" si="71"/>
        <v>本科</v>
      </c>
      <c r="H237" s="8" t="str">
        <f t="shared" si="72"/>
        <v>学士</v>
      </c>
    </row>
    <row r="238" ht="20" customHeight="1" spans="1:8">
      <c r="A238" s="7">
        <v>236</v>
      </c>
      <c r="B238" s="8" t="str">
        <f>"22812020042218290423111"</f>
        <v>22812020042218290423111</v>
      </c>
      <c r="C238" s="8" t="s">
        <v>10</v>
      </c>
      <c r="D238" s="8" t="str">
        <f>"梁德华"</f>
        <v>梁德华</v>
      </c>
      <c r="E238" s="8" t="str">
        <f t="shared" si="73"/>
        <v>男</v>
      </c>
      <c r="F238" s="8" t="str">
        <f>"1995-08-18"</f>
        <v>1995-08-18</v>
      </c>
      <c r="G238" s="8" t="str">
        <f t="shared" si="71"/>
        <v>本科</v>
      </c>
      <c r="H238" s="8" t="str">
        <f t="shared" si="72"/>
        <v>学士</v>
      </c>
    </row>
    <row r="239" ht="20" customHeight="1" spans="1:8">
      <c r="A239" s="7">
        <v>237</v>
      </c>
      <c r="B239" s="8" t="str">
        <f>"22812020042219073223115"</f>
        <v>22812020042219073223115</v>
      </c>
      <c r="C239" s="8" t="s">
        <v>10</v>
      </c>
      <c r="D239" s="8" t="str">
        <f>"潘国秀"</f>
        <v>潘国秀</v>
      </c>
      <c r="E239" s="8" t="str">
        <f t="shared" si="74"/>
        <v>女</v>
      </c>
      <c r="F239" s="8" t="str">
        <f>"1995-05-04"</f>
        <v>1995-05-04</v>
      </c>
      <c r="G239" s="8" t="str">
        <f t="shared" si="71"/>
        <v>本科</v>
      </c>
      <c r="H239" s="8" t="str">
        <f t="shared" si="72"/>
        <v>学士</v>
      </c>
    </row>
    <row r="240" ht="20" customHeight="1" spans="1:8">
      <c r="A240" s="7">
        <v>238</v>
      </c>
      <c r="B240" s="8" t="str">
        <f>"22812020042219112223116"</f>
        <v>22812020042219112223116</v>
      </c>
      <c r="C240" s="8" t="s">
        <v>10</v>
      </c>
      <c r="D240" s="8" t="str">
        <f>"冯立秋"</f>
        <v>冯立秋</v>
      </c>
      <c r="E240" s="8" t="str">
        <f t="shared" si="74"/>
        <v>女</v>
      </c>
      <c r="F240" s="8" t="str">
        <f>"1989-02-01"</f>
        <v>1989-02-01</v>
      </c>
      <c r="G240" s="8" t="str">
        <f t="shared" si="71"/>
        <v>本科</v>
      </c>
      <c r="H240" s="8" t="str">
        <f t="shared" si="72"/>
        <v>学士</v>
      </c>
    </row>
    <row r="241" ht="20" customHeight="1" spans="1:8">
      <c r="A241" s="7">
        <v>239</v>
      </c>
      <c r="B241" s="8" t="str">
        <f>"22812020042220044723122"</f>
        <v>22812020042220044723122</v>
      </c>
      <c r="C241" s="8" t="s">
        <v>10</v>
      </c>
      <c r="D241" s="8" t="str">
        <f>"林鸿昌"</f>
        <v>林鸿昌</v>
      </c>
      <c r="E241" s="8" t="str">
        <f>"男"</f>
        <v>男</v>
      </c>
      <c r="F241" s="8" t="str">
        <f>"1985-12-27"</f>
        <v>1985-12-27</v>
      </c>
      <c r="G241" s="8" t="str">
        <f t="shared" si="71"/>
        <v>本科</v>
      </c>
      <c r="H241" s="8" t="str">
        <f t="shared" si="72"/>
        <v>学士</v>
      </c>
    </row>
    <row r="242" ht="20" customHeight="1" spans="1:8">
      <c r="A242" s="7">
        <v>240</v>
      </c>
      <c r="B242" s="8" t="str">
        <f>"22812020042220081923124"</f>
        <v>22812020042220081923124</v>
      </c>
      <c r="C242" s="8" t="s">
        <v>10</v>
      </c>
      <c r="D242" s="8" t="str">
        <f>"张郁郁"</f>
        <v>张郁郁</v>
      </c>
      <c r="E242" s="8" t="str">
        <f t="shared" ref="E242:E245" si="75">"女"</f>
        <v>女</v>
      </c>
      <c r="F242" s="8" t="str">
        <f>"1990-02-21"</f>
        <v>1990-02-21</v>
      </c>
      <c r="G242" s="8" t="str">
        <f t="shared" si="71"/>
        <v>本科</v>
      </c>
      <c r="H242" s="8" t="str">
        <f t="shared" si="72"/>
        <v>学士</v>
      </c>
    </row>
    <row r="243" ht="20" customHeight="1" spans="1:8">
      <c r="A243" s="7">
        <v>241</v>
      </c>
      <c r="B243" s="8" t="str">
        <f>"22812020042220324523128"</f>
        <v>22812020042220324523128</v>
      </c>
      <c r="C243" s="8" t="s">
        <v>10</v>
      </c>
      <c r="D243" s="8" t="str">
        <f>"文丽雲"</f>
        <v>文丽雲</v>
      </c>
      <c r="E243" s="8" t="str">
        <f t="shared" si="75"/>
        <v>女</v>
      </c>
      <c r="F243" s="8" t="str">
        <f>"1995-04-02"</f>
        <v>1995-04-02</v>
      </c>
      <c r="G243" s="8" t="str">
        <f t="shared" si="71"/>
        <v>本科</v>
      </c>
      <c r="H243" s="8" t="str">
        <f t="shared" si="72"/>
        <v>学士</v>
      </c>
    </row>
    <row r="244" ht="20" customHeight="1" spans="1:8">
      <c r="A244" s="7">
        <v>242</v>
      </c>
      <c r="B244" s="8" t="str">
        <f>"22812020042220390823131"</f>
        <v>22812020042220390823131</v>
      </c>
      <c r="C244" s="8" t="s">
        <v>10</v>
      </c>
      <c r="D244" s="8" t="str">
        <f>"华德贤"</f>
        <v>华德贤</v>
      </c>
      <c r="E244" s="8" t="str">
        <f t="shared" si="75"/>
        <v>女</v>
      </c>
      <c r="F244" s="8" t="str">
        <f>"1995-06-04"</f>
        <v>1995-06-04</v>
      </c>
      <c r="G244" s="8" t="str">
        <f t="shared" si="71"/>
        <v>本科</v>
      </c>
      <c r="H244" s="8" t="str">
        <f t="shared" si="72"/>
        <v>学士</v>
      </c>
    </row>
    <row r="245" ht="20" customHeight="1" spans="1:8">
      <c r="A245" s="7">
        <v>243</v>
      </c>
      <c r="B245" s="8" t="str">
        <f>"22812020042220484423133"</f>
        <v>22812020042220484423133</v>
      </c>
      <c r="C245" s="8" t="s">
        <v>10</v>
      </c>
      <c r="D245" s="8" t="str">
        <f>"陈欣欣"</f>
        <v>陈欣欣</v>
      </c>
      <c r="E245" s="8" t="str">
        <f t="shared" si="75"/>
        <v>女</v>
      </c>
      <c r="F245" s="8" t="str">
        <f>"1995-02-15"</f>
        <v>1995-02-15</v>
      </c>
      <c r="G245" s="8" t="str">
        <f t="shared" si="71"/>
        <v>本科</v>
      </c>
      <c r="H245" s="8" t="str">
        <f t="shared" si="72"/>
        <v>学士</v>
      </c>
    </row>
    <row r="246" ht="20" customHeight="1" spans="1:8">
      <c r="A246" s="7">
        <v>244</v>
      </c>
      <c r="B246" s="8" t="str">
        <f>"22812020042221593423145"</f>
        <v>22812020042221593423145</v>
      </c>
      <c r="C246" s="8" t="s">
        <v>10</v>
      </c>
      <c r="D246" s="8" t="str">
        <f>"王茂华"</f>
        <v>王茂华</v>
      </c>
      <c r="E246" s="8" t="str">
        <f>"男"</f>
        <v>男</v>
      </c>
      <c r="F246" s="8" t="str">
        <f>"1986-07-13"</f>
        <v>1986-07-13</v>
      </c>
      <c r="G246" s="8" t="str">
        <f t="shared" si="71"/>
        <v>本科</v>
      </c>
      <c r="H246" s="8" t="str">
        <f t="shared" si="72"/>
        <v>学士</v>
      </c>
    </row>
    <row r="247" ht="20" customHeight="1" spans="1:8">
      <c r="A247" s="7">
        <v>245</v>
      </c>
      <c r="B247" s="8" t="str">
        <f>"22812020042308530923163"</f>
        <v>22812020042308530923163</v>
      </c>
      <c r="C247" s="8" t="s">
        <v>10</v>
      </c>
      <c r="D247" s="8" t="str">
        <f>"邢蛟男"</f>
        <v>邢蛟男</v>
      </c>
      <c r="E247" s="8" t="str">
        <f t="shared" ref="E247:E251" si="76">"女"</f>
        <v>女</v>
      </c>
      <c r="F247" s="8" t="str">
        <f>"1994-12-13"</f>
        <v>1994-12-13</v>
      </c>
      <c r="G247" s="8" t="str">
        <f t="shared" si="71"/>
        <v>本科</v>
      </c>
      <c r="H247" s="8" t="str">
        <f t="shared" si="72"/>
        <v>学士</v>
      </c>
    </row>
    <row r="248" ht="20" customHeight="1" spans="1:8">
      <c r="A248" s="7">
        <v>246</v>
      </c>
      <c r="B248" s="8" t="str">
        <f>"22812020042309103723167"</f>
        <v>22812020042309103723167</v>
      </c>
      <c r="C248" s="8" t="s">
        <v>10</v>
      </c>
      <c r="D248" s="8" t="str">
        <f>"戴丹"</f>
        <v>戴丹</v>
      </c>
      <c r="E248" s="8" t="str">
        <f t="shared" si="76"/>
        <v>女</v>
      </c>
      <c r="F248" s="8" t="str">
        <f>"1991-12-27"</f>
        <v>1991-12-27</v>
      </c>
      <c r="G248" s="8" t="str">
        <f t="shared" si="71"/>
        <v>本科</v>
      </c>
      <c r="H248" s="8" t="str">
        <f t="shared" si="72"/>
        <v>学士</v>
      </c>
    </row>
    <row r="249" ht="20" customHeight="1" spans="1:8">
      <c r="A249" s="7">
        <v>247</v>
      </c>
      <c r="B249" s="8" t="str">
        <f>"22812020042309164823168"</f>
        <v>22812020042309164823168</v>
      </c>
      <c r="C249" s="8" t="s">
        <v>10</v>
      </c>
      <c r="D249" s="8" t="str">
        <f>"容哲莹"</f>
        <v>容哲莹</v>
      </c>
      <c r="E249" s="8" t="str">
        <f t="shared" si="76"/>
        <v>女</v>
      </c>
      <c r="F249" s="8" t="str">
        <f>"1991-06-08"</f>
        <v>1991-06-08</v>
      </c>
      <c r="G249" s="8" t="str">
        <f t="shared" si="71"/>
        <v>本科</v>
      </c>
      <c r="H249" s="8" t="str">
        <f t="shared" si="72"/>
        <v>学士</v>
      </c>
    </row>
    <row r="250" ht="20" customHeight="1" spans="1:8">
      <c r="A250" s="7">
        <v>248</v>
      </c>
      <c r="B250" s="8" t="str">
        <f>"22812020042309501923180"</f>
        <v>22812020042309501923180</v>
      </c>
      <c r="C250" s="8" t="s">
        <v>10</v>
      </c>
      <c r="D250" s="8" t="str">
        <f>"陈湘湘"</f>
        <v>陈湘湘</v>
      </c>
      <c r="E250" s="8" t="str">
        <f t="shared" si="76"/>
        <v>女</v>
      </c>
      <c r="F250" s="8" t="str">
        <f>"1987-11-21"</f>
        <v>1987-11-21</v>
      </c>
      <c r="G250" s="8" t="str">
        <f t="shared" si="71"/>
        <v>本科</v>
      </c>
      <c r="H250" s="8" t="str">
        <f t="shared" si="72"/>
        <v>学士</v>
      </c>
    </row>
    <row r="251" ht="20" customHeight="1" spans="1:8">
      <c r="A251" s="7">
        <v>249</v>
      </c>
      <c r="B251" s="8" t="str">
        <f>"22812020042309514823181"</f>
        <v>22812020042309514823181</v>
      </c>
      <c r="C251" s="8" t="s">
        <v>10</v>
      </c>
      <c r="D251" s="8" t="str">
        <f>"管娟"</f>
        <v>管娟</v>
      </c>
      <c r="E251" s="8" t="str">
        <f t="shared" si="76"/>
        <v>女</v>
      </c>
      <c r="F251" s="8" t="str">
        <f>"1996-11-30"</f>
        <v>1996-11-30</v>
      </c>
      <c r="G251" s="8" t="str">
        <f t="shared" si="71"/>
        <v>本科</v>
      </c>
      <c r="H251" s="8" t="str">
        <f t="shared" si="72"/>
        <v>学士</v>
      </c>
    </row>
    <row r="252" ht="20" customHeight="1" spans="1:8">
      <c r="A252" s="7">
        <v>250</v>
      </c>
      <c r="B252" s="8" t="str">
        <f>"22812020042310525323194"</f>
        <v>22812020042310525323194</v>
      </c>
      <c r="C252" s="8" t="s">
        <v>10</v>
      </c>
      <c r="D252" s="8" t="str">
        <f>"黄志程"</f>
        <v>黄志程</v>
      </c>
      <c r="E252" s="8" t="str">
        <f t="shared" ref="E252:E258" si="77">"男"</f>
        <v>男</v>
      </c>
      <c r="F252" s="8" t="str">
        <f>"1994-10-03"</f>
        <v>1994-10-03</v>
      </c>
      <c r="G252" s="8" t="str">
        <f t="shared" si="71"/>
        <v>本科</v>
      </c>
      <c r="H252" s="8" t="str">
        <f t="shared" si="72"/>
        <v>学士</v>
      </c>
    </row>
    <row r="253" ht="20" customHeight="1" spans="1:8">
      <c r="A253" s="7">
        <v>251</v>
      </c>
      <c r="B253" s="8" t="str">
        <f>"22812020042310584623197"</f>
        <v>22812020042310584623197</v>
      </c>
      <c r="C253" s="8" t="s">
        <v>10</v>
      </c>
      <c r="D253" s="8" t="str">
        <f>"陈小琴"</f>
        <v>陈小琴</v>
      </c>
      <c r="E253" s="8" t="str">
        <f t="shared" ref="E253:E256" si="78">"女"</f>
        <v>女</v>
      </c>
      <c r="F253" s="8" t="str">
        <f>"1996-09-20"</f>
        <v>1996-09-20</v>
      </c>
      <c r="G253" s="8" t="str">
        <f t="shared" si="71"/>
        <v>本科</v>
      </c>
      <c r="H253" s="8" t="str">
        <f t="shared" si="72"/>
        <v>学士</v>
      </c>
    </row>
    <row r="254" ht="20" customHeight="1" spans="1:8">
      <c r="A254" s="7">
        <v>252</v>
      </c>
      <c r="B254" s="8" t="str">
        <f>"22812020042311154923200"</f>
        <v>22812020042311154923200</v>
      </c>
      <c r="C254" s="8" t="s">
        <v>10</v>
      </c>
      <c r="D254" s="8" t="str">
        <f>"符业辉"</f>
        <v>符业辉</v>
      </c>
      <c r="E254" s="8" t="str">
        <f t="shared" si="77"/>
        <v>男</v>
      </c>
      <c r="F254" s="8" t="str">
        <f>"1993-10-18"</f>
        <v>1993-10-18</v>
      </c>
      <c r="G254" s="8" t="str">
        <f t="shared" si="71"/>
        <v>本科</v>
      </c>
      <c r="H254" s="8" t="str">
        <f t="shared" si="72"/>
        <v>学士</v>
      </c>
    </row>
    <row r="255" ht="20" customHeight="1" spans="1:8">
      <c r="A255" s="7">
        <v>253</v>
      </c>
      <c r="B255" s="8" t="str">
        <f>"22812020042311224523202"</f>
        <v>22812020042311224523202</v>
      </c>
      <c r="C255" s="8" t="s">
        <v>10</v>
      </c>
      <c r="D255" s="8" t="str">
        <f>"焦冰"</f>
        <v>焦冰</v>
      </c>
      <c r="E255" s="8" t="str">
        <f t="shared" si="78"/>
        <v>女</v>
      </c>
      <c r="F255" s="8" t="str">
        <f>"1993-05-02"</f>
        <v>1993-05-02</v>
      </c>
      <c r="G255" s="8" t="str">
        <f t="shared" si="71"/>
        <v>本科</v>
      </c>
      <c r="H255" s="8" t="str">
        <f t="shared" si="72"/>
        <v>学士</v>
      </c>
    </row>
    <row r="256" ht="20" customHeight="1" spans="1:8">
      <c r="A256" s="7">
        <v>254</v>
      </c>
      <c r="B256" s="8" t="str">
        <f>"22812020042311255323203"</f>
        <v>22812020042311255323203</v>
      </c>
      <c r="C256" s="8" t="s">
        <v>10</v>
      </c>
      <c r="D256" s="8" t="str">
        <f>"王芳珠"</f>
        <v>王芳珠</v>
      </c>
      <c r="E256" s="8" t="str">
        <f t="shared" si="78"/>
        <v>女</v>
      </c>
      <c r="F256" s="8" t="str">
        <f>"1998-04-15"</f>
        <v>1998-04-15</v>
      </c>
      <c r="G256" s="8" t="str">
        <f t="shared" si="71"/>
        <v>本科</v>
      </c>
      <c r="H256" s="8" t="str">
        <f t="shared" si="72"/>
        <v>学士</v>
      </c>
    </row>
    <row r="257" ht="20" customHeight="1" spans="1:8">
      <c r="A257" s="7">
        <v>255</v>
      </c>
      <c r="B257" s="8" t="str">
        <f>"22812020042311582123221"</f>
        <v>22812020042311582123221</v>
      </c>
      <c r="C257" s="8" t="s">
        <v>10</v>
      </c>
      <c r="D257" s="8" t="str">
        <f>"麦晗"</f>
        <v>麦晗</v>
      </c>
      <c r="E257" s="8" t="str">
        <f t="shared" si="77"/>
        <v>男</v>
      </c>
      <c r="F257" s="8" t="str">
        <f>"1994-12-29"</f>
        <v>1994-12-29</v>
      </c>
      <c r="G257" s="8" t="str">
        <f t="shared" si="71"/>
        <v>本科</v>
      </c>
      <c r="H257" s="8" t="str">
        <f t="shared" si="72"/>
        <v>学士</v>
      </c>
    </row>
    <row r="258" ht="20" customHeight="1" spans="1:8">
      <c r="A258" s="7">
        <v>256</v>
      </c>
      <c r="B258" s="8" t="str">
        <f>"22812020042312041223223"</f>
        <v>22812020042312041223223</v>
      </c>
      <c r="C258" s="8" t="s">
        <v>10</v>
      </c>
      <c r="D258" s="8" t="str">
        <f>"吴贤奖"</f>
        <v>吴贤奖</v>
      </c>
      <c r="E258" s="8" t="str">
        <f t="shared" si="77"/>
        <v>男</v>
      </c>
      <c r="F258" s="8" t="str">
        <f>"1997-01-20"</f>
        <v>1997-01-20</v>
      </c>
      <c r="G258" s="8" t="str">
        <f t="shared" si="71"/>
        <v>本科</v>
      </c>
      <c r="H258" s="8" t="str">
        <f t="shared" si="72"/>
        <v>学士</v>
      </c>
    </row>
    <row r="259" ht="20" customHeight="1" spans="1:8">
      <c r="A259" s="7">
        <v>257</v>
      </c>
      <c r="B259" s="8" t="str">
        <f>"22812020042312064823225"</f>
        <v>22812020042312064823225</v>
      </c>
      <c r="C259" s="8" t="s">
        <v>10</v>
      </c>
      <c r="D259" s="8" t="str">
        <f>"吴珠"</f>
        <v>吴珠</v>
      </c>
      <c r="E259" s="8" t="str">
        <f t="shared" ref="E259:E272" si="79">"女"</f>
        <v>女</v>
      </c>
      <c r="F259" s="8" t="str">
        <f>"1993-09-02"</f>
        <v>1993-09-02</v>
      </c>
      <c r="G259" s="8" t="str">
        <f t="shared" si="71"/>
        <v>本科</v>
      </c>
      <c r="H259" s="8" t="str">
        <f t="shared" si="72"/>
        <v>学士</v>
      </c>
    </row>
    <row r="260" ht="20" customHeight="1" spans="1:8">
      <c r="A260" s="7">
        <v>258</v>
      </c>
      <c r="B260" s="8" t="str">
        <f>"22812020042312092223226"</f>
        <v>22812020042312092223226</v>
      </c>
      <c r="C260" s="8" t="s">
        <v>10</v>
      </c>
      <c r="D260" s="8" t="str">
        <f>"陈宸"</f>
        <v>陈宸</v>
      </c>
      <c r="E260" s="8" t="str">
        <f t="shared" si="79"/>
        <v>女</v>
      </c>
      <c r="F260" s="8" t="str">
        <f>"1994-05-20"</f>
        <v>1994-05-20</v>
      </c>
      <c r="G260" s="8" t="str">
        <f t="shared" si="71"/>
        <v>本科</v>
      </c>
      <c r="H260" s="8" t="str">
        <f t="shared" si="72"/>
        <v>学士</v>
      </c>
    </row>
    <row r="261" ht="20" customHeight="1" spans="1:8">
      <c r="A261" s="7">
        <v>259</v>
      </c>
      <c r="B261" s="8" t="str">
        <f>"22812020042312471923229"</f>
        <v>22812020042312471923229</v>
      </c>
      <c r="C261" s="8" t="s">
        <v>10</v>
      </c>
      <c r="D261" s="8" t="str">
        <f>"王延山"</f>
        <v>王延山</v>
      </c>
      <c r="E261" s="8" t="str">
        <f>"男"</f>
        <v>男</v>
      </c>
      <c r="F261" s="8" t="str">
        <f>"1995-04-22"</f>
        <v>1995-04-22</v>
      </c>
      <c r="G261" s="8" t="str">
        <f t="shared" si="71"/>
        <v>本科</v>
      </c>
      <c r="H261" s="8" t="str">
        <f t="shared" si="72"/>
        <v>学士</v>
      </c>
    </row>
    <row r="262" ht="20" customHeight="1" spans="1:8">
      <c r="A262" s="7">
        <v>260</v>
      </c>
      <c r="B262" s="8" t="str">
        <f>"22812020042315103523249"</f>
        <v>22812020042315103523249</v>
      </c>
      <c r="C262" s="8" t="s">
        <v>10</v>
      </c>
      <c r="D262" s="8" t="str">
        <f>"刘英睿"</f>
        <v>刘英睿</v>
      </c>
      <c r="E262" s="8" t="str">
        <f t="shared" si="79"/>
        <v>女</v>
      </c>
      <c r="F262" s="8" t="str">
        <f>"1993-10-31"</f>
        <v>1993-10-31</v>
      </c>
      <c r="G262" s="8" t="str">
        <f t="shared" si="71"/>
        <v>本科</v>
      </c>
      <c r="H262" s="8" t="str">
        <f t="shared" si="72"/>
        <v>学士</v>
      </c>
    </row>
    <row r="263" ht="20" customHeight="1" spans="1:8">
      <c r="A263" s="7">
        <v>261</v>
      </c>
      <c r="B263" s="8" t="str">
        <f>"22812020042316453923264"</f>
        <v>22812020042316453923264</v>
      </c>
      <c r="C263" s="8" t="s">
        <v>10</v>
      </c>
      <c r="D263" s="8" t="str">
        <f>"白志爽"</f>
        <v>白志爽</v>
      </c>
      <c r="E263" s="8" t="str">
        <f t="shared" si="79"/>
        <v>女</v>
      </c>
      <c r="F263" s="8" t="str">
        <f>"1995-07-08"</f>
        <v>1995-07-08</v>
      </c>
      <c r="G263" s="8" t="str">
        <f t="shared" si="71"/>
        <v>本科</v>
      </c>
      <c r="H263" s="8" t="str">
        <f t="shared" si="72"/>
        <v>学士</v>
      </c>
    </row>
    <row r="264" ht="20" customHeight="1" spans="1:8">
      <c r="A264" s="7">
        <v>262</v>
      </c>
      <c r="B264" s="8" t="str">
        <f>"22812020042316490223265"</f>
        <v>22812020042316490223265</v>
      </c>
      <c r="C264" s="8" t="s">
        <v>10</v>
      </c>
      <c r="D264" s="8" t="str">
        <f>"赵婷"</f>
        <v>赵婷</v>
      </c>
      <c r="E264" s="8" t="str">
        <f t="shared" si="79"/>
        <v>女</v>
      </c>
      <c r="F264" s="8" t="str">
        <f>"1992-06-03"</f>
        <v>1992-06-03</v>
      </c>
      <c r="G264" s="8" t="str">
        <f t="shared" si="71"/>
        <v>本科</v>
      </c>
      <c r="H264" s="8" t="str">
        <f t="shared" si="72"/>
        <v>学士</v>
      </c>
    </row>
    <row r="265" ht="20" customHeight="1" spans="1:8">
      <c r="A265" s="7">
        <v>263</v>
      </c>
      <c r="B265" s="8" t="str">
        <f>"22812020042317115123267"</f>
        <v>22812020042317115123267</v>
      </c>
      <c r="C265" s="8" t="s">
        <v>10</v>
      </c>
      <c r="D265" s="8" t="str">
        <f>"傅丽曼"</f>
        <v>傅丽曼</v>
      </c>
      <c r="E265" s="8" t="str">
        <f t="shared" si="79"/>
        <v>女</v>
      </c>
      <c r="F265" s="8" t="str">
        <f>"1985-10-20"</f>
        <v>1985-10-20</v>
      </c>
      <c r="G265" s="8" t="str">
        <f t="shared" si="71"/>
        <v>本科</v>
      </c>
      <c r="H265" s="8" t="str">
        <f t="shared" si="72"/>
        <v>学士</v>
      </c>
    </row>
    <row r="266" ht="20" customHeight="1" spans="1:8">
      <c r="A266" s="7">
        <v>264</v>
      </c>
      <c r="B266" s="8" t="str">
        <f>"22812020042317284023273"</f>
        <v>22812020042317284023273</v>
      </c>
      <c r="C266" s="8" t="s">
        <v>10</v>
      </c>
      <c r="D266" s="8" t="str">
        <f>"杨程"</f>
        <v>杨程</v>
      </c>
      <c r="E266" s="8" t="str">
        <f t="shared" si="79"/>
        <v>女</v>
      </c>
      <c r="F266" s="8" t="str">
        <f>"1991-12-01"</f>
        <v>1991-12-01</v>
      </c>
      <c r="G266" s="8" t="str">
        <f t="shared" si="71"/>
        <v>本科</v>
      </c>
      <c r="H266" s="8" t="str">
        <f t="shared" si="72"/>
        <v>学士</v>
      </c>
    </row>
    <row r="267" ht="20" customHeight="1" spans="1:8">
      <c r="A267" s="7">
        <v>265</v>
      </c>
      <c r="B267" s="8" t="str">
        <f>"22812020042317345623275"</f>
        <v>22812020042317345623275</v>
      </c>
      <c r="C267" s="8" t="s">
        <v>10</v>
      </c>
      <c r="D267" s="8" t="str">
        <f>"林姿雯"</f>
        <v>林姿雯</v>
      </c>
      <c r="E267" s="8" t="str">
        <f t="shared" si="79"/>
        <v>女</v>
      </c>
      <c r="F267" s="8" t="str">
        <f>"1991-07-20"</f>
        <v>1991-07-20</v>
      </c>
      <c r="G267" s="8" t="str">
        <f t="shared" si="71"/>
        <v>本科</v>
      </c>
      <c r="H267" s="8" t="str">
        <f t="shared" si="72"/>
        <v>学士</v>
      </c>
    </row>
    <row r="268" ht="20" customHeight="1" spans="1:8">
      <c r="A268" s="7">
        <v>266</v>
      </c>
      <c r="B268" s="8" t="str">
        <f>"22812020042317353823276"</f>
        <v>22812020042317353823276</v>
      </c>
      <c r="C268" s="8" t="s">
        <v>10</v>
      </c>
      <c r="D268" s="8" t="str">
        <f>"符策彤"</f>
        <v>符策彤</v>
      </c>
      <c r="E268" s="8" t="str">
        <f t="shared" si="79"/>
        <v>女</v>
      </c>
      <c r="F268" s="8" t="str">
        <f>"1996-02-24"</f>
        <v>1996-02-24</v>
      </c>
      <c r="G268" s="8" t="str">
        <f t="shared" si="71"/>
        <v>本科</v>
      </c>
      <c r="H268" s="8" t="str">
        <f t="shared" si="72"/>
        <v>学士</v>
      </c>
    </row>
    <row r="269" ht="20" customHeight="1" spans="1:8">
      <c r="A269" s="7">
        <v>267</v>
      </c>
      <c r="B269" s="8" t="str">
        <f>"22812020042317484923279"</f>
        <v>22812020042317484923279</v>
      </c>
      <c r="C269" s="8" t="s">
        <v>10</v>
      </c>
      <c r="D269" s="8" t="str">
        <f>"符雅乾"</f>
        <v>符雅乾</v>
      </c>
      <c r="E269" s="8" t="str">
        <f t="shared" si="79"/>
        <v>女</v>
      </c>
      <c r="F269" s="8" t="str">
        <f>"1994-10-31"</f>
        <v>1994-10-31</v>
      </c>
      <c r="G269" s="8" t="str">
        <f>"研究生"</f>
        <v>研究生</v>
      </c>
      <c r="H269" s="8" t="str">
        <f>"硕士"</f>
        <v>硕士</v>
      </c>
    </row>
    <row r="270" ht="20" customHeight="1" spans="1:8">
      <c r="A270" s="7">
        <v>268</v>
      </c>
      <c r="B270" s="8" t="str">
        <f>"22812020042318393923285"</f>
        <v>22812020042318393923285</v>
      </c>
      <c r="C270" s="8" t="s">
        <v>10</v>
      </c>
      <c r="D270" s="8" t="str">
        <f>"曾琪"</f>
        <v>曾琪</v>
      </c>
      <c r="E270" s="8" t="str">
        <f t="shared" si="79"/>
        <v>女</v>
      </c>
      <c r="F270" s="8" t="str">
        <f>"1995-08-08"</f>
        <v>1995-08-08</v>
      </c>
      <c r="G270" s="8" t="str">
        <f t="shared" ref="G270:G275" si="80">"本科"</f>
        <v>本科</v>
      </c>
      <c r="H270" s="8" t="str">
        <f t="shared" ref="H270:H275" si="81">"学士"</f>
        <v>学士</v>
      </c>
    </row>
    <row r="271" ht="20" customHeight="1" spans="1:8">
      <c r="A271" s="7">
        <v>269</v>
      </c>
      <c r="B271" s="8" t="str">
        <f>"22812020042318575423287"</f>
        <v>22812020042318575423287</v>
      </c>
      <c r="C271" s="8" t="s">
        <v>10</v>
      </c>
      <c r="D271" s="8" t="str">
        <f>"麦惠"</f>
        <v>麦惠</v>
      </c>
      <c r="E271" s="8" t="str">
        <f t="shared" si="79"/>
        <v>女</v>
      </c>
      <c r="F271" s="8" t="str">
        <f>"1998-09-12"</f>
        <v>1998-09-12</v>
      </c>
      <c r="G271" s="8" t="str">
        <f t="shared" si="80"/>
        <v>本科</v>
      </c>
      <c r="H271" s="8" t="str">
        <f t="shared" si="81"/>
        <v>学士</v>
      </c>
    </row>
    <row r="272" ht="20" customHeight="1" spans="1:8">
      <c r="A272" s="7">
        <v>270</v>
      </c>
      <c r="B272" s="8" t="str">
        <f>"22812020042319080323291"</f>
        <v>22812020042319080323291</v>
      </c>
      <c r="C272" s="8" t="s">
        <v>10</v>
      </c>
      <c r="D272" s="8" t="str">
        <f>"陈佳敏"</f>
        <v>陈佳敏</v>
      </c>
      <c r="E272" s="8" t="str">
        <f t="shared" si="79"/>
        <v>女</v>
      </c>
      <c r="F272" s="8" t="str">
        <f>"1992-12-30"</f>
        <v>1992-12-30</v>
      </c>
      <c r="G272" s="8" t="str">
        <f t="shared" si="80"/>
        <v>本科</v>
      </c>
      <c r="H272" s="8" t="str">
        <f t="shared" si="81"/>
        <v>学士</v>
      </c>
    </row>
    <row r="273" ht="20" customHeight="1" spans="1:8">
      <c r="A273" s="7">
        <v>271</v>
      </c>
      <c r="B273" s="8" t="str">
        <f>"22812020042319255923295"</f>
        <v>22812020042319255923295</v>
      </c>
      <c r="C273" s="8" t="s">
        <v>10</v>
      </c>
      <c r="D273" s="8" t="str">
        <f>"吴凡"</f>
        <v>吴凡</v>
      </c>
      <c r="E273" s="8" t="str">
        <f>"男"</f>
        <v>男</v>
      </c>
      <c r="F273" s="8" t="str">
        <f>"1995-09-09"</f>
        <v>1995-09-09</v>
      </c>
      <c r="G273" s="8" t="str">
        <f t="shared" si="80"/>
        <v>本科</v>
      </c>
      <c r="H273" s="8" t="str">
        <f t="shared" si="81"/>
        <v>学士</v>
      </c>
    </row>
    <row r="274" ht="20" customHeight="1" spans="1:8">
      <c r="A274" s="7">
        <v>272</v>
      </c>
      <c r="B274" s="8" t="str">
        <f>"22812020042321044023316"</f>
        <v>22812020042321044023316</v>
      </c>
      <c r="C274" s="8" t="s">
        <v>10</v>
      </c>
      <c r="D274" s="8" t="str">
        <f>"陈亨峤"</f>
        <v>陈亨峤</v>
      </c>
      <c r="E274" s="8" t="str">
        <f>"男"</f>
        <v>男</v>
      </c>
      <c r="F274" s="8" t="str">
        <f>"1986-02-18"</f>
        <v>1986-02-18</v>
      </c>
      <c r="G274" s="8" t="str">
        <f t="shared" si="80"/>
        <v>本科</v>
      </c>
      <c r="H274" s="8" t="str">
        <f t="shared" si="81"/>
        <v>学士</v>
      </c>
    </row>
    <row r="275" ht="20" customHeight="1" spans="1:8">
      <c r="A275" s="7">
        <v>273</v>
      </c>
      <c r="B275" s="8" t="str">
        <f>"22812020042323323223341"</f>
        <v>22812020042323323223341</v>
      </c>
      <c r="C275" s="8" t="s">
        <v>10</v>
      </c>
      <c r="D275" s="8" t="str">
        <f>"吴海香"</f>
        <v>吴海香</v>
      </c>
      <c r="E275" s="8" t="str">
        <f t="shared" ref="E275:E282" si="82">"女"</f>
        <v>女</v>
      </c>
      <c r="F275" s="8" t="str">
        <f>"1996-06-19"</f>
        <v>1996-06-19</v>
      </c>
      <c r="G275" s="8" t="str">
        <f t="shared" si="80"/>
        <v>本科</v>
      </c>
      <c r="H275" s="8" t="str">
        <f t="shared" si="81"/>
        <v>学士</v>
      </c>
    </row>
    <row r="276" ht="20" customHeight="1" spans="1:8">
      <c r="A276" s="7">
        <v>274</v>
      </c>
      <c r="B276" s="8" t="str">
        <f>"22812020042409563123365"</f>
        <v>22812020042409563123365</v>
      </c>
      <c r="C276" s="8" t="s">
        <v>10</v>
      </c>
      <c r="D276" s="8" t="str">
        <f>"卓安妮"</f>
        <v>卓安妮</v>
      </c>
      <c r="E276" s="8" t="str">
        <f t="shared" si="82"/>
        <v>女</v>
      </c>
      <c r="F276" s="8" t="str">
        <f>"1984-05-11"</f>
        <v>1984-05-11</v>
      </c>
      <c r="G276" s="8" t="str">
        <f>"研究生"</f>
        <v>研究生</v>
      </c>
      <c r="H276" s="8" t="str">
        <f>"硕士"</f>
        <v>硕士</v>
      </c>
    </row>
    <row r="277" ht="20" customHeight="1" spans="1:8">
      <c r="A277" s="7">
        <v>275</v>
      </c>
      <c r="B277" s="8" t="str">
        <f>"22812020042410190023369"</f>
        <v>22812020042410190023369</v>
      </c>
      <c r="C277" s="8" t="s">
        <v>10</v>
      </c>
      <c r="D277" s="8" t="str">
        <f>"徐晴"</f>
        <v>徐晴</v>
      </c>
      <c r="E277" s="8" t="str">
        <f t="shared" si="82"/>
        <v>女</v>
      </c>
      <c r="F277" s="8" t="str">
        <f>"1996-09-16"</f>
        <v>1996-09-16</v>
      </c>
      <c r="G277" s="8" t="str">
        <f t="shared" ref="G277:G294" si="83">"本科"</f>
        <v>本科</v>
      </c>
      <c r="H277" s="8" t="str">
        <f t="shared" ref="H277:H294" si="84">"学士"</f>
        <v>学士</v>
      </c>
    </row>
    <row r="278" ht="20" customHeight="1" spans="1:8">
      <c r="A278" s="7">
        <v>276</v>
      </c>
      <c r="B278" s="8" t="str">
        <f>"22812020042410490423376"</f>
        <v>22812020042410490423376</v>
      </c>
      <c r="C278" s="8" t="s">
        <v>10</v>
      </c>
      <c r="D278" s="8" t="str">
        <f>"胡宝中"</f>
        <v>胡宝中</v>
      </c>
      <c r="E278" s="8" t="str">
        <f t="shared" si="82"/>
        <v>女</v>
      </c>
      <c r="F278" s="8" t="str">
        <f>"1996-08-31"</f>
        <v>1996-08-31</v>
      </c>
      <c r="G278" s="8" t="str">
        <f t="shared" si="83"/>
        <v>本科</v>
      </c>
      <c r="H278" s="8" t="str">
        <f t="shared" si="84"/>
        <v>学士</v>
      </c>
    </row>
    <row r="279" ht="20" customHeight="1" spans="1:8">
      <c r="A279" s="7">
        <v>277</v>
      </c>
      <c r="B279" s="8" t="str">
        <f>"22812020042411060823381"</f>
        <v>22812020042411060823381</v>
      </c>
      <c r="C279" s="8" t="s">
        <v>10</v>
      </c>
      <c r="D279" s="8" t="str">
        <f>"刘梦园"</f>
        <v>刘梦园</v>
      </c>
      <c r="E279" s="8" t="str">
        <f t="shared" si="82"/>
        <v>女</v>
      </c>
      <c r="F279" s="8" t="str">
        <f>"1993-02-28"</f>
        <v>1993-02-28</v>
      </c>
      <c r="G279" s="8" t="str">
        <f t="shared" si="83"/>
        <v>本科</v>
      </c>
      <c r="H279" s="8" t="str">
        <f t="shared" si="84"/>
        <v>学士</v>
      </c>
    </row>
    <row r="280" ht="20" customHeight="1" spans="1:8">
      <c r="A280" s="7">
        <v>278</v>
      </c>
      <c r="B280" s="8" t="str">
        <f>"22812020042412380923396"</f>
        <v>22812020042412380923396</v>
      </c>
      <c r="C280" s="8" t="s">
        <v>10</v>
      </c>
      <c r="D280" s="8" t="str">
        <f>"柳杭利"</f>
        <v>柳杭利</v>
      </c>
      <c r="E280" s="8" t="str">
        <f t="shared" si="82"/>
        <v>女</v>
      </c>
      <c r="F280" s="8" t="str">
        <f>"1996-08-10"</f>
        <v>1996-08-10</v>
      </c>
      <c r="G280" s="8" t="str">
        <f t="shared" si="83"/>
        <v>本科</v>
      </c>
      <c r="H280" s="8" t="str">
        <f t="shared" si="84"/>
        <v>学士</v>
      </c>
    </row>
    <row r="281" ht="20" customHeight="1" spans="1:8">
      <c r="A281" s="7">
        <v>279</v>
      </c>
      <c r="B281" s="8" t="str">
        <f>"22812020042414255323411"</f>
        <v>22812020042414255323411</v>
      </c>
      <c r="C281" s="8" t="s">
        <v>10</v>
      </c>
      <c r="D281" s="8" t="str">
        <f>"韩惠雯"</f>
        <v>韩惠雯</v>
      </c>
      <c r="E281" s="8" t="str">
        <f t="shared" si="82"/>
        <v>女</v>
      </c>
      <c r="F281" s="8" t="str">
        <f>"1993-11-17"</f>
        <v>1993-11-17</v>
      </c>
      <c r="G281" s="8" t="str">
        <f t="shared" si="83"/>
        <v>本科</v>
      </c>
      <c r="H281" s="8" t="str">
        <f t="shared" si="84"/>
        <v>学士</v>
      </c>
    </row>
    <row r="282" ht="20" customHeight="1" spans="1:8">
      <c r="A282" s="7">
        <v>280</v>
      </c>
      <c r="B282" s="8" t="str">
        <f>"22812020042415354123427"</f>
        <v>22812020042415354123427</v>
      </c>
      <c r="C282" s="8" t="s">
        <v>10</v>
      </c>
      <c r="D282" s="8" t="str">
        <f>"王紫韵"</f>
        <v>王紫韵</v>
      </c>
      <c r="E282" s="8" t="str">
        <f t="shared" si="82"/>
        <v>女</v>
      </c>
      <c r="F282" s="8" t="str">
        <f>"1996-06-27"</f>
        <v>1996-06-27</v>
      </c>
      <c r="G282" s="8" t="str">
        <f t="shared" si="83"/>
        <v>本科</v>
      </c>
      <c r="H282" s="8" t="str">
        <f t="shared" si="84"/>
        <v>学士</v>
      </c>
    </row>
    <row r="283" ht="20" customHeight="1" spans="1:8">
      <c r="A283" s="7">
        <v>281</v>
      </c>
      <c r="B283" s="8" t="str">
        <f>"22812020042415372323428"</f>
        <v>22812020042415372323428</v>
      </c>
      <c r="C283" s="8" t="s">
        <v>10</v>
      </c>
      <c r="D283" s="8" t="str">
        <f>"黄敏"</f>
        <v>黄敏</v>
      </c>
      <c r="E283" s="8" t="str">
        <f>"男"</f>
        <v>男</v>
      </c>
      <c r="F283" s="8" t="str">
        <f>"1990-08-02"</f>
        <v>1990-08-02</v>
      </c>
      <c r="G283" s="8" t="str">
        <f t="shared" si="83"/>
        <v>本科</v>
      </c>
      <c r="H283" s="8" t="str">
        <f t="shared" si="84"/>
        <v>学士</v>
      </c>
    </row>
    <row r="284" ht="20" customHeight="1" spans="1:8">
      <c r="A284" s="7">
        <v>282</v>
      </c>
      <c r="B284" s="8" t="str">
        <f>"22812020042416210523441"</f>
        <v>22812020042416210523441</v>
      </c>
      <c r="C284" s="8" t="s">
        <v>10</v>
      </c>
      <c r="D284" s="8" t="str">
        <f>"王文宇"</f>
        <v>王文宇</v>
      </c>
      <c r="E284" s="8" t="str">
        <f t="shared" ref="E284:E288" si="85">"女"</f>
        <v>女</v>
      </c>
      <c r="F284" s="8" t="str">
        <f>"1988-10-20"</f>
        <v>1988-10-20</v>
      </c>
      <c r="G284" s="8" t="str">
        <f t="shared" si="83"/>
        <v>本科</v>
      </c>
      <c r="H284" s="8" t="str">
        <f t="shared" si="84"/>
        <v>学士</v>
      </c>
    </row>
    <row r="285" ht="20" customHeight="1" spans="1:8">
      <c r="A285" s="7">
        <v>283</v>
      </c>
      <c r="B285" s="8" t="str">
        <f>"22812020042416321623447"</f>
        <v>22812020042416321623447</v>
      </c>
      <c r="C285" s="8" t="s">
        <v>10</v>
      </c>
      <c r="D285" s="8" t="str">
        <f>"王丽敏"</f>
        <v>王丽敏</v>
      </c>
      <c r="E285" s="8" t="str">
        <f t="shared" si="85"/>
        <v>女</v>
      </c>
      <c r="F285" s="8" t="str">
        <f>"1987-01-10"</f>
        <v>1987-01-10</v>
      </c>
      <c r="G285" s="8" t="str">
        <f t="shared" si="83"/>
        <v>本科</v>
      </c>
      <c r="H285" s="8" t="str">
        <f t="shared" si="84"/>
        <v>学士</v>
      </c>
    </row>
    <row r="286" ht="20" customHeight="1" spans="1:8">
      <c r="A286" s="7">
        <v>284</v>
      </c>
      <c r="B286" s="8" t="str">
        <f>"22812020042416414823452"</f>
        <v>22812020042416414823452</v>
      </c>
      <c r="C286" s="8" t="s">
        <v>10</v>
      </c>
      <c r="D286" s="8" t="str">
        <f>"钟华月"</f>
        <v>钟华月</v>
      </c>
      <c r="E286" s="8" t="str">
        <f t="shared" si="85"/>
        <v>女</v>
      </c>
      <c r="F286" s="8" t="str">
        <f>"1987-03-07"</f>
        <v>1987-03-07</v>
      </c>
      <c r="G286" s="8" t="str">
        <f t="shared" si="83"/>
        <v>本科</v>
      </c>
      <c r="H286" s="8" t="str">
        <f t="shared" si="84"/>
        <v>学士</v>
      </c>
    </row>
    <row r="287" ht="20" customHeight="1" spans="1:8">
      <c r="A287" s="7">
        <v>285</v>
      </c>
      <c r="B287" s="8" t="str">
        <f>"22812020042417000923456"</f>
        <v>22812020042417000923456</v>
      </c>
      <c r="C287" s="8" t="s">
        <v>10</v>
      </c>
      <c r="D287" s="8" t="str">
        <f>"李婷祥"</f>
        <v>李婷祥</v>
      </c>
      <c r="E287" s="8" t="str">
        <f t="shared" si="85"/>
        <v>女</v>
      </c>
      <c r="F287" s="8" t="str">
        <f>"1997-12-30"</f>
        <v>1997-12-30</v>
      </c>
      <c r="G287" s="8" t="str">
        <f t="shared" si="83"/>
        <v>本科</v>
      </c>
      <c r="H287" s="8" t="str">
        <f t="shared" si="84"/>
        <v>学士</v>
      </c>
    </row>
    <row r="288" ht="20" customHeight="1" spans="1:8">
      <c r="A288" s="7">
        <v>286</v>
      </c>
      <c r="B288" s="8" t="str">
        <f>"22812020042417310323468"</f>
        <v>22812020042417310323468</v>
      </c>
      <c r="C288" s="8" t="s">
        <v>10</v>
      </c>
      <c r="D288" s="8" t="str">
        <f>"吴静宜"</f>
        <v>吴静宜</v>
      </c>
      <c r="E288" s="8" t="str">
        <f t="shared" si="85"/>
        <v>女</v>
      </c>
      <c r="F288" s="8" t="str">
        <f>"1991-06-21"</f>
        <v>1991-06-21</v>
      </c>
      <c r="G288" s="8" t="str">
        <f t="shared" si="83"/>
        <v>本科</v>
      </c>
      <c r="H288" s="8" t="str">
        <f t="shared" si="84"/>
        <v>学士</v>
      </c>
    </row>
    <row r="289" ht="20" customHeight="1" spans="1:8">
      <c r="A289" s="7">
        <v>287</v>
      </c>
      <c r="B289" s="8" t="str">
        <f>"22812020042417330423469"</f>
        <v>22812020042417330423469</v>
      </c>
      <c r="C289" s="8" t="s">
        <v>10</v>
      </c>
      <c r="D289" s="8" t="str">
        <f>"王康"</f>
        <v>王康</v>
      </c>
      <c r="E289" s="8" t="str">
        <f>"男"</f>
        <v>男</v>
      </c>
      <c r="F289" s="8" t="str">
        <f>"1985-10-19"</f>
        <v>1985-10-19</v>
      </c>
      <c r="G289" s="8" t="str">
        <f t="shared" si="83"/>
        <v>本科</v>
      </c>
      <c r="H289" s="8" t="str">
        <f t="shared" si="84"/>
        <v>学士</v>
      </c>
    </row>
    <row r="290" ht="20" customHeight="1" spans="1:8">
      <c r="A290" s="7">
        <v>288</v>
      </c>
      <c r="B290" s="8" t="str">
        <f>"22812020042417340223470"</f>
        <v>22812020042417340223470</v>
      </c>
      <c r="C290" s="8" t="s">
        <v>10</v>
      </c>
      <c r="D290" s="8" t="str">
        <f>"冯元哲"</f>
        <v>冯元哲</v>
      </c>
      <c r="E290" s="8" t="str">
        <f t="shared" ref="E290:E293" si="86">"女"</f>
        <v>女</v>
      </c>
      <c r="F290" s="8" t="str">
        <f>"1999-04-21"</f>
        <v>1999-04-21</v>
      </c>
      <c r="G290" s="8" t="str">
        <f t="shared" si="83"/>
        <v>本科</v>
      </c>
      <c r="H290" s="8" t="str">
        <f t="shared" si="84"/>
        <v>学士</v>
      </c>
    </row>
    <row r="291" ht="20" customHeight="1" spans="1:8">
      <c r="A291" s="7">
        <v>289</v>
      </c>
      <c r="B291" s="8" t="str">
        <f>"22812020042418490623485"</f>
        <v>22812020042418490623485</v>
      </c>
      <c r="C291" s="8" t="s">
        <v>10</v>
      </c>
      <c r="D291" s="8" t="str">
        <f>"石慧雅"</f>
        <v>石慧雅</v>
      </c>
      <c r="E291" s="8" t="str">
        <f t="shared" si="86"/>
        <v>女</v>
      </c>
      <c r="F291" s="8" t="str">
        <f>"1996-05-15"</f>
        <v>1996-05-15</v>
      </c>
      <c r="G291" s="8" t="str">
        <f t="shared" si="83"/>
        <v>本科</v>
      </c>
      <c r="H291" s="8" t="str">
        <f t="shared" si="84"/>
        <v>学士</v>
      </c>
    </row>
    <row r="292" ht="20" customHeight="1" spans="1:8">
      <c r="A292" s="7">
        <v>290</v>
      </c>
      <c r="B292" s="8" t="str">
        <f>"22812020042422142523522"</f>
        <v>22812020042422142523522</v>
      </c>
      <c r="C292" s="8" t="s">
        <v>10</v>
      </c>
      <c r="D292" s="8" t="str">
        <f>"张敏"</f>
        <v>张敏</v>
      </c>
      <c r="E292" s="8" t="str">
        <f t="shared" si="86"/>
        <v>女</v>
      </c>
      <c r="F292" s="8" t="str">
        <f>"1998-05-15"</f>
        <v>1998-05-15</v>
      </c>
      <c r="G292" s="8" t="str">
        <f t="shared" si="83"/>
        <v>本科</v>
      </c>
      <c r="H292" s="8" t="str">
        <f t="shared" si="84"/>
        <v>学士</v>
      </c>
    </row>
    <row r="293" ht="20" customHeight="1" spans="1:8">
      <c r="A293" s="7">
        <v>291</v>
      </c>
      <c r="B293" s="8" t="str">
        <f>"22812020042423223323531"</f>
        <v>22812020042423223323531</v>
      </c>
      <c r="C293" s="8" t="s">
        <v>10</v>
      </c>
      <c r="D293" s="8" t="str">
        <f>"黄灿"</f>
        <v>黄灿</v>
      </c>
      <c r="E293" s="8" t="str">
        <f t="shared" si="86"/>
        <v>女</v>
      </c>
      <c r="F293" s="8" t="str">
        <f>"1990-08-03"</f>
        <v>1990-08-03</v>
      </c>
      <c r="G293" s="8" t="str">
        <f t="shared" si="83"/>
        <v>本科</v>
      </c>
      <c r="H293" s="8" t="str">
        <f t="shared" si="84"/>
        <v>学士</v>
      </c>
    </row>
    <row r="294" ht="20" customHeight="1" spans="1:8">
      <c r="A294" s="7">
        <v>292</v>
      </c>
      <c r="B294" s="8" t="str">
        <f>"22812020042501543523539"</f>
        <v>22812020042501543523539</v>
      </c>
      <c r="C294" s="8" t="s">
        <v>10</v>
      </c>
      <c r="D294" s="8" t="str">
        <f>"徐宇飞"</f>
        <v>徐宇飞</v>
      </c>
      <c r="E294" s="8" t="str">
        <f>"男"</f>
        <v>男</v>
      </c>
      <c r="F294" s="8" t="str">
        <f>"1989-04-06"</f>
        <v>1989-04-06</v>
      </c>
      <c r="G294" s="8" t="str">
        <f t="shared" si="83"/>
        <v>本科</v>
      </c>
      <c r="H294" s="8" t="str">
        <f t="shared" si="84"/>
        <v>学士</v>
      </c>
    </row>
    <row r="295" ht="20" customHeight="1" spans="1:8">
      <c r="A295" s="7">
        <v>293</v>
      </c>
      <c r="B295" s="8" t="str">
        <f>"22812020042511361623571"</f>
        <v>22812020042511361623571</v>
      </c>
      <c r="C295" s="8" t="s">
        <v>10</v>
      </c>
      <c r="D295" s="8" t="str">
        <f>"王思佳"</f>
        <v>王思佳</v>
      </c>
      <c r="E295" s="8" t="str">
        <f t="shared" ref="E295:E301" si="87">"女"</f>
        <v>女</v>
      </c>
      <c r="F295" s="8" t="str">
        <f>"1992-06-18"</f>
        <v>1992-06-18</v>
      </c>
      <c r="G295" s="8" t="str">
        <f>"研究生"</f>
        <v>研究生</v>
      </c>
      <c r="H295" s="8" t="str">
        <f>"硕士"</f>
        <v>硕士</v>
      </c>
    </row>
    <row r="296" ht="20" customHeight="1" spans="1:8">
      <c r="A296" s="7">
        <v>294</v>
      </c>
      <c r="B296" s="8" t="str">
        <f>"22812020042511591023577"</f>
        <v>22812020042511591023577</v>
      </c>
      <c r="C296" s="8" t="s">
        <v>10</v>
      </c>
      <c r="D296" s="8" t="str">
        <f>"陈艳华"</f>
        <v>陈艳华</v>
      </c>
      <c r="E296" s="8" t="str">
        <f t="shared" si="87"/>
        <v>女</v>
      </c>
      <c r="F296" s="8" t="str">
        <f>"1990-07-25"</f>
        <v>1990-07-25</v>
      </c>
      <c r="G296" s="8" t="str">
        <f t="shared" ref="G296:G317" si="88">"本科"</f>
        <v>本科</v>
      </c>
      <c r="H296" s="8" t="str">
        <f t="shared" ref="H296:H317" si="89">"学士"</f>
        <v>学士</v>
      </c>
    </row>
    <row r="297" ht="20" customHeight="1" spans="1:8">
      <c r="A297" s="7">
        <v>295</v>
      </c>
      <c r="B297" s="8" t="str">
        <f>"22812020042517264423635"</f>
        <v>22812020042517264423635</v>
      </c>
      <c r="C297" s="8" t="s">
        <v>10</v>
      </c>
      <c r="D297" s="8" t="str">
        <f>"杨敏娴"</f>
        <v>杨敏娴</v>
      </c>
      <c r="E297" s="8" t="str">
        <f t="shared" si="87"/>
        <v>女</v>
      </c>
      <c r="F297" s="8" t="str">
        <f>"1992-12-28"</f>
        <v>1992-12-28</v>
      </c>
      <c r="G297" s="8" t="str">
        <f t="shared" si="88"/>
        <v>本科</v>
      </c>
      <c r="H297" s="8" t="str">
        <f t="shared" si="89"/>
        <v>学士</v>
      </c>
    </row>
    <row r="298" ht="20" customHeight="1" spans="1:8">
      <c r="A298" s="7">
        <v>296</v>
      </c>
      <c r="B298" s="8" t="str">
        <f>"22812020042518295223639"</f>
        <v>22812020042518295223639</v>
      </c>
      <c r="C298" s="8" t="s">
        <v>10</v>
      </c>
      <c r="D298" s="8" t="str">
        <f>"张李蓉"</f>
        <v>张李蓉</v>
      </c>
      <c r="E298" s="8" t="str">
        <f t="shared" si="87"/>
        <v>女</v>
      </c>
      <c r="F298" s="8" t="str">
        <f>"1996-06-13"</f>
        <v>1996-06-13</v>
      </c>
      <c r="G298" s="8" t="str">
        <f t="shared" si="88"/>
        <v>本科</v>
      </c>
      <c r="H298" s="8" t="str">
        <f t="shared" si="89"/>
        <v>学士</v>
      </c>
    </row>
    <row r="299" ht="20" customHeight="1" spans="1:8">
      <c r="A299" s="7">
        <v>297</v>
      </c>
      <c r="B299" s="8" t="str">
        <f>"22812020042518533723640"</f>
        <v>22812020042518533723640</v>
      </c>
      <c r="C299" s="8" t="s">
        <v>10</v>
      </c>
      <c r="D299" s="8" t="str">
        <f>"王君"</f>
        <v>王君</v>
      </c>
      <c r="E299" s="8" t="str">
        <f t="shared" si="87"/>
        <v>女</v>
      </c>
      <c r="F299" s="8" t="str">
        <f>"1997-06-11"</f>
        <v>1997-06-11</v>
      </c>
      <c r="G299" s="8" t="str">
        <f t="shared" si="88"/>
        <v>本科</v>
      </c>
      <c r="H299" s="8" t="str">
        <f t="shared" si="89"/>
        <v>学士</v>
      </c>
    </row>
    <row r="300" ht="20" customHeight="1" spans="1:8">
      <c r="A300" s="7">
        <v>298</v>
      </c>
      <c r="B300" s="8" t="str">
        <f>"22812020042520562123659"</f>
        <v>22812020042520562123659</v>
      </c>
      <c r="C300" s="8" t="s">
        <v>10</v>
      </c>
      <c r="D300" s="8" t="str">
        <f>"羊玉凤"</f>
        <v>羊玉凤</v>
      </c>
      <c r="E300" s="8" t="str">
        <f t="shared" si="87"/>
        <v>女</v>
      </c>
      <c r="F300" s="8" t="str">
        <f>"1992-09-20"</f>
        <v>1992-09-20</v>
      </c>
      <c r="G300" s="8" t="str">
        <f t="shared" si="88"/>
        <v>本科</v>
      </c>
      <c r="H300" s="8" t="str">
        <f t="shared" si="89"/>
        <v>学士</v>
      </c>
    </row>
    <row r="301" ht="20" customHeight="1" spans="1:8">
      <c r="A301" s="7">
        <v>299</v>
      </c>
      <c r="B301" s="8" t="str">
        <f>"22812020042521134123660"</f>
        <v>22812020042521134123660</v>
      </c>
      <c r="C301" s="8" t="s">
        <v>10</v>
      </c>
      <c r="D301" s="8" t="str">
        <f>"王莉"</f>
        <v>王莉</v>
      </c>
      <c r="E301" s="8" t="str">
        <f t="shared" si="87"/>
        <v>女</v>
      </c>
      <c r="F301" s="8" t="str">
        <f>"1992-08-02"</f>
        <v>1992-08-02</v>
      </c>
      <c r="G301" s="8" t="str">
        <f t="shared" si="88"/>
        <v>本科</v>
      </c>
      <c r="H301" s="8" t="str">
        <f t="shared" si="89"/>
        <v>学士</v>
      </c>
    </row>
    <row r="302" ht="20" customHeight="1" spans="1:8">
      <c r="A302" s="7">
        <v>300</v>
      </c>
      <c r="B302" s="8" t="str">
        <f>"22812020042521182923664"</f>
        <v>22812020042521182923664</v>
      </c>
      <c r="C302" s="8" t="s">
        <v>10</v>
      </c>
      <c r="D302" s="8" t="str">
        <f>"苏明明"</f>
        <v>苏明明</v>
      </c>
      <c r="E302" s="8" t="str">
        <f>"男"</f>
        <v>男</v>
      </c>
      <c r="F302" s="8" t="str">
        <f>"1987-01-01"</f>
        <v>1987-01-01</v>
      </c>
      <c r="G302" s="8" t="str">
        <f t="shared" si="88"/>
        <v>本科</v>
      </c>
      <c r="H302" s="8" t="str">
        <f t="shared" si="89"/>
        <v>学士</v>
      </c>
    </row>
    <row r="303" ht="20" customHeight="1" spans="1:8">
      <c r="A303" s="7">
        <v>301</v>
      </c>
      <c r="B303" s="8" t="str">
        <f>"22812020042521183723665"</f>
        <v>22812020042521183723665</v>
      </c>
      <c r="C303" s="8" t="s">
        <v>10</v>
      </c>
      <c r="D303" s="8" t="str">
        <f>"覃秋月"</f>
        <v>覃秋月</v>
      </c>
      <c r="E303" s="8" t="str">
        <f t="shared" ref="E303:E309" si="90">"女"</f>
        <v>女</v>
      </c>
      <c r="F303" s="8" t="str">
        <f>"1995-07-31"</f>
        <v>1995-07-31</v>
      </c>
      <c r="G303" s="8" t="str">
        <f t="shared" si="88"/>
        <v>本科</v>
      </c>
      <c r="H303" s="8" t="str">
        <f t="shared" si="89"/>
        <v>学士</v>
      </c>
    </row>
    <row r="304" ht="20" customHeight="1" spans="1:8">
      <c r="A304" s="7">
        <v>302</v>
      </c>
      <c r="B304" s="8" t="str">
        <f>"22812020042521415723670"</f>
        <v>22812020042521415723670</v>
      </c>
      <c r="C304" s="8" t="s">
        <v>10</v>
      </c>
      <c r="D304" s="8" t="str">
        <f>"李经钊"</f>
        <v>李经钊</v>
      </c>
      <c r="E304" s="8" t="str">
        <f>"男"</f>
        <v>男</v>
      </c>
      <c r="F304" s="8" t="str">
        <f>"1992-11-20"</f>
        <v>1992-11-20</v>
      </c>
      <c r="G304" s="8" t="str">
        <f t="shared" si="88"/>
        <v>本科</v>
      </c>
      <c r="H304" s="8" t="str">
        <f t="shared" si="89"/>
        <v>学士</v>
      </c>
    </row>
    <row r="305" ht="20" customHeight="1" spans="1:8">
      <c r="A305" s="7">
        <v>303</v>
      </c>
      <c r="B305" s="8" t="str">
        <f>"22812020042609585023713"</f>
        <v>22812020042609585023713</v>
      </c>
      <c r="C305" s="8" t="s">
        <v>10</v>
      </c>
      <c r="D305" s="8" t="str">
        <f>"潘佼佼"</f>
        <v>潘佼佼</v>
      </c>
      <c r="E305" s="8" t="str">
        <f t="shared" si="90"/>
        <v>女</v>
      </c>
      <c r="F305" s="8" t="str">
        <f>"1986-01-20"</f>
        <v>1986-01-20</v>
      </c>
      <c r="G305" s="8" t="str">
        <f t="shared" si="88"/>
        <v>本科</v>
      </c>
      <c r="H305" s="8" t="str">
        <f t="shared" si="89"/>
        <v>学士</v>
      </c>
    </row>
    <row r="306" ht="20" customHeight="1" spans="1:8">
      <c r="A306" s="7">
        <v>304</v>
      </c>
      <c r="B306" s="8" t="str">
        <f>"22812020042610200723716"</f>
        <v>22812020042610200723716</v>
      </c>
      <c r="C306" s="8" t="s">
        <v>10</v>
      </c>
      <c r="D306" s="8" t="str">
        <f>"吉慧"</f>
        <v>吉慧</v>
      </c>
      <c r="E306" s="8" t="str">
        <f t="shared" si="90"/>
        <v>女</v>
      </c>
      <c r="F306" s="8" t="str">
        <f>"1995-09-07"</f>
        <v>1995-09-07</v>
      </c>
      <c r="G306" s="8" t="str">
        <f t="shared" si="88"/>
        <v>本科</v>
      </c>
      <c r="H306" s="8" t="str">
        <f t="shared" si="89"/>
        <v>学士</v>
      </c>
    </row>
    <row r="307" ht="20" customHeight="1" spans="1:8">
      <c r="A307" s="7">
        <v>305</v>
      </c>
      <c r="B307" s="8" t="str">
        <f>"22812020042611213123727"</f>
        <v>22812020042611213123727</v>
      </c>
      <c r="C307" s="8" t="s">
        <v>10</v>
      </c>
      <c r="D307" s="8" t="str">
        <f>"张思璇"</f>
        <v>张思璇</v>
      </c>
      <c r="E307" s="8" t="str">
        <f t="shared" si="90"/>
        <v>女</v>
      </c>
      <c r="F307" s="8" t="str">
        <f>"1994-11-01"</f>
        <v>1994-11-01</v>
      </c>
      <c r="G307" s="8" t="str">
        <f t="shared" si="88"/>
        <v>本科</v>
      </c>
      <c r="H307" s="8" t="str">
        <f t="shared" si="89"/>
        <v>学士</v>
      </c>
    </row>
    <row r="308" ht="20" customHeight="1" spans="1:8">
      <c r="A308" s="7">
        <v>306</v>
      </c>
      <c r="B308" s="8" t="str">
        <f>"22812020042613105423761"</f>
        <v>22812020042613105423761</v>
      </c>
      <c r="C308" s="8" t="s">
        <v>10</v>
      </c>
      <c r="D308" s="8" t="str">
        <f>"杜尚雅"</f>
        <v>杜尚雅</v>
      </c>
      <c r="E308" s="8" t="str">
        <f t="shared" si="90"/>
        <v>女</v>
      </c>
      <c r="F308" s="8" t="str">
        <f>"1995-01-25"</f>
        <v>1995-01-25</v>
      </c>
      <c r="G308" s="8" t="str">
        <f t="shared" si="88"/>
        <v>本科</v>
      </c>
      <c r="H308" s="8" t="str">
        <f t="shared" si="89"/>
        <v>学士</v>
      </c>
    </row>
    <row r="309" ht="20" customHeight="1" spans="1:8">
      <c r="A309" s="7">
        <v>307</v>
      </c>
      <c r="B309" s="8" t="str">
        <f>"22812020042613293323767"</f>
        <v>22812020042613293323767</v>
      </c>
      <c r="C309" s="8" t="s">
        <v>10</v>
      </c>
      <c r="D309" s="8" t="str">
        <f>"杜尚汝"</f>
        <v>杜尚汝</v>
      </c>
      <c r="E309" s="8" t="str">
        <f t="shared" si="90"/>
        <v>女</v>
      </c>
      <c r="F309" s="8" t="str">
        <f>"1997-04-10"</f>
        <v>1997-04-10</v>
      </c>
      <c r="G309" s="8" t="str">
        <f t="shared" si="88"/>
        <v>本科</v>
      </c>
      <c r="H309" s="8" t="str">
        <f t="shared" si="89"/>
        <v>学士</v>
      </c>
    </row>
    <row r="310" ht="20" customHeight="1" spans="1:8">
      <c r="A310" s="7">
        <v>308</v>
      </c>
      <c r="B310" s="8" t="str">
        <f>"22812020042613474423772"</f>
        <v>22812020042613474423772</v>
      </c>
      <c r="C310" s="8" t="s">
        <v>10</v>
      </c>
      <c r="D310" s="8" t="str">
        <f>"赵赞"</f>
        <v>赵赞</v>
      </c>
      <c r="E310" s="8" t="str">
        <f>"男"</f>
        <v>男</v>
      </c>
      <c r="F310" s="8" t="str">
        <f>"1992-02-10"</f>
        <v>1992-02-10</v>
      </c>
      <c r="G310" s="8" t="str">
        <f t="shared" si="88"/>
        <v>本科</v>
      </c>
      <c r="H310" s="8" t="str">
        <f t="shared" si="89"/>
        <v>学士</v>
      </c>
    </row>
    <row r="311" ht="20" customHeight="1" spans="1:8">
      <c r="A311" s="7">
        <v>309</v>
      </c>
      <c r="B311" s="8" t="str">
        <f>"22812020042614194423779"</f>
        <v>22812020042614194423779</v>
      </c>
      <c r="C311" s="8" t="s">
        <v>10</v>
      </c>
      <c r="D311" s="8" t="str">
        <f>"唐青芳"</f>
        <v>唐青芳</v>
      </c>
      <c r="E311" s="8" t="str">
        <f t="shared" ref="E311:E315" si="91">"女"</f>
        <v>女</v>
      </c>
      <c r="F311" s="8" t="str">
        <f>"1991-10-04"</f>
        <v>1991-10-04</v>
      </c>
      <c r="G311" s="8" t="str">
        <f t="shared" si="88"/>
        <v>本科</v>
      </c>
      <c r="H311" s="8" t="str">
        <f t="shared" si="89"/>
        <v>学士</v>
      </c>
    </row>
    <row r="312" ht="20" customHeight="1" spans="1:8">
      <c r="A312" s="7">
        <v>310</v>
      </c>
      <c r="B312" s="8" t="str">
        <f>"22812020042614485023783"</f>
        <v>22812020042614485023783</v>
      </c>
      <c r="C312" s="8" t="s">
        <v>10</v>
      </c>
      <c r="D312" s="8" t="str">
        <f>"林莉"</f>
        <v>林莉</v>
      </c>
      <c r="E312" s="8" t="str">
        <f t="shared" si="91"/>
        <v>女</v>
      </c>
      <c r="F312" s="8" t="str">
        <f>"1990-02-18"</f>
        <v>1990-02-18</v>
      </c>
      <c r="G312" s="8" t="str">
        <f t="shared" si="88"/>
        <v>本科</v>
      </c>
      <c r="H312" s="8" t="str">
        <f t="shared" si="89"/>
        <v>学士</v>
      </c>
    </row>
    <row r="313" ht="20" customHeight="1" spans="1:8">
      <c r="A313" s="7">
        <v>311</v>
      </c>
      <c r="B313" s="8" t="str">
        <f>"22812020042616185023802"</f>
        <v>22812020042616185023802</v>
      </c>
      <c r="C313" s="8" t="s">
        <v>10</v>
      </c>
      <c r="D313" s="8" t="str">
        <f>"孙玲芝"</f>
        <v>孙玲芝</v>
      </c>
      <c r="E313" s="8" t="str">
        <f t="shared" si="91"/>
        <v>女</v>
      </c>
      <c r="F313" s="8" t="str">
        <f>"1995-02-10"</f>
        <v>1995-02-10</v>
      </c>
      <c r="G313" s="8" t="str">
        <f t="shared" si="88"/>
        <v>本科</v>
      </c>
      <c r="H313" s="8" t="str">
        <f t="shared" si="89"/>
        <v>学士</v>
      </c>
    </row>
    <row r="314" ht="20" customHeight="1" spans="1:8">
      <c r="A314" s="7">
        <v>312</v>
      </c>
      <c r="B314" s="8" t="str">
        <f>"22812020042616194523803"</f>
        <v>22812020042616194523803</v>
      </c>
      <c r="C314" s="8" t="s">
        <v>10</v>
      </c>
      <c r="D314" s="8" t="str">
        <f>"裴域婷"</f>
        <v>裴域婷</v>
      </c>
      <c r="E314" s="8" t="str">
        <f t="shared" si="91"/>
        <v>女</v>
      </c>
      <c r="F314" s="8" t="str">
        <f>"1998-04-29"</f>
        <v>1998-04-29</v>
      </c>
      <c r="G314" s="8" t="str">
        <f t="shared" si="88"/>
        <v>本科</v>
      </c>
      <c r="H314" s="8" t="str">
        <f t="shared" si="89"/>
        <v>学士</v>
      </c>
    </row>
    <row r="315" ht="20" customHeight="1" spans="1:8">
      <c r="A315" s="7">
        <v>313</v>
      </c>
      <c r="B315" s="8" t="str">
        <f>"22812020042616270123807"</f>
        <v>22812020042616270123807</v>
      </c>
      <c r="C315" s="8" t="s">
        <v>10</v>
      </c>
      <c r="D315" s="8" t="str">
        <f>"李颖"</f>
        <v>李颖</v>
      </c>
      <c r="E315" s="8" t="str">
        <f t="shared" si="91"/>
        <v>女</v>
      </c>
      <c r="F315" s="8" t="str">
        <f>"1993-04-02"</f>
        <v>1993-04-02</v>
      </c>
      <c r="G315" s="8" t="str">
        <f t="shared" si="88"/>
        <v>本科</v>
      </c>
      <c r="H315" s="8" t="str">
        <f t="shared" si="89"/>
        <v>学士</v>
      </c>
    </row>
    <row r="316" ht="20" customHeight="1" spans="1:8">
      <c r="A316" s="7">
        <v>314</v>
      </c>
      <c r="B316" s="8" t="str">
        <f>"22812020042616421123812"</f>
        <v>22812020042616421123812</v>
      </c>
      <c r="C316" s="8" t="s">
        <v>10</v>
      </c>
      <c r="D316" s="8" t="str">
        <f>"陈赞博"</f>
        <v>陈赞博</v>
      </c>
      <c r="E316" s="8" t="str">
        <f t="shared" ref="E316:E320" si="92">"男"</f>
        <v>男</v>
      </c>
      <c r="F316" s="8" t="str">
        <f>"1994-11-05"</f>
        <v>1994-11-05</v>
      </c>
      <c r="G316" s="8" t="str">
        <f t="shared" si="88"/>
        <v>本科</v>
      </c>
      <c r="H316" s="8" t="str">
        <f t="shared" si="89"/>
        <v>学士</v>
      </c>
    </row>
    <row r="317" ht="20" customHeight="1" spans="1:8">
      <c r="A317" s="7">
        <v>315</v>
      </c>
      <c r="B317" s="8" t="str">
        <f>"22812020042616440323815"</f>
        <v>22812020042616440323815</v>
      </c>
      <c r="C317" s="8" t="s">
        <v>10</v>
      </c>
      <c r="D317" s="8" t="str">
        <f>"陈海星"</f>
        <v>陈海星</v>
      </c>
      <c r="E317" s="8" t="str">
        <f t="shared" ref="E317:E322" si="93">"女"</f>
        <v>女</v>
      </c>
      <c r="F317" s="8" t="str">
        <f>"1993-02-09"</f>
        <v>1993-02-09</v>
      </c>
      <c r="G317" s="8" t="str">
        <f t="shared" si="88"/>
        <v>本科</v>
      </c>
      <c r="H317" s="8" t="str">
        <f t="shared" si="89"/>
        <v>学士</v>
      </c>
    </row>
    <row r="318" ht="20" customHeight="1" spans="1:8">
      <c r="A318" s="7">
        <v>316</v>
      </c>
      <c r="B318" s="8" t="str">
        <f>"22812020042617152923818"</f>
        <v>22812020042617152923818</v>
      </c>
      <c r="C318" s="8" t="s">
        <v>10</v>
      </c>
      <c r="D318" s="8" t="str">
        <f>"张静怡"</f>
        <v>张静怡</v>
      </c>
      <c r="E318" s="8" t="str">
        <f t="shared" si="93"/>
        <v>女</v>
      </c>
      <c r="F318" s="8" t="str">
        <f>"1989-02-08"</f>
        <v>1989-02-08</v>
      </c>
      <c r="G318" s="8" t="str">
        <f>"研究生"</f>
        <v>研究生</v>
      </c>
      <c r="H318" s="8" t="str">
        <f>"硕士"</f>
        <v>硕士</v>
      </c>
    </row>
    <row r="319" ht="20" customHeight="1" spans="1:8">
      <c r="A319" s="7">
        <v>317</v>
      </c>
      <c r="B319" s="8" t="str">
        <f>"22812020042617293623820"</f>
        <v>22812020042617293623820</v>
      </c>
      <c r="C319" s="8" t="s">
        <v>10</v>
      </c>
      <c r="D319" s="8" t="str">
        <f>"吴挺军"</f>
        <v>吴挺军</v>
      </c>
      <c r="E319" s="8" t="str">
        <f t="shared" si="92"/>
        <v>男</v>
      </c>
      <c r="F319" s="8" t="str">
        <f>"1986-07-06"</f>
        <v>1986-07-06</v>
      </c>
      <c r="G319" s="8" t="str">
        <f t="shared" ref="G319:G346" si="94">"本科"</f>
        <v>本科</v>
      </c>
      <c r="H319" s="8" t="str">
        <f t="shared" ref="H319:H346" si="95">"学士"</f>
        <v>学士</v>
      </c>
    </row>
    <row r="320" ht="20" customHeight="1" spans="1:8">
      <c r="A320" s="7">
        <v>318</v>
      </c>
      <c r="B320" s="8" t="str">
        <f>"22812020042618292523824"</f>
        <v>22812020042618292523824</v>
      </c>
      <c r="C320" s="8" t="s">
        <v>10</v>
      </c>
      <c r="D320" s="8" t="str">
        <f>"邢贞雷"</f>
        <v>邢贞雷</v>
      </c>
      <c r="E320" s="8" t="str">
        <f t="shared" si="92"/>
        <v>男</v>
      </c>
      <c r="F320" s="8" t="str">
        <f>"1989-08-27"</f>
        <v>1989-08-27</v>
      </c>
      <c r="G320" s="8" t="str">
        <f t="shared" si="94"/>
        <v>本科</v>
      </c>
      <c r="H320" s="8" t="str">
        <f t="shared" si="95"/>
        <v>学士</v>
      </c>
    </row>
    <row r="321" ht="20" customHeight="1" spans="1:8">
      <c r="A321" s="7">
        <v>319</v>
      </c>
      <c r="B321" s="8" t="str">
        <f>"22812020042621371523833"</f>
        <v>22812020042621371523833</v>
      </c>
      <c r="C321" s="8" t="s">
        <v>10</v>
      </c>
      <c r="D321" s="8" t="str">
        <f>"符乙冰"</f>
        <v>符乙冰</v>
      </c>
      <c r="E321" s="8" t="str">
        <f t="shared" si="93"/>
        <v>女</v>
      </c>
      <c r="F321" s="8" t="str">
        <f>"1996-08-15"</f>
        <v>1996-08-15</v>
      </c>
      <c r="G321" s="8" t="str">
        <f t="shared" si="94"/>
        <v>本科</v>
      </c>
      <c r="H321" s="8" t="str">
        <f t="shared" si="95"/>
        <v>学士</v>
      </c>
    </row>
    <row r="322" ht="20" customHeight="1" spans="1:8">
      <c r="A322" s="7">
        <v>320</v>
      </c>
      <c r="B322" s="8" t="str">
        <f>"22812020042701284523846"</f>
        <v>22812020042701284523846</v>
      </c>
      <c r="C322" s="8" t="s">
        <v>10</v>
      </c>
      <c r="D322" s="8" t="str">
        <f>"黎俞"</f>
        <v>黎俞</v>
      </c>
      <c r="E322" s="8" t="str">
        <f t="shared" si="93"/>
        <v>女</v>
      </c>
      <c r="F322" s="8" t="str">
        <f>"1997-01-19"</f>
        <v>1997-01-19</v>
      </c>
      <c r="G322" s="8" t="str">
        <f t="shared" si="94"/>
        <v>本科</v>
      </c>
      <c r="H322" s="8" t="str">
        <f t="shared" si="95"/>
        <v>学士</v>
      </c>
    </row>
    <row r="323" ht="20" customHeight="1" spans="1:8">
      <c r="A323" s="7">
        <v>321</v>
      </c>
      <c r="B323" s="8" t="str">
        <f>"22812020042708491923847"</f>
        <v>22812020042708491923847</v>
      </c>
      <c r="C323" s="8" t="s">
        <v>10</v>
      </c>
      <c r="D323" s="8" t="str">
        <f>"李俊"</f>
        <v>李俊</v>
      </c>
      <c r="E323" s="8" t="str">
        <f t="shared" ref="E323:E328" si="96">"男"</f>
        <v>男</v>
      </c>
      <c r="F323" s="8" t="str">
        <f>"1993-03-24"</f>
        <v>1993-03-24</v>
      </c>
      <c r="G323" s="8" t="str">
        <f t="shared" si="94"/>
        <v>本科</v>
      </c>
      <c r="H323" s="8" t="str">
        <f t="shared" si="95"/>
        <v>学士</v>
      </c>
    </row>
    <row r="324" ht="20" customHeight="1" spans="1:8">
      <c r="A324" s="7">
        <v>322</v>
      </c>
      <c r="B324" s="8" t="str">
        <f>"22812020042709235423850"</f>
        <v>22812020042709235423850</v>
      </c>
      <c r="C324" s="8" t="s">
        <v>10</v>
      </c>
      <c r="D324" s="8" t="str">
        <f>"虞佳菲"</f>
        <v>虞佳菲</v>
      </c>
      <c r="E324" s="8" t="str">
        <f t="shared" ref="E324:E329" si="97">"女"</f>
        <v>女</v>
      </c>
      <c r="F324" s="8" t="str">
        <f>"1993-10-22"</f>
        <v>1993-10-22</v>
      </c>
      <c r="G324" s="8" t="str">
        <f t="shared" si="94"/>
        <v>本科</v>
      </c>
      <c r="H324" s="8" t="str">
        <f t="shared" si="95"/>
        <v>学士</v>
      </c>
    </row>
    <row r="325" ht="20" customHeight="1" spans="1:8">
      <c r="A325" s="7">
        <v>323</v>
      </c>
      <c r="B325" s="8" t="str">
        <f>"22812020042709561223852"</f>
        <v>22812020042709561223852</v>
      </c>
      <c r="C325" s="8" t="s">
        <v>10</v>
      </c>
      <c r="D325" s="8" t="str">
        <f>"张英莉"</f>
        <v>张英莉</v>
      </c>
      <c r="E325" s="8" t="str">
        <f t="shared" si="97"/>
        <v>女</v>
      </c>
      <c r="F325" s="8" t="str">
        <f>"1996-08-18"</f>
        <v>1996-08-18</v>
      </c>
      <c r="G325" s="8" t="str">
        <f t="shared" si="94"/>
        <v>本科</v>
      </c>
      <c r="H325" s="8" t="str">
        <f t="shared" si="95"/>
        <v>学士</v>
      </c>
    </row>
    <row r="326" ht="20" customHeight="1" spans="1:8">
      <c r="A326" s="7">
        <v>324</v>
      </c>
      <c r="B326" s="8" t="str">
        <f>"22812020042711171223859"</f>
        <v>22812020042711171223859</v>
      </c>
      <c r="C326" s="8" t="s">
        <v>10</v>
      </c>
      <c r="D326" s="8" t="str">
        <f>"吴文波"</f>
        <v>吴文波</v>
      </c>
      <c r="E326" s="8" t="str">
        <f t="shared" si="96"/>
        <v>男</v>
      </c>
      <c r="F326" s="8" t="str">
        <f>"1986-09-09"</f>
        <v>1986-09-09</v>
      </c>
      <c r="G326" s="8" t="str">
        <f t="shared" si="94"/>
        <v>本科</v>
      </c>
      <c r="H326" s="8" t="str">
        <f t="shared" si="95"/>
        <v>学士</v>
      </c>
    </row>
    <row r="327" ht="20" customHeight="1" spans="1:8">
      <c r="A327" s="7">
        <v>325</v>
      </c>
      <c r="B327" s="8" t="str">
        <f>"22812020042711513323866"</f>
        <v>22812020042711513323866</v>
      </c>
      <c r="C327" s="8" t="s">
        <v>10</v>
      </c>
      <c r="D327" s="8" t="str">
        <f>"吴如俊"</f>
        <v>吴如俊</v>
      </c>
      <c r="E327" s="8" t="str">
        <f t="shared" si="96"/>
        <v>男</v>
      </c>
      <c r="F327" s="8" t="str">
        <f>"1997-04-05"</f>
        <v>1997-04-05</v>
      </c>
      <c r="G327" s="8" t="str">
        <f t="shared" si="94"/>
        <v>本科</v>
      </c>
      <c r="H327" s="8" t="str">
        <f t="shared" si="95"/>
        <v>学士</v>
      </c>
    </row>
    <row r="328" ht="20" customHeight="1" spans="1:8">
      <c r="A328" s="7">
        <v>326</v>
      </c>
      <c r="B328" s="8" t="str">
        <f>"22812020042713302723868"</f>
        <v>22812020042713302723868</v>
      </c>
      <c r="C328" s="8" t="s">
        <v>10</v>
      </c>
      <c r="D328" s="8" t="str">
        <f>"庄子超"</f>
        <v>庄子超</v>
      </c>
      <c r="E328" s="8" t="str">
        <f t="shared" si="96"/>
        <v>男</v>
      </c>
      <c r="F328" s="8" t="str">
        <f>"1991-07-06"</f>
        <v>1991-07-06</v>
      </c>
      <c r="G328" s="8" t="str">
        <f t="shared" si="94"/>
        <v>本科</v>
      </c>
      <c r="H328" s="8" t="str">
        <f t="shared" si="95"/>
        <v>学士</v>
      </c>
    </row>
    <row r="329" ht="20" customHeight="1" spans="1:8">
      <c r="A329" s="7">
        <v>327</v>
      </c>
      <c r="B329" s="8" t="str">
        <f>"22812020042715102723872"</f>
        <v>22812020042715102723872</v>
      </c>
      <c r="C329" s="8" t="s">
        <v>10</v>
      </c>
      <c r="D329" s="8" t="str">
        <f>"赵璐"</f>
        <v>赵璐</v>
      </c>
      <c r="E329" s="8" t="str">
        <f t="shared" si="97"/>
        <v>女</v>
      </c>
      <c r="F329" s="8" t="str">
        <f>"1993-01-21"</f>
        <v>1993-01-21</v>
      </c>
      <c r="G329" s="8" t="str">
        <f t="shared" si="94"/>
        <v>本科</v>
      </c>
      <c r="H329" s="8" t="str">
        <f t="shared" si="95"/>
        <v>学士</v>
      </c>
    </row>
    <row r="330" ht="20" customHeight="1" spans="1:8">
      <c r="A330" s="7">
        <v>328</v>
      </c>
      <c r="B330" s="8" t="str">
        <f>"22812020042715402823874"</f>
        <v>22812020042715402823874</v>
      </c>
      <c r="C330" s="8" t="s">
        <v>10</v>
      </c>
      <c r="D330" s="8" t="str">
        <f>"展杰德"</f>
        <v>展杰德</v>
      </c>
      <c r="E330" s="8" t="str">
        <f t="shared" ref="E330:E334" si="98">"男"</f>
        <v>男</v>
      </c>
      <c r="F330" s="8" t="str">
        <f>"1996-01-27"</f>
        <v>1996-01-27</v>
      </c>
      <c r="G330" s="8" t="str">
        <f t="shared" si="94"/>
        <v>本科</v>
      </c>
      <c r="H330" s="8" t="str">
        <f t="shared" si="95"/>
        <v>学士</v>
      </c>
    </row>
    <row r="331" ht="20" customHeight="1" spans="1:8">
      <c r="A331" s="7">
        <v>329</v>
      </c>
      <c r="B331" s="8" t="str">
        <f>"22812020042716495923885"</f>
        <v>22812020042716495923885</v>
      </c>
      <c r="C331" s="8" t="s">
        <v>10</v>
      </c>
      <c r="D331" s="8" t="str">
        <f>"卓大和"</f>
        <v>卓大和</v>
      </c>
      <c r="E331" s="8" t="str">
        <f t="shared" si="98"/>
        <v>男</v>
      </c>
      <c r="F331" s="8" t="str">
        <f>"1984-06-24"</f>
        <v>1984-06-24</v>
      </c>
      <c r="G331" s="8" t="str">
        <f t="shared" si="94"/>
        <v>本科</v>
      </c>
      <c r="H331" s="8" t="str">
        <f t="shared" si="95"/>
        <v>学士</v>
      </c>
    </row>
    <row r="332" ht="20" customHeight="1" spans="1:8">
      <c r="A332" s="7">
        <v>330</v>
      </c>
      <c r="B332" s="8" t="str">
        <f>"22812020042717330723888"</f>
        <v>22812020042717330723888</v>
      </c>
      <c r="C332" s="8" t="s">
        <v>10</v>
      </c>
      <c r="D332" s="8" t="str">
        <f>"许馥显"</f>
        <v>许馥显</v>
      </c>
      <c r="E332" s="8" t="str">
        <f t="shared" si="98"/>
        <v>男</v>
      </c>
      <c r="F332" s="8" t="str">
        <f>"1997-05-24"</f>
        <v>1997-05-24</v>
      </c>
      <c r="G332" s="8" t="str">
        <f t="shared" si="94"/>
        <v>本科</v>
      </c>
      <c r="H332" s="8" t="str">
        <f t="shared" si="95"/>
        <v>学士</v>
      </c>
    </row>
    <row r="333" ht="20" customHeight="1" spans="1:8">
      <c r="A333" s="7">
        <v>331</v>
      </c>
      <c r="B333" s="8" t="str">
        <f>"22812020042719013823892"</f>
        <v>22812020042719013823892</v>
      </c>
      <c r="C333" s="8" t="s">
        <v>10</v>
      </c>
      <c r="D333" s="8" t="str">
        <f>"李少恒"</f>
        <v>李少恒</v>
      </c>
      <c r="E333" s="8" t="str">
        <f t="shared" si="98"/>
        <v>男</v>
      </c>
      <c r="F333" s="8" t="str">
        <f>"1993-02-07"</f>
        <v>1993-02-07</v>
      </c>
      <c r="G333" s="8" t="str">
        <f t="shared" si="94"/>
        <v>本科</v>
      </c>
      <c r="H333" s="8" t="str">
        <f t="shared" si="95"/>
        <v>学士</v>
      </c>
    </row>
    <row r="334" ht="20" customHeight="1" spans="1:8">
      <c r="A334" s="7">
        <v>332</v>
      </c>
      <c r="B334" s="8" t="str">
        <f>"22812020042719115223894"</f>
        <v>22812020042719115223894</v>
      </c>
      <c r="C334" s="8" t="s">
        <v>10</v>
      </c>
      <c r="D334" s="8" t="str">
        <f>"曲德伟"</f>
        <v>曲德伟</v>
      </c>
      <c r="E334" s="8" t="str">
        <f t="shared" si="98"/>
        <v>男</v>
      </c>
      <c r="F334" s="8" t="str">
        <f>"1996-02-11"</f>
        <v>1996-02-11</v>
      </c>
      <c r="G334" s="8" t="str">
        <f t="shared" si="94"/>
        <v>本科</v>
      </c>
      <c r="H334" s="8" t="str">
        <f t="shared" si="95"/>
        <v>学士</v>
      </c>
    </row>
    <row r="335" ht="20" customHeight="1" spans="1:8">
      <c r="A335" s="7">
        <v>333</v>
      </c>
      <c r="B335" s="8" t="str">
        <f>"22812020042719262923895"</f>
        <v>22812020042719262923895</v>
      </c>
      <c r="C335" s="8" t="s">
        <v>10</v>
      </c>
      <c r="D335" s="8" t="str">
        <f>"苏少璐"</f>
        <v>苏少璐</v>
      </c>
      <c r="E335" s="8" t="str">
        <f t="shared" ref="E335:E343" si="99">"女"</f>
        <v>女</v>
      </c>
      <c r="F335" s="8" t="str">
        <f>"1991-12-02"</f>
        <v>1991-12-02</v>
      </c>
      <c r="G335" s="8" t="str">
        <f t="shared" si="94"/>
        <v>本科</v>
      </c>
      <c r="H335" s="8" t="str">
        <f t="shared" si="95"/>
        <v>学士</v>
      </c>
    </row>
    <row r="336" ht="20" customHeight="1" spans="1:8">
      <c r="A336" s="7">
        <v>334</v>
      </c>
      <c r="B336" s="8" t="str">
        <f>"22812020042720012823898"</f>
        <v>22812020042720012823898</v>
      </c>
      <c r="C336" s="8" t="s">
        <v>10</v>
      </c>
      <c r="D336" s="8" t="str">
        <f>"王宗靖"</f>
        <v>王宗靖</v>
      </c>
      <c r="E336" s="8" t="str">
        <f>"男"</f>
        <v>男</v>
      </c>
      <c r="F336" s="8" t="str">
        <f>"1990-01-23"</f>
        <v>1990-01-23</v>
      </c>
      <c r="G336" s="8" t="str">
        <f t="shared" si="94"/>
        <v>本科</v>
      </c>
      <c r="H336" s="8" t="str">
        <f t="shared" si="95"/>
        <v>学士</v>
      </c>
    </row>
    <row r="337" ht="20" customHeight="1" spans="1:8">
      <c r="A337" s="7">
        <v>335</v>
      </c>
      <c r="B337" s="8" t="str">
        <f>"22812020042720290723900"</f>
        <v>22812020042720290723900</v>
      </c>
      <c r="C337" s="8" t="s">
        <v>10</v>
      </c>
      <c r="D337" s="8" t="str">
        <f>"陈星娆"</f>
        <v>陈星娆</v>
      </c>
      <c r="E337" s="8" t="str">
        <f t="shared" si="99"/>
        <v>女</v>
      </c>
      <c r="F337" s="8" t="str">
        <f>"1985-02-22"</f>
        <v>1985-02-22</v>
      </c>
      <c r="G337" s="8" t="str">
        <f t="shared" si="94"/>
        <v>本科</v>
      </c>
      <c r="H337" s="8" t="str">
        <f t="shared" si="95"/>
        <v>学士</v>
      </c>
    </row>
    <row r="338" ht="20" customHeight="1" spans="1:8">
      <c r="A338" s="7">
        <v>336</v>
      </c>
      <c r="B338" s="8" t="str">
        <f>"22812020042720470623902"</f>
        <v>22812020042720470623902</v>
      </c>
      <c r="C338" s="8" t="s">
        <v>10</v>
      </c>
      <c r="D338" s="8" t="str">
        <f>"王元华"</f>
        <v>王元华</v>
      </c>
      <c r="E338" s="8" t="str">
        <f>"男"</f>
        <v>男</v>
      </c>
      <c r="F338" s="8" t="str">
        <f>"1995-03-06"</f>
        <v>1995-03-06</v>
      </c>
      <c r="G338" s="8" t="str">
        <f t="shared" si="94"/>
        <v>本科</v>
      </c>
      <c r="H338" s="8" t="str">
        <f t="shared" si="95"/>
        <v>学士</v>
      </c>
    </row>
    <row r="339" ht="20" customHeight="1" spans="1:8">
      <c r="A339" s="7">
        <v>337</v>
      </c>
      <c r="B339" s="8" t="str">
        <f>"22812020042721020923905"</f>
        <v>22812020042721020923905</v>
      </c>
      <c r="C339" s="8" t="s">
        <v>10</v>
      </c>
      <c r="D339" s="8" t="str">
        <f>"黄静微"</f>
        <v>黄静微</v>
      </c>
      <c r="E339" s="8" t="str">
        <f t="shared" si="99"/>
        <v>女</v>
      </c>
      <c r="F339" s="8" t="str">
        <f>"1997-07-19"</f>
        <v>1997-07-19</v>
      </c>
      <c r="G339" s="8" t="str">
        <f t="shared" si="94"/>
        <v>本科</v>
      </c>
      <c r="H339" s="8" t="str">
        <f t="shared" si="95"/>
        <v>学士</v>
      </c>
    </row>
    <row r="340" ht="20" customHeight="1" spans="1:8">
      <c r="A340" s="7">
        <v>338</v>
      </c>
      <c r="B340" s="8" t="str">
        <f>"22812020042721421123908"</f>
        <v>22812020042721421123908</v>
      </c>
      <c r="C340" s="8" t="s">
        <v>10</v>
      </c>
      <c r="D340" s="8" t="str">
        <f>"羊春庆"</f>
        <v>羊春庆</v>
      </c>
      <c r="E340" s="8" t="str">
        <f t="shared" si="99"/>
        <v>女</v>
      </c>
      <c r="F340" s="8" t="str">
        <f>"1997-12-05"</f>
        <v>1997-12-05</v>
      </c>
      <c r="G340" s="8" t="str">
        <f t="shared" si="94"/>
        <v>本科</v>
      </c>
      <c r="H340" s="8" t="str">
        <f t="shared" si="95"/>
        <v>学士</v>
      </c>
    </row>
    <row r="341" ht="20" customHeight="1" spans="1:8">
      <c r="A341" s="7">
        <v>339</v>
      </c>
      <c r="B341" s="8" t="str">
        <f>"22812020042722124923913"</f>
        <v>22812020042722124923913</v>
      </c>
      <c r="C341" s="8" t="s">
        <v>10</v>
      </c>
      <c r="D341" s="8" t="str">
        <f>"利柳青"</f>
        <v>利柳青</v>
      </c>
      <c r="E341" s="8" t="str">
        <f t="shared" si="99"/>
        <v>女</v>
      </c>
      <c r="F341" s="8" t="str">
        <f>"1996-08-10"</f>
        <v>1996-08-10</v>
      </c>
      <c r="G341" s="8" t="str">
        <f t="shared" si="94"/>
        <v>本科</v>
      </c>
      <c r="H341" s="8" t="str">
        <f t="shared" si="95"/>
        <v>学士</v>
      </c>
    </row>
    <row r="342" ht="20" customHeight="1" spans="1:8">
      <c r="A342" s="7">
        <v>340</v>
      </c>
      <c r="B342" s="8" t="str">
        <f>"22812020042722293523914"</f>
        <v>22812020042722293523914</v>
      </c>
      <c r="C342" s="8" t="s">
        <v>10</v>
      </c>
      <c r="D342" s="8" t="str">
        <f>"王东晓"</f>
        <v>王东晓</v>
      </c>
      <c r="E342" s="8" t="str">
        <f t="shared" si="99"/>
        <v>女</v>
      </c>
      <c r="F342" s="8" t="str">
        <f>"1995-01-13"</f>
        <v>1995-01-13</v>
      </c>
      <c r="G342" s="8" t="str">
        <f t="shared" si="94"/>
        <v>本科</v>
      </c>
      <c r="H342" s="8" t="str">
        <f t="shared" si="95"/>
        <v>学士</v>
      </c>
    </row>
    <row r="343" ht="20" customHeight="1" spans="1:8">
      <c r="A343" s="7">
        <v>341</v>
      </c>
      <c r="B343" s="8" t="str">
        <f>"22812020042800400823919"</f>
        <v>22812020042800400823919</v>
      </c>
      <c r="C343" s="8" t="s">
        <v>10</v>
      </c>
      <c r="D343" s="8" t="str">
        <f>"方婧"</f>
        <v>方婧</v>
      </c>
      <c r="E343" s="8" t="str">
        <f t="shared" si="99"/>
        <v>女</v>
      </c>
      <c r="F343" s="8" t="str">
        <f>"1996-08-29"</f>
        <v>1996-08-29</v>
      </c>
      <c r="G343" s="8" t="str">
        <f t="shared" si="94"/>
        <v>本科</v>
      </c>
      <c r="H343" s="8" t="str">
        <f t="shared" si="95"/>
        <v>学士</v>
      </c>
    </row>
    <row r="344" ht="20" customHeight="1" spans="1:8">
      <c r="A344" s="7">
        <v>342</v>
      </c>
      <c r="B344" s="8" t="str">
        <f>"22812020042810024923926"</f>
        <v>22812020042810024923926</v>
      </c>
      <c r="C344" s="8" t="s">
        <v>10</v>
      </c>
      <c r="D344" s="8" t="str">
        <f>"李英和"</f>
        <v>李英和</v>
      </c>
      <c r="E344" s="8" t="str">
        <f>"男"</f>
        <v>男</v>
      </c>
      <c r="F344" s="8" t="str">
        <f>"1992-08-28"</f>
        <v>1992-08-28</v>
      </c>
      <c r="G344" s="8" t="str">
        <f t="shared" si="94"/>
        <v>本科</v>
      </c>
      <c r="H344" s="8" t="str">
        <f t="shared" si="95"/>
        <v>学士</v>
      </c>
    </row>
    <row r="345" ht="20" customHeight="1" spans="1:8">
      <c r="A345" s="7">
        <v>343</v>
      </c>
      <c r="B345" s="8" t="str">
        <f>"22812020042810355523933"</f>
        <v>22812020042810355523933</v>
      </c>
      <c r="C345" s="8" t="s">
        <v>10</v>
      </c>
      <c r="D345" s="8" t="str">
        <f>"裴淑君"</f>
        <v>裴淑君</v>
      </c>
      <c r="E345" s="8" t="str">
        <f t="shared" ref="E345:E352" si="100">"女"</f>
        <v>女</v>
      </c>
      <c r="F345" s="8" t="str">
        <f>"1997-12-20"</f>
        <v>1997-12-20</v>
      </c>
      <c r="G345" s="8" t="str">
        <f t="shared" si="94"/>
        <v>本科</v>
      </c>
      <c r="H345" s="8" t="str">
        <f t="shared" si="95"/>
        <v>学士</v>
      </c>
    </row>
    <row r="346" ht="20" customHeight="1" spans="1:8">
      <c r="A346" s="7">
        <v>344</v>
      </c>
      <c r="B346" s="8" t="str">
        <f>"22812020042810365223934"</f>
        <v>22812020042810365223934</v>
      </c>
      <c r="C346" s="8" t="s">
        <v>10</v>
      </c>
      <c r="D346" s="8" t="str">
        <f>"史勤强"</f>
        <v>史勤强</v>
      </c>
      <c r="E346" s="8" t="str">
        <f>"男"</f>
        <v>男</v>
      </c>
      <c r="F346" s="8" t="str">
        <f>"1996-03-12"</f>
        <v>1996-03-12</v>
      </c>
      <c r="G346" s="8" t="str">
        <f t="shared" si="94"/>
        <v>本科</v>
      </c>
      <c r="H346" s="8" t="str">
        <f t="shared" si="95"/>
        <v>学士</v>
      </c>
    </row>
    <row r="347" ht="20" customHeight="1" spans="1:8">
      <c r="A347" s="7">
        <v>345</v>
      </c>
      <c r="B347" s="8" t="str">
        <f>"22812020042811005623938"</f>
        <v>22812020042811005623938</v>
      </c>
      <c r="C347" s="8" t="s">
        <v>10</v>
      </c>
      <c r="D347" s="8" t="str">
        <f>"梁娟利"</f>
        <v>梁娟利</v>
      </c>
      <c r="E347" s="8" t="str">
        <f t="shared" si="100"/>
        <v>女</v>
      </c>
      <c r="F347" s="8" t="str">
        <f>"1996-09-21"</f>
        <v>1996-09-21</v>
      </c>
      <c r="G347" s="8" t="str">
        <f>"研究生"</f>
        <v>研究生</v>
      </c>
      <c r="H347" s="8" t="str">
        <f>"硕士"</f>
        <v>硕士</v>
      </c>
    </row>
    <row r="348" ht="20" customHeight="1" spans="1:8">
      <c r="A348" s="7">
        <v>346</v>
      </c>
      <c r="B348" s="8" t="str">
        <f>"22812020042811401723942"</f>
        <v>22812020042811401723942</v>
      </c>
      <c r="C348" s="8" t="s">
        <v>10</v>
      </c>
      <c r="D348" s="8" t="str">
        <f>"张梦珍"</f>
        <v>张梦珍</v>
      </c>
      <c r="E348" s="8" t="str">
        <f t="shared" si="100"/>
        <v>女</v>
      </c>
      <c r="F348" s="8" t="str">
        <f>"1993-04-18"</f>
        <v>1993-04-18</v>
      </c>
      <c r="G348" s="8" t="str">
        <f t="shared" ref="G348:G367" si="101">"本科"</f>
        <v>本科</v>
      </c>
      <c r="H348" s="8" t="str">
        <f t="shared" ref="H348:H367" si="102">"学士"</f>
        <v>学士</v>
      </c>
    </row>
    <row r="349" ht="20" customHeight="1" spans="1:8">
      <c r="A349" s="7">
        <v>347</v>
      </c>
      <c r="B349" s="8" t="str">
        <f>"22812020042815330123954"</f>
        <v>22812020042815330123954</v>
      </c>
      <c r="C349" s="8" t="s">
        <v>10</v>
      </c>
      <c r="D349" s="8" t="str">
        <f>"符婉婷"</f>
        <v>符婉婷</v>
      </c>
      <c r="E349" s="8" t="str">
        <f t="shared" si="100"/>
        <v>女</v>
      </c>
      <c r="F349" s="8" t="str">
        <f>"1997-05-26"</f>
        <v>1997-05-26</v>
      </c>
      <c r="G349" s="8" t="str">
        <f t="shared" si="101"/>
        <v>本科</v>
      </c>
      <c r="H349" s="8" t="str">
        <f t="shared" si="102"/>
        <v>学士</v>
      </c>
    </row>
    <row r="350" ht="20" customHeight="1" spans="1:8">
      <c r="A350" s="7">
        <v>348</v>
      </c>
      <c r="B350" s="8" t="str">
        <f>"22812020042815485723956"</f>
        <v>22812020042815485723956</v>
      </c>
      <c r="C350" s="8" t="s">
        <v>10</v>
      </c>
      <c r="D350" s="8" t="str">
        <f>"周雪"</f>
        <v>周雪</v>
      </c>
      <c r="E350" s="8" t="str">
        <f t="shared" si="100"/>
        <v>女</v>
      </c>
      <c r="F350" s="8" t="str">
        <f>"1995-05-29"</f>
        <v>1995-05-29</v>
      </c>
      <c r="G350" s="8" t="str">
        <f t="shared" si="101"/>
        <v>本科</v>
      </c>
      <c r="H350" s="8" t="str">
        <f t="shared" si="102"/>
        <v>学士</v>
      </c>
    </row>
    <row r="351" ht="20" customHeight="1" spans="1:8">
      <c r="A351" s="7">
        <v>349</v>
      </c>
      <c r="B351" s="8" t="str">
        <f>"22812020042815550523957"</f>
        <v>22812020042815550523957</v>
      </c>
      <c r="C351" s="8" t="s">
        <v>10</v>
      </c>
      <c r="D351" s="8" t="str">
        <f>"陈娟娟"</f>
        <v>陈娟娟</v>
      </c>
      <c r="E351" s="8" t="str">
        <f t="shared" si="100"/>
        <v>女</v>
      </c>
      <c r="F351" s="8" t="str">
        <f>"1995-02-13"</f>
        <v>1995-02-13</v>
      </c>
      <c r="G351" s="8" t="str">
        <f t="shared" si="101"/>
        <v>本科</v>
      </c>
      <c r="H351" s="8" t="str">
        <f t="shared" si="102"/>
        <v>学士</v>
      </c>
    </row>
    <row r="352" ht="20" customHeight="1" spans="1:8">
      <c r="A352" s="7">
        <v>350</v>
      </c>
      <c r="B352" s="8" t="str">
        <f>"22812020042816210023962"</f>
        <v>22812020042816210023962</v>
      </c>
      <c r="C352" s="8" t="s">
        <v>10</v>
      </c>
      <c r="D352" s="8" t="str">
        <f>"谢思蝶"</f>
        <v>谢思蝶</v>
      </c>
      <c r="E352" s="8" t="str">
        <f t="shared" si="100"/>
        <v>女</v>
      </c>
      <c r="F352" s="8" t="str">
        <f>"1991-10-19"</f>
        <v>1991-10-19</v>
      </c>
      <c r="G352" s="8" t="str">
        <f t="shared" si="101"/>
        <v>本科</v>
      </c>
      <c r="H352" s="8" t="str">
        <f t="shared" si="102"/>
        <v>学士</v>
      </c>
    </row>
    <row r="353" ht="20" customHeight="1" spans="1:8">
      <c r="A353" s="7">
        <v>351</v>
      </c>
      <c r="B353" s="8" t="str">
        <f>"22812020042816565123967"</f>
        <v>22812020042816565123967</v>
      </c>
      <c r="C353" s="8" t="s">
        <v>10</v>
      </c>
      <c r="D353" s="8" t="str">
        <f>"王贻超"</f>
        <v>王贻超</v>
      </c>
      <c r="E353" s="8" t="str">
        <f>"男"</f>
        <v>男</v>
      </c>
      <c r="F353" s="8" t="str">
        <f>"1996-06-02"</f>
        <v>1996-06-02</v>
      </c>
      <c r="G353" s="8" t="str">
        <f t="shared" si="101"/>
        <v>本科</v>
      </c>
      <c r="H353" s="8" t="str">
        <f t="shared" si="102"/>
        <v>学士</v>
      </c>
    </row>
    <row r="354" ht="20" customHeight="1" spans="1:8">
      <c r="A354" s="7">
        <v>352</v>
      </c>
      <c r="B354" s="8" t="str">
        <f>"22812020042817352423973"</f>
        <v>22812020042817352423973</v>
      </c>
      <c r="C354" s="8" t="s">
        <v>10</v>
      </c>
      <c r="D354" s="8" t="str">
        <f>"冯大娇"</f>
        <v>冯大娇</v>
      </c>
      <c r="E354" s="8" t="str">
        <f t="shared" ref="E354:E358" si="103">"女"</f>
        <v>女</v>
      </c>
      <c r="F354" s="8" t="str">
        <f>"1991-02-19"</f>
        <v>1991-02-19</v>
      </c>
      <c r="G354" s="8" t="str">
        <f t="shared" si="101"/>
        <v>本科</v>
      </c>
      <c r="H354" s="8" t="str">
        <f t="shared" si="102"/>
        <v>学士</v>
      </c>
    </row>
    <row r="355" ht="20" customHeight="1" spans="1:8">
      <c r="A355" s="7">
        <v>353</v>
      </c>
      <c r="B355" s="8" t="str">
        <f>"22812020042818064123974"</f>
        <v>22812020042818064123974</v>
      </c>
      <c r="C355" s="8" t="s">
        <v>10</v>
      </c>
      <c r="D355" s="8" t="str">
        <f>"杨启萍"</f>
        <v>杨启萍</v>
      </c>
      <c r="E355" s="8" t="str">
        <f t="shared" si="103"/>
        <v>女</v>
      </c>
      <c r="F355" s="8" t="str">
        <f>"1994-10-29"</f>
        <v>1994-10-29</v>
      </c>
      <c r="G355" s="8" t="str">
        <f t="shared" si="101"/>
        <v>本科</v>
      </c>
      <c r="H355" s="8" t="str">
        <f t="shared" si="102"/>
        <v>学士</v>
      </c>
    </row>
    <row r="356" ht="20" customHeight="1" spans="1:8">
      <c r="A356" s="7">
        <v>354</v>
      </c>
      <c r="B356" s="8" t="str">
        <f>"22812020042819364823978"</f>
        <v>22812020042819364823978</v>
      </c>
      <c r="C356" s="8" t="s">
        <v>10</v>
      </c>
      <c r="D356" s="8" t="str">
        <f>"王燕"</f>
        <v>王燕</v>
      </c>
      <c r="E356" s="8" t="str">
        <f t="shared" si="103"/>
        <v>女</v>
      </c>
      <c r="F356" s="8" t="str">
        <f>"1994-02-27"</f>
        <v>1994-02-27</v>
      </c>
      <c r="G356" s="8" t="str">
        <f t="shared" si="101"/>
        <v>本科</v>
      </c>
      <c r="H356" s="8" t="str">
        <f t="shared" si="102"/>
        <v>学士</v>
      </c>
    </row>
    <row r="357" ht="20" customHeight="1" spans="1:8">
      <c r="A357" s="7">
        <v>355</v>
      </c>
      <c r="B357" s="8" t="str">
        <f>"22812020042819574823979"</f>
        <v>22812020042819574823979</v>
      </c>
      <c r="C357" s="8" t="s">
        <v>10</v>
      </c>
      <c r="D357" s="8" t="str">
        <f>"孙于茹"</f>
        <v>孙于茹</v>
      </c>
      <c r="E357" s="8" t="str">
        <f t="shared" si="103"/>
        <v>女</v>
      </c>
      <c r="F357" s="8" t="str">
        <f>"1997-07-12"</f>
        <v>1997-07-12</v>
      </c>
      <c r="G357" s="8" t="str">
        <f t="shared" si="101"/>
        <v>本科</v>
      </c>
      <c r="H357" s="8" t="str">
        <f t="shared" si="102"/>
        <v>学士</v>
      </c>
    </row>
    <row r="358" ht="20" customHeight="1" spans="1:8">
      <c r="A358" s="7">
        <v>356</v>
      </c>
      <c r="B358" s="8" t="str">
        <f>"22812020042821334423984"</f>
        <v>22812020042821334423984</v>
      </c>
      <c r="C358" s="8" t="s">
        <v>10</v>
      </c>
      <c r="D358" s="8" t="str">
        <f>"刘晶"</f>
        <v>刘晶</v>
      </c>
      <c r="E358" s="8" t="str">
        <f t="shared" si="103"/>
        <v>女</v>
      </c>
      <c r="F358" s="8" t="str">
        <f>"1995-01-06"</f>
        <v>1995-01-06</v>
      </c>
      <c r="G358" s="8" t="str">
        <f t="shared" si="101"/>
        <v>本科</v>
      </c>
      <c r="H358" s="8" t="str">
        <f t="shared" si="102"/>
        <v>学士</v>
      </c>
    </row>
    <row r="359" ht="20" customHeight="1" spans="1:8">
      <c r="A359" s="7">
        <v>357</v>
      </c>
      <c r="B359" s="8" t="str">
        <f>"22812020042822264323986"</f>
        <v>22812020042822264323986</v>
      </c>
      <c r="C359" s="8" t="s">
        <v>10</v>
      </c>
      <c r="D359" s="8" t="str">
        <f>"徐小刚"</f>
        <v>徐小刚</v>
      </c>
      <c r="E359" s="8" t="str">
        <f>"男"</f>
        <v>男</v>
      </c>
      <c r="F359" s="8" t="str">
        <f>"1987-08-14"</f>
        <v>1987-08-14</v>
      </c>
      <c r="G359" s="8" t="str">
        <f t="shared" si="101"/>
        <v>本科</v>
      </c>
      <c r="H359" s="8" t="str">
        <f t="shared" si="102"/>
        <v>学士</v>
      </c>
    </row>
    <row r="360" ht="20" customHeight="1" spans="1:8">
      <c r="A360" s="7">
        <v>358</v>
      </c>
      <c r="B360" s="8" t="str">
        <f>"22812020042900295823996"</f>
        <v>22812020042900295823996</v>
      </c>
      <c r="C360" s="8" t="s">
        <v>10</v>
      </c>
      <c r="D360" s="8" t="str">
        <f>"蔡淑霞"</f>
        <v>蔡淑霞</v>
      </c>
      <c r="E360" s="8" t="str">
        <f t="shared" ref="E360:E364" si="104">"女"</f>
        <v>女</v>
      </c>
      <c r="F360" s="8" t="str">
        <f>"1998-11-17"</f>
        <v>1998-11-17</v>
      </c>
      <c r="G360" s="8" t="str">
        <f t="shared" si="101"/>
        <v>本科</v>
      </c>
      <c r="H360" s="8" t="str">
        <f t="shared" si="102"/>
        <v>学士</v>
      </c>
    </row>
    <row r="361" ht="20" customHeight="1" spans="1:8">
      <c r="A361" s="7">
        <v>359</v>
      </c>
      <c r="B361" s="8" t="str">
        <f>"22812020042900341223997"</f>
        <v>22812020042900341223997</v>
      </c>
      <c r="C361" s="8" t="s">
        <v>10</v>
      </c>
      <c r="D361" s="8" t="str">
        <f>"张智仙"</f>
        <v>张智仙</v>
      </c>
      <c r="E361" s="8" t="str">
        <f t="shared" si="104"/>
        <v>女</v>
      </c>
      <c r="F361" s="8" t="str">
        <f>"1996-01-22"</f>
        <v>1996-01-22</v>
      </c>
      <c r="G361" s="8" t="str">
        <f t="shared" si="101"/>
        <v>本科</v>
      </c>
      <c r="H361" s="8" t="str">
        <f t="shared" si="102"/>
        <v>学士</v>
      </c>
    </row>
    <row r="362" ht="20" customHeight="1" spans="1:8">
      <c r="A362" s="7">
        <v>360</v>
      </c>
      <c r="B362" s="8" t="str">
        <f>"22812020042901272023999"</f>
        <v>22812020042901272023999</v>
      </c>
      <c r="C362" s="8" t="s">
        <v>10</v>
      </c>
      <c r="D362" s="8" t="str">
        <f>"潘志强"</f>
        <v>潘志强</v>
      </c>
      <c r="E362" s="8" t="str">
        <f>"男"</f>
        <v>男</v>
      </c>
      <c r="F362" s="8" t="str">
        <f>"1994-06-08"</f>
        <v>1994-06-08</v>
      </c>
      <c r="G362" s="8" t="str">
        <f t="shared" si="101"/>
        <v>本科</v>
      </c>
      <c r="H362" s="8" t="str">
        <f t="shared" si="102"/>
        <v>学士</v>
      </c>
    </row>
    <row r="363" ht="20" customHeight="1" spans="1:8">
      <c r="A363" s="7">
        <v>361</v>
      </c>
      <c r="B363" s="8" t="str">
        <f>"22812020042909111424000"</f>
        <v>22812020042909111424000</v>
      </c>
      <c r="C363" s="8" t="s">
        <v>10</v>
      </c>
      <c r="D363" s="8" t="str">
        <f>"崔琳"</f>
        <v>崔琳</v>
      </c>
      <c r="E363" s="8" t="str">
        <f t="shared" si="104"/>
        <v>女</v>
      </c>
      <c r="F363" s="8" t="str">
        <f>"1996-09-04"</f>
        <v>1996-09-04</v>
      </c>
      <c r="G363" s="8" t="str">
        <f t="shared" si="101"/>
        <v>本科</v>
      </c>
      <c r="H363" s="8" t="str">
        <f t="shared" si="102"/>
        <v>学士</v>
      </c>
    </row>
    <row r="364" ht="20" customHeight="1" spans="1:8">
      <c r="A364" s="7">
        <v>362</v>
      </c>
      <c r="B364" s="8" t="str">
        <f>"22812020042909410124003"</f>
        <v>22812020042909410124003</v>
      </c>
      <c r="C364" s="8" t="s">
        <v>10</v>
      </c>
      <c r="D364" s="8" t="str">
        <f>"薛昱"</f>
        <v>薛昱</v>
      </c>
      <c r="E364" s="8" t="str">
        <f t="shared" si="104"/>
        <v>女</v>
      </c>
      <c r="F364" s="8" t="str">
        <f>"1997-04-23"</f>
        <v>1997-04-23</v>
      </c>
      <c r="G364" s="8" t="str">
        <f t="shared" si="101"/>
        <v>本科</v>
      </c>
      <c r="H364" s="8" t="str">
        <f t="shared" si="102"/>
        <v>学士</v>
      </c>
    </row>
    <row r="365" ht="20" customHeight="1" spans="1:8">
      <c r="A365" s="7">
        <v>363</v>
      </c>
      <c r="B365" s="8" t="str">
        <f>"22812020042910554624013"</f>
        <v>22812020042910554624013</v>
      </c>
      <c r="C365" s="8" t="s">
        <v>10</v>
      </c>
      <c r="D365" s="8" t="str">
        <f>"卓晓先"</f>
        <v>卓晓先</v>
      </c>
      <c r="E365" s="8" t="str">
        <f>"男"</f>
        <v>男</v>
      </c>
      <c r="F365" s="8" t="str">
        <f>"1994-06-02"</f>
        <v>1994-06-02</v>
      </c>
      <c r="G365" s="8" t="str">
        <f t="shared" si="101"/>
        <v>本科</v>
      </c>
      <c r="H365" s="8" t="str">
        <f t="shared" si="102"/>
        <v>学士</v>
      </c>
    </row>
    <row r="366" ht="20" customHeight="1" spans="1:8">
      <c r="A366" s="7">
        <v>364</v>
      </c>
      <c r="B366" s="8" t="str">
        <f>"22812020042911102024017"</f>
        <v>22812020042911102024017</v>
      </c>
      <c r="C366" s="8" t="s">
        <v>10</v>
      </c>
      <c r="D366" s="8" t="str">
        <f>"陈芳城"</f>
        <v>陈芳城</v>
      </c>
      <c r="E366" s="8" t="str">
        <f t="shared" ref="E366:E370" si="105">"女"</f>
        <v>女</v>
      </c>
      <c r="F366" s="8" t="str">
        <f>"1989-02-01"</f>
        <v>1989-02-01</v>
      </c>
      <c r="G366" s="8" t="str">
        <f t="shared" si="101"/>
        <v>本科</v>
      </c>
      <c r="H366" s="8" t="str">
        <f t="shared" si="102"/>
        <v>学士</v>
      </c>
    </row>
    <row r="367" ht="20" customHeight="1" spans="1:8">
      <c r="A367" s="7">
        <v>365</v>
      </c>
      <c r="B367" s="8" t="str">
        <f>"22812020042911294424018"</f>
        <v>22812020042911294424018</v>
      </c>
      <c r="C367" s="8" t="s">
        <v>10</v>
      </c>
      <c r="D367" s="8" t="str">
        <f>"裴珏"</f>
        <v>裴珏</v>
      </c>
      <c r="E367" s="8" t="str">
        <f t="shared" si="105"/>
        <v>女</v>
      </c>
      <c r="F367" s="8" t="str">
        <f>"1990-01-27"</f>
        <v>1990-01-27</v>
      </c>
      <c r="G367" s="8" t="str">
        <f t="shared" si="101"/>
        <v>本科</v>
      </c>
      <c r="H367" s="8" t="str">
        <f t="shared" si="102"/>
        <v>学士</v>
      </c>
    </row>
    <row r="368" ht="20" customHeight="1" spans="1:8">
      <c r="A368" s="7">
        <v>366</v>
      </c>
      <c r="B368" s="8" t="str">
        <f>"22812020042911452024021"</f>
        <v>22812020042911452024021</v>
      </c>
      <c r="C368" s="8" t="s">
        <v>10</v>
      </c>
      <c r="D368" s="8" t="str">
        <f>"张月华"</f>
        <v>张月华</v>
      </c>
      <c r="E368" s="8" t="str">
        <f t="shared" si="105"/>
        <v>女</v>
      </c>
      <c r="F368" s="8" t="str">
        <f>"1995-03-13"</f>
        <v>1995-03-13</v>
      </c>
      <c r="G368" s="8" t="str">
        <f>"研究生"</f>
        <v>研究生</v>
      </c>
      <c r="H368" s="8" t="str">
        <f>"硕士"</f>
        <v>硕士</v>
      </c>
    </row>
    <row r="369" ht="20" customHeight="1" spans="1:8">
      <c r="A369" s="7">
        <v>367</v>
      </c>
      <c r="B369" s="8" t="str">
        <f>"22812020042912052624024"</f>
        <v>22812020042912052624024</v>
      </c>
      <c r="C369" s="8" t="s">
        <v>10</v>
      </c>
      <c r="D369" s="8" t="str">
        <f>"周凤"</f>
        <v>周凤</v>
      </c>
      <c r="E369" s="8" t="str">
        <f t="shared" si="105"/>
        <v>女</v>
      </c>
      <c r="F369" s="8" t="str">
        <f>"1998-12-17"</f>
        <v>1998-12-17</v>
      </c>
      <c r="G369" s="8" t="str">
        <f t="shared" ref="G369:G388" si="106">"本科"</f>
        <v>本科</v>
      </c>
      <c r="H369" s="8" t="str">
        <f t="shared" ref="H369:H388" si="107">"学士"</f>
        <v>学士</v>
      </c>
    </row>
    <row r="370" ht="20" customHeight="1" spans="1:8">
      <c r="A370" s="7">
        <v>368</v>
      </c>
      <c r="B370" s="8" t="str">
        <f>"22812020042913035824026"</f>
        <v>22812020042913035824026</v>
      </c>
      <c r="C370" s="8" t="s">
        <v>10</v>
      </c>
      <c r="D370" s="8" t="str">
        <f>"陈征征"</f>
        <v>陈征征</v>
      </c>
      <c r="E370" s="8" t="str">
        <f t="shared" si="105"/>
        <v>女</v>
      </c>
      <c r="F370" s="8" t="str">
        <f>"1989-08-10"</f>
        <v>1989-08-10</v>
      </c>
      <c r="G370" s="8" t="str">
        <f t="shared" si="106"/>
        <v>本科</v>
      </c>
      <c r="H370" s="8" t="str">
        <f t="shared" si="107"/>
        <v>学士</v>
      </c>
    </row>
    <row r="371" ht="20" customHeight="1" spans="1:8">
      <c r="A371" s="7">
        <v>369</v>
      </c>
      <c r="B371" s="8" t="str">
        <f>"22812020042916240424036"</f>
        <v>22812020042916240424036</v>
      </c>
      <c r="C371" s="8" t="s">
        <v>10</v>
      </c>
      <c r="D371" s="8" t="str">
        <f>"邹兴茂"</f>
        <v>邹兴茂</v>
      </c>
      <c r="E371" s="8" t="str">
        <f t="shared" ref="E371:E374" si="108">"男"</f>
        <v>男</v>
      </c>
      <c r="F371" s="8" t="str">
        <f>"1989-07-06"</f>
        <v>1989-07-06</v>
      </c>
      <c r="G371" s="8" t="str">
        <f t="shared" si="106"/>
        <v>本科</v>
      </c>
      <c r="H371" s="8" t="str">
        <f t="shared" si="107"/>
        <v>学士</v>
      </c>
    </row>
    <row r="372" ht="20" customHeight="1" spans="1:8">
      <c r="A372" s="7">
        <v>370</v>
      </c>
      <c r="B372" s="8" t="str">
        <f>"22812020042916304124037"</f>
        <v>22812020042916304124037</v>
      </c>
      <c r="C372" s="8" t="s">
        <v>10</v>
      </c>
      <c r="D372" s="8" t="str">
        <f>"李永达"</f>
        <v>李永达</v>
      </c>
      <c r="E372" s="8" t="str">
        <f t="shared" si="108"/>
        <v>男</v>
      </c>
      <c r="F372" s="8" t="str">
        <f>"1988-10-30"</f>
        <v>1988-10-30</v>
      </c>
      <c r="G372" s="8" t="str">
        <f t="shared" si="106"/>
        <v>本科</v>
      </c>
      <c r="H372" s="8" t="str">
        <f t="shared" si="107"/>
        <v>学士</v>
      </c>
    </row>
    <row r="373" ht="20" customHeight="1" spans="1:8">
      <c r="A373" s="7">
        <v>371</v>
      </c>
      <c r="B373" s="8" t="str">
        <f>"22812020042916413624038"</f>
        <v>22812020042916413624038</v>
      </c>
      <c r="C373" s="8" t="s">
        <v>10</v>
      </c>
      <c r="D373" s="8" t="str">
        <f>"李梅"</f>
        <v>李梅</v>
      </c>
      <c r="E373" s="8" t="str">
        <f t="shared" ref="E373:E379" si="109">"女"</f>
        <v>女</v>
      </c>
      <c r="F373" s="8" t="str">
        <f>"1994-12-15"</f>
        <v>1994-12-15</v>
      </c>
      <c r="G373" s="8" t="str">
        <f t="shared" si="106"/>
        <v>本科</v>
      </c>
      <c r="H373" s="8" t="str">
        <f t="shared" si="107"/>
        <v>学士</v>
      </c>
    </row>
    <row r="374" ht="20" customHeight="1" spans="1:8">
      <c r="A374" s="7">
        <v>372</v>
      </c>
      <c r="B374" s="8" t="str">
        <f>"22812020042917314624042"</f>
        <v>22812020042917314624042</v>
      </c>
      <c r="C374" s="8" t="s">
        <v>10</v>
      </c>
      <c r="D374" s="8" t="str">
        <f>"梁健华"</f>
        <v>梁健华</v>
      </c>
      <c r="E374" s="8" t="str">
        <f t="shared" si="108"/>
        <v>男</v>
      </c>
      <c r="F374" s="8" t="str">
        <f>"1994-12-24"</f>
        <v>1994-12-24</v>
      </c>
      <c r="G374" s="8" t="str">
        <f t="shared" si="106"/>
        <v>本科</v>
      </c>
      <c r="H374" s="8" t="str">
        <f t="shared" si="107"/>
        <v>学士</v>
      </c>
    </row>
    <row r="375" ht="20" customHeight="1" spans="1:8">
      <c r="A375" s="7">
        <v>373</v>
      </c>
      <c r="B375" s="8" t="str">
        <f>"22812020042918181724044"</f>
        <v>22812020042918181724044</v>
      </c>
      <c r="C375" s="8" t="s">
        <v>10</v>
      </c>
      <c r="D375" s="8" t="str">
        <f>"吴倩兰"</f>
        <v>吴倩兰</v>
      </c>
      <c r="E375" s="8" t="str">
        <f t="shared" si="109"/>
        <v>女</v>
      </c>
      <c r="F375" s="8" t="str">
        <f>"1992-04-02"</f>
        <v>1992-04-02</v>
      </c>
      <c r="G375" s="8" t="str">
        <f t="shared" si="106"/>
        <v>本科</v>
      </c>
      <c r="H375" s="8" t="str">
        <f t="shared" si="107"/>
        <v>学士</v>
      </c>
    </row>
    <row r="376" ht="20" customHeight="1" spans="1:8">
      <c r="A376" s="7">
        <v>374</v>
      </c>
      <c r="B376" s="8" t="str">
        <f>"22812020042918420424048"</f>
        <v>22812020042918420424048</v>
      </c>
      <c r="C376" s="8" t="s">
        <v>10</v>
      </c>
      <c r="D376" s="8" t="str">
        <f>"符秀坤"</f>
        <v>符秀坤</v>
      </c>
      <c r="E376" s="8" t="str">
        <f t="shared" si="109"/>
        <v>女</v>
      </c>
      <c r="F376" s="8" t="str">
        <f>"1993-10-27"</f>
        <v>1993-10-27</v>
      </c>
      <c r="G376" s="8" t="str">
        <f t="shared" si="106"/>
        <v>本科</v>
      </c>
      <c r="H376" s="8" t="str">
        <f t="shared" si="107"/>
        <v>学士</v>
      </c>
    </row>
    <row r="377" ht="20" customHeight="1" spans="1:8">
      <c r="A377" s="7">
        <v>375</v>
      </c>
      <c r="B377" s="8" t="str">
        <f>"22812020042920021924051"</f>
        <v>22812020042920021924051</v>
      </c>
      <c r="C377" s="8" t="s">
        <v>10</v>
      </c>
      <c r="D377" s="8" t="str">
        <f>"何欣雨"</f>
        <v>何欣雨</v>
      </c>
      <c r="E377" s="8" t="str">
        <f t="shared" si="109"/>
        <v>女</v>
      </c>
      <c r="F377" s="8" t="str">
        <f>"1997-02-10"</f>
        <v>1997-02-10</v>
      </c>
      <c r="G377" s="8" t="str">
        <f t="shared" si="106"/>
        <v>本科</v>
      </c>
      <c r="H377" s="8" t="str">
        <f t="shared" si="107"/>
        <v>学士</v>
      </c>
    </row>
    <row r="378" ht="20" customHeight="1" spans="1:8">
      <c r="A378" s="7">
        <v>376</v>
      </c>
      <c r="B378" s="8" t="str">
        <f>"22812020042921194424056"</f>
        <v>22812020042921194424056</v>
      </c>
      <c r="C378" s="8" t="s">
        <v>10</v>
      </c>
      <c r="D378" s="8" t="str">
        <f>"于冰清"</f>
        <v>于冰清</v>
      </c>
      <c r="E378" s="8" t="str">
        <f t="shared" si="109"/>
        <v>女</v>
      </c>
      <c r="F378" s="8" t="str">
        <f>"1997-10-20"</f>
        <v>1997-10-20</v>
      </c>
      <c r="G378" s="8" t="str">
        <f t="shared" si="106"/>
        <v>本科</v>
      </c>
      <c r="H378" s="8" t="str">
        <f t="shared" si="107"/>
        <v>学士</v>
      </c>
    </row>
    <row r="379" ht="20" customHeight="1" spans="1:8">
      <c r="A379" s="7">
        <v>377</v>
      </c>
      <c r="B379" s="8" t="str">
        <f>"22812020042921241924057"</f>
        <v>22812020042921241924057</v>
      </c>
      <c r="C379" s="8" t="s">
        <v>10</v>
      </c>
      <c r="D379" s="8" t="str">
        <f>"吴元瑛"</f>
        <v>吴元瑛</v>
      </c>
      <c r="E379" s="8" t="str">
        <f t="shared" si="109"/>
        <v>女</v>
      </c>
      <c r="F379" s="8" t="str">
        <f>"1996-10-10"</f>
        <v>1996-10-10</v>
      </c>
      <c r="G379" s="8" t="str">
        <f t="shared" si="106"/>
        <v>本科</v>
      </c>
      <c r="H379" s="8" t="str">
        <f t="shared" si="107"/>
        <v>学士</v>
      </c>
    </row>
    <row r="380" ht="20" customHeight="1" spans="1:8">
      <c r="A380" s="7">
        <v>378</v>
      </c>
      <c r="B380" s="8" t="str">
        <f>"22812020042921271724059"</f>
        <v>22812020042921271724059</v>
      </c>
      <c r="C380" s="8" t="s">
        <v>10</v>
      </c>
      <c r="D380" s="8" t="str">
        <f>"史俊杰"</f>
        <v>史俊杰</v>
      </c>
      <c r="E380" s="8" t="str">
        <f>"男"</f>
        <v>男</v>
      </c>
      <c r="F380" s="8" t="str">
        <f>"1996-05-25"</f>
        <v>1996-05-25</v>
      </c>
      <c r="G380" s="8" t="str">
        <f t="shared" si="106"/>
        <v>本科</v>
      </c>
      <c r="H380" s="8" t="str">
        <f t="shared" si="107"/>
        <v>学士</v>
      </c>
    </row>
    <row r="381" ht="20" customHeight="1" spans="1:8">
      <c r="A381" s="7">
        <v>379</v>
      </c>
      <c r="B381" s="8" t="str">
        <f>"22812020042921484324062"</f>
        <v>22812020042921484324062</v>
      </c>
      <c r="C381" s="8" t="s">
        <v>10</v>
      </c>
      <c r="D381" s="8" t="str">
        <f>"孙学爱"</f>
        <v>孙学爱</v>
      </c>
      <c r="E381" s="8" t="str">
        <f t="shared" ref="E381:E383" si="110">"女"</f>
        <v>女</v>
      </c>
      <c r="F381" s="8" t="str">
        <f>"1996-05-10"</f>
        <v>1996-05-10</v>
      </c>
      <c r="G381" s="8" t="str">
        <f t="shared" si="106"/>
        <v>本科</v>
      </c>
      <c r="H381" s="8" t="str">
        <f t="shared" si="107"/>
        <v>学士</v>
      </c>
    </row>
    <row r="382" ht="20" customHeight="1" spans="1:8">
      <c r="A382" s="7">
        <v>380</v>
      </c>
      <c r="B382" s="8" t="str">
        <f>"22812020042922371524069"</f>
        <v>22812020042922371524069</v>
      </c>
      <c r="C382" s="8" t="s">
        <v>10</v>
      </c>
      <c r="D382" s="8" t="str">
        <f>"王铮钰"</f>
        <v>王铮钰</v>
      </c>
      <c r="E382" s="8" t="str">
        <f t="shared" si="110"/>
        <v>女</v>
      </c>
      <c r="F382" s="8" t="str">
        <f>"1996-06-17"</f>
        <v>1996-06-17</v>
      </c>
      <c r="G382" s="8" t="str">
        <f t="shared" si="106"/>
        <v>本科</v>
      </c>
      <c r="H382" s="8" t="str">
        <f t="shared" si="107"/>
        <v>学士</v>
      </c>
    </row>
    <row r="383" ht="20" customHeight="1" spans="1:8">
      <c r="A383" s="7">
        <v>381</v>
      </c>
      <c r="B383" s="8" t="str">
        <f>"22812020042922584324070"</f>
        <v>22812020042922584324070</v>
      </c>
      <c r="C383" s="8" t="s">
        <v>10</v>
      </c>
      <c r="D383" s="8" t="str">
        <f>"符秀婵"</f>
        <v>符秀婵</v>
      </c>
      <c r="E383" s="8" t="str">
        <f t="shared" si="110"/>
        <v>女</v>
      </c>
      <c r="F383" s="8" t="str">
        <f>"1998-05-21"</f>
        <v>1998-05-21</v>
      </c>
      <c r="G383" s="8" t="str">
        <f t="shared" si="106"/>
        <v>本科</v>
      </c>
      <c r="H383" s="8" t="str">
        <f t="shared" si="107"/>
        <v>学士</v>
      </c>
    </row>
    <row r="384" ht="20" customHeight="1" spans="1:8">
      <c r="A384" s="7">
        <v>382</v>
      </c>
      <c r="B384" s="8" t="str">
        <f>"22812020042923020624071"</f>
        <v>22812020042923020624071</v>
      </c>
      <c r="C384" s="8" t="s">
        <v>10</v>
      </c>
      <c r="D384" s="8" t="str">
        <f>"章际耀"</f>
        <v>章际耀</v>
      </c>
      <c r="E384" s="8" t="str">
        <f>"男"</f>
        <v>男</v>
      </c>
      <c r="F384" s="8" t="str">
        <f>"1996-06-18"</f>
        <v>1996-06-18</v>
      </c>
      <c r="G384" s="8" t="str">
        <f t="shared" si="106"/>
        <v>本科</v>
      </c>
      <c r="H384" s="8" t="str">
        <f t="shared" si="107"/>
        <v>学士</v>
      </c>
    </row>
    <row r="385" ht="20" customHeight="1" spans="1:8">
      <c r="A385" s="7">
        <v>383</v>
      </c>
      <c r="B385" s="8" t="str">
        <f>"22812020043000133924076"</f>
        <v>22812020043000133924076</v>
      </c>
      <c r="C385" s="8" t="s">
        <v>10</v>
      </c>
      <c r="D385" s="8" t="str">
        <f>"惠靖"</f>
        <v>惠靖</v>
      </c>
      <c r="E385" s="8" t="str">
        <f t="shared" ref="E385:E389" si="111">"女"</f>
        <v>女</v>
      </c>
      <c r="F385" s="8" t="str">
        <f>"1996-07-20"</f>
        <v>1996-07-20</v>
      </c>
      <c r="G385" s="8" t="str">
        <f t="shared" si="106"/>
        <v>本科</v>
      </c>
      <c r="H385" s="8" t="str">
        <f t="shared" si="107"/>
        <v>学士</v>
      </c>
    </row>
    <row r="386" ht="20" customHeight="1" spans="1:8">
      <c r="A386" s="7">
        <v>384</v>
      </c>
      <c r="B386" s="8" t="str">
        <f>"22812020043009002524085"</f>
        <v>22812020043009002524085</v>
      </c>
      <c r="C386" s="8" t="s">
        <v>10</v>
      </c>
      <c r="D386" s="8" t="str">
        <f>"高德"</f>
        <v>高德</v>
      </c>
      <c r="E386" s="8" t="str">
        <f>"男"</f>
        <v>男</v>
      </c>
      <c r="F386" s="8" t="str">
        <f>"1996-06-08"</f>
        <v>1996-06-08</v>
      </c>
      <c r="G386" s="8" t="str">
        <f t="shared" si="106"/>
        <v>本科</v>
      </c>
      <c r="H386" s="8" t="str">
        <f t="shared" si="107"/>
        <v>学士</v>
      </c>
    </row>
    <row r="387" ht="20" customHeight="1" spans="1:8">
      <c r="A387" s="7">
        <v>385</v>
      </c>
      <c r="B387" s="8" t="str">
        <f>"22812020043010190424091"</f>
        <v>22812020043010190424091</v>
      </c>
      <c r="C387" s="8" t="s">
        <v>10</v>
      </c>
      <c r="D387" s="8" t="str">
        <f>"杨菁金"</f>
        <v>杨菁金</v>
      </c>
      <c r="E387" s="8" t="str">
        <f t="shared" si="111"/>
        <v>女</v>
      </c>
      <c r="F387" s="8" t="str">
        <f>"1996-12-23"</f>
        <v>1996-12-23</v>
      </c>
      <c r="G387" s="8" t="str">
        <f t="shared" si="106"/>
        <v>本科</v>
      </c>
      <c r="H387" s="8" t="str">
        <f t="shared" si="107"/>
        <v>学士</v>
      </c>
    </row>
    <row r="388" ht="20" customHeight="1" spans="1:8">
      <c r="A388" s="7">
        <v>386</v>
      </c>
      <c r="B388" s="8" t="str">
        <f>"22812020043010401524093"</f>
        <v>22812020043010401524093</v>
      </c>
      <c r="C388" s="8" t="s">
        <v>10</v>
      </c>
      <c r="D388" s="8" t="str">
        <f>"莫滢菲"</f>
        <v>莫滢菲</v>
      </c>
      <c r="E388" s="8" t="str">
        <f t="shared" si="111"/>
        <v>女</v>
      </c>
      <c r="F388" s="8" t="str">
        <f>"1991-08-02"</f>
        <v>1991-08-02</v>
      </c>
      <c r="G388" s="8" t="str">
        <f t="shared" si="106"/>
        <v>本科</v>
      </c>
      <c r="H388" s="8" t="str">
        <f t="shared" si="107"/>
        <v>学士</v>
      </c>
    </row>
    <row r="389" ht="20" customHeight="1" spans="1:8">
      <c r="A389" s="7">
        <v>387</v>
      </c>
      <c r="B389" s="8" t="str">
        <f>"22812020043011124624096"</f>
        <v>22812020043011124624096</v>
      </c>
      <c r="C389" s="8" t="s">
        <v>10</v>
      </c>
      <c r="D389" s="8" t="str">
        <f>"卞惟珊"</f>
        <v>卞惟珊</v>
      </c>
      <c r="E389" s="8" t="str">
        <f t="shared" si="111"/>
        <v>女</v>
      </c>
      <c r="F389" s="8" t="str">
        <f>"1991-02-17"</f>
        <v>1991-02-17</v>
      </c>
      <c r="G389" s="8" t="str">
        <f>"研究生"</f>
        <v>研究生</v>
      </c>
      <c r="H389" s="8" t="str">
        <f>"硕士"</f>
        <v>硕士</v>
      </c>
    </row>
    <row r="390" ht="20" customHeight="1" spans="1:8">
      <c r="A390" s="7">
        <v>388</v>
      </c>
      <c r="B390" s="8" t="str">
        <f>"22812020043011281124097"</f>
        <v>22812020043011281124097</v>
      </c>
      <c r="C390" s="8" t="s">
        <v>10</v>
      </c>
      <c r="D390" s="8" t="str">
        <f>"董文武"</f>
        <v>董文武</v>
      </c>
      <c r="E390" s="8" t="str">
        <f t="shared" ref="E390:E393" si="112">"男"</f>
        <v>男</v>
      </c>
      <c r="F390" s="8" t="str">
        <f>"1993-04-12"</f>
        <v>1993-04-12</v>
      </c>
      <c r="G390" s="8" t="str">
        <f t="shared" ref="G390:G427" si="113">"本科"</f>
        <v>本科</v>
      </c>
      <c r="H390" s="8" t="str">
        <f t="shared" ref="H390:H427" si="114">"学士"</f>
        <v>学士</v>
      </c>
    </row>
    <row r="391" ht="20" customHeight="1" spans="1:8">
      <c r="A391" s="7">
        <v>389</v>
      </c>
      <c r="B391" s="8" t="str">
        <f>"22812020043012024224100"</f>
        <v>22812020043012024224100</v>
      </c>
      <c r="C391" s="8" t="s">
        <v>10</v>
      </c>
      <c r="D391" s="8" t="str">
        <f>"李文瑞"</f>
        <v>李文瑞</v>
      </c>
      <c r="E391" s="8" t="str">
        <f t="shared" ref="E391:E397" si="115">"女"</f>
        <v>女</v>
      </c>
      <c r="F391" s="8" t="str">
        <f>"1995-07-22"</f>
        <v>1995-07-22</v>
      </c>
      <c r="G391" s="8" t="str">
        <f t="shared" si="113"/>
        <v>本科</v>
      </c>
      <c r="H391" s="8" t="str">
        <f t="shared" si="114"/>
        <v>学士</v>
      </c>
    </row>
    <row r="392" ht="20" customHeight="1" spans="1:8">
      <c r="A392" s="7">
        <v>390</v>
      </c>
      <c r="B392" s="8" t="str">
        <f>"22812020043012560824105"</f>
        <v>22812020043012560824105</v>
      </c>
      <c r="C392" s="8" t="s">
        <v>10</v>
      </c>
      <c r="D392" s="8" t="str">
        <f>"黎灵晶"</f>
        <v>黎灵晶</v>
      </c>
      <c r="E392" s="8" t="str">
        <f t="shared" si="112"/>
        <v>男</v>
      </c>
      <c r="F392" s="8" t="str">
        <f>"1985-02-12"</f>
        <v>1985-02-12</v>
      </c>
      <c r="G392" s="8" t="str">
        <f t="shared" si="113"/>
        <v>本科</v>
      </c>
      <c r="H392" s="8" t="str">
        <f t="shared" si="114"/>
        <v>学士</v>
      </c>
    </row>
    <row r="393" ht="20" customHeight="1" spans="1:8">
      <c r="A393" s="7">
        <v>391</v>
      </c>
      <c r="B393" s="8" t="str">
        <f>"22812020043012581424106"</f>
        <v>22812020043012581424106</v>
      </c>
      <c r="C393" s="8" t="s">
        <v>10</v>
      </c>
      <c r="D393" s="8" t="str">
        <f>"王身宝"</f>
        <v>王身宝</v>
      </c>
      <c r="E393" s="8" t="str">
        <f t="shared" si="112"/>
        <v>男</v>
      </c>
      <c r="F393" s="8" t="str">
        <f>"1990-02-15"</f>
        <v>1990-02-15</v>
      </c>
      <c r="G393" s="8" t="str">
        <f t="shared" si="113"/>
        <v>本科</v>
      </c>
      <c r="H393" s="8" t="str">
        <f t="shared" si="114"/>
        <v>学士</v>
      </c>
    </row>
    <row r="394" ht="20" customHeight="1" spans="1:8">
      <c r="A394" s="7">
        <v>392</v>
      </c>
      <c r="B394" s="8" t="str">
        <f>"22812020043013304824109"</f>
        <v>22812020043013304824109</v>
      </c>
      <c r="C394" s="8" t="s">
        <v>10</v>
      </c>
      <c r="D394" s="8" t="str">
        <f>"王洁"</f>
        <v>王洁</v>
      </c>
      <c r="E394" s="8" t="str">
        <f t="shared" si="115"/>
        <v>女</v>
      </c>
      <c r="F394" s="8" t="str">
        <f>"1991-01-28"</f>
        <v>1991-01-28</v>
      </c>
      <c r="G394" s="8" t="str">
        <f t="shared" si="113"/>
        <v>本科</v>
      </c>
      <c r="H394" s="8" t="str">
        <f t="shared" si="114"/>
        <v>学士</v>
      </c>
    </row>
    <row r="395" ht="20" customHeight="1" spans="1:8">
      <c r="A395" s="7">
        <v>393</v>
      </c>
      <c r="B395" s="8" t="str">
        <f>"22812020043013454624110"</f>
        <v>22812020043013454624110</v>
      </c>
      <c r="C395" s="8" t="s">
        <v>10</v>
      </c>
      <c r="D395" s="8" t="str">
        <f>"谢剑超"</f>
        <v>谢剑超</v>
      </c>
      <c r="E395" s="8" t="str">
        <f t="shared" ref="E395:E400" si="116">"男"</f>
        <v>男</v>
      </c>
      <c r="F395" s="8" t="str">
        <f>"1990-09-16"</f>
        <v>1990-09-16</v>
      </c>
      <c r="G395" s="8" t="str">
        <f t="shared" si="113"/>
        <v>本科</v>
      </c>
      <c r="H395" s="8" t="str">
        <f t="shared" si="114"/>
        <v>学士</v>
      </c>
    </row>
    <row r="396" ht="20" customHeight="1" spans="1:8">
      <c r="A396" s="7">
        <v>394</v>
      </c>
      <c r="B396" s="8" t="str">
        <f>"22812020043015281724117"</f>
        <v>22812020043015281724117</v>
      </c>
      <c r="C396" s="8" t="s">
        <v>10</v>
      </c>
      <c r="D396" s="8" t="str">
        <f>"冼欢"</f>
        <v>冼欢</v>
      </c>
      <c r="E396" s="8" t="str">
        <f t="shared" si="115"/>
        <v>女</v>
      </c>
      <c r="F396" s="8" t="str">
        <f>"1994-05-29"</f>
        <v>1994-05-29</v>
      </c>
      <c r="G396" s="8" t="str">
        <f t="shared" si="113"/>
        <v>本科</v>
      </c>
      <c r="H396" s="8" t="str">
        <f t="shared" si="114"/>
        <v>学士</v>
      </c>
    </row>
    <row r="397" ht="20" customHeight="1" spans="1:8">
      <c r="A397" s="7">
        <v>395</v>
      </c>
      <c r="B397" s="8" t="str">
        <f>"22812020043015360124118"</f>
        <v>22812020043015360124118</v>
      </c>
      <c r="C397" s="8" t="s">
        <v>10</v>
      </c>
      <c r="D397" s="8" t="str">
        <f>"沈筱敏"</f>
        <v>沈筱敏</v>
      </c>
      <c r="E397" s="8" t="str">
        <f t="shared" si="115"/>
        <v>女</v>
      </c>
      <c r="F397" s="8" t="str">
        <f>"1993-05-27"</f>
        <v>1993-05-27</v>
      </c>
      <c r="G397" s="8" t="str">
        <f t="shared" si="113"/>
        <v>本科</v>
      </c>
      <c r="H397" s="8" t="str">
        <f t="shared" si="114"/>
        <v>学士</v>
      </c>
    </row>
    <row r="398" ht="20" customHeight="1" spans="1:8">
      <c r="A398" s="7">
        <v>396</v>
      </c>
      <c r="B398" s="8" t="str">
        <f>"22812020043016223224123"</f>
        <v>22812020043016223224123</v>
      </c>
      <c r="C398" s="8" t="s">
        <v>10</v>
      </c>
      <c r="D398" s="8" t="str">
        <f>"蔡兴赓"</f>
        <v>蔡兴赓</v>
      </c>
      <c r="E398" s="8" t="str">
        <f t="shared" si="116"/>
        <v>男</v>
      </c>
      <c r="F398" s="8" t="str">
        <f>"1993-04-16"</f>
        <v>1993-04-16</v>
      </c>
      <c r="G398" s="8" t="str">
        <f t="shared" si="113"/>
        <v>本科</v>
      </c>
      <c r="H398" s="8" t="str">
        <f t="shared" si="114"/>
        <v>学士</v>
      </c>
    </row>
    <row r="399" ht="20" customHeight="1" spans="1:8">
      <c r="A399" s="7">
        <v>397</v>
      </c>
      <c r="B399" s="8" t="str">
        <f>"22812020043016521024126"</f>
        <v>22812020043016521024126</v>
      </c>
      <c r="C399" s="8" t="s">
        <v>10</v>
      </c>
      <c r="D399" s="8" t="str">
        <f>"谢梦阳"</f>
        <v>谢梦阳</v>
      </c>
      <c r="E399" s="8" t="str">
        <f t="shared" ref="E399:E412" si="117">"女"</f>
        <v>女</v>
      </c>
      <c r="F399" s="8" t="str">
        <f>"1994-11-02"</f>
        <v>1994-11-02</v>
      </c>
      <c r="G399" s="8" t="str">
        <f t="shared" si="113"/>
        <v>本科</v>
      </c>
      <c r="H399" s="8" t="str">
        <f t="shared" si="114"/>
        <v>学士</v>
      </c>
    </row>
    <row r="400" ht="20" customHeight="1" spans="1:8">
      <c r="A400" s="7">
        <v>398</v>
      </c>
      <c r="B400" s="8" t="str">
        <f>"22812020043018180424129"</f>
        <v>22812020043018180424129</v>
      </c>
      <c r="C400" s="8" t="s">
        <v>10</v>
      </c>
      <c r="D400" s="8" t="str">
        <f>"陈炜"</f>
        <v>陈炜</v>
      </c>
      <c r="E400" s="8" t="str">
        <f t="shared" si="116"/>
        <v>男</v>
      </c>
      <c r="F400" s="8" t="str">
        <f>"1995-10-08"</f>
        <v>1995-10-08</v>
      </c>
      <c r="G400" s="8" t="str">
        <f t="shared" si="113"/>
        <v>本科</v>
      </c>
      <c r="H400" s="8" t="str">
        <f t="shared" si="114"/>
        <v>学士</v>
      </c>
    </row>
    <row r="401" ht="20" customHeight="1" spans="1:8">
      <c r="A401" s="7">
        <v>399</v>
      </c>
      <c r="B401" s="8" t="str">
        <f>"22812020043018472624132"</f>
        <v>22812020043018472624132</v>
      </c>
      <c r="C401" s="8" t="s">
        <v>10</v>
      </c>
      <c r="D401" s="8" t="str">
        <f>"卢雄烹"</f>
        <v>卢雄烹</v>
      </c>
      <c r="E401" s="8" t="str">
        <f t="shared" si="117"/>
        <v>女</v>
      </c>
      <c r="F401" s="8" t="str">
        <f>"1989-07-08"</f>
        <v>1989-07-08</v>
      </c>
      <c r="G401" s="8" t="str">
        <f t="shared" si="113"/>
        <v>本科</v>
      </c>
      <c r="H401" s="8" t="str">
        <f t="shared" si="114"/>
        <v>学士</v>
      </c>
    </row>
    <row r="402" ht="20" customHeight="1" spans="1:8">
      <c r="A402" s="7">
        <v>400</v>
      </c>
      <c r="B402" s="8" t="str">
        <f>"22812020043018545824133"</f>
        <v>22812020043018545824133</v>
      </c>
      <c r="C402" s="8" t="s">
        <v>10</v>
      </c>
      <c r="D402" s="8" t="str">
        <f>"王盛洪"</f>
        <v>王盛洪</v>
      </c>
      <c r="E402" s="8" t="str">
        <f>"男"</f>
        <v>男</v>
      </c>
      <c r="F402" s="8" t="str">
        <f>"1991-09-17"</f>
        <v>1991-09-17</v>
      </c>
      <c r="G402" s="8" t="str">
        <f t="shared" si="113"/>
        <v>本科</v>
      </c>
      <c r="H402" s="8" t="str">
        <f t="shared" si="114"/>
        <v>学士</v>
      </c>
    </row>
    <row r="403" ht="20" customHeight="1" spans="1:8">
      <c r="A403" s="7">
        <v>401</v>
      </c>
      <c r="B403" s="8" t="str">
        <f>"22812020043022255324143"</f>
        <v>22812020043022255324143</v>
      </c>
      <c r="C403" s="8" t="s">
        <v>10</v>
      </c>
      <c r="D403" s="8" t="str">
        <f>"吴清叶"</f>
        <v>吴清叶</v>
      </c>
      <c r="E403" s="8" t="str">
        <f t="shared" si="117"/>
        <v>女</v>
      </c>
      <c r="F403" s="8" t="str">
        <f>"1996-11-11"</f>
        <v>1996-11-11</v>
      </c>
      <c r="G403" s="8" t="str">
        <f t="shared" si="113"/>
        <v>本科</v>
      </c>
      <c r="H403" s="8" t="str">
        <f t="shared" si="114"/>
        <v>学士</v>
      </c>
    </row>
    <row r="404" ht="20" customHeight="1" spans="1:8">
      <c r="A404" s="7">
        <v>402</v>
      </c>
      <c r="B404" s="8" t="str">
        <f>"22812020043022382524144"</f>
        <v>22812020043022382524144</v>
      </c>
      <c r="C404" s="8" t="s">
        <v>10</v>
      </c>
      <c r="D404" s="8" t="str">
        <f>"鞠莹莹"</f>
        <v>鞠莹莹</v>
      </c>
      <c r="E404" s="8" t="str">
        <f t="shared" si="117"/>
        <v>女</v>
      </c>
      <c r="F404" s="8" t="str">
        <f>"1985-04-03"</f>
        <v>1985-04-03</v>
      </c>
      <c r="G404" s="8" t="str">
        <f t="shared" si="113"/>
        <v>本科</v>
      </c>
      <c r="H404" s="8" t="str">
        <f t="shared" si="114"/>
        <v>学士</v>
      </c>
    </row>
    <row r="405" ht="20" customHeight="1" spans="1:8">
      <c r="A405" s="7">
        <v>403</v>
      </c>
      <c r="B405" s="8" t="str">
        <f>"22812020050108535324146"</f>
        <v>22812020050108535324146</v>
      </c>
      <c r="C405" s="8" t="s">
        <v>10</v>
      </c>
      <c r="D405" s="8" t="str">
        <f>"蔡沁茹"</f>
        <v>蔡沁茹</v>
      </c>
      <c r="E405" s="8" t="str">
        <f t="shared" si="117"/>
        <v>女</v>
      </c>
      <c r="F405" s="8" t="str">
        <f>"1995-01-04"</f>
        <v>1995-01-04</v>
      </c>
      <c r="G405" s="8" t="str">
        <f t="shared" si="113"/>
        <v>本科</v>
      </c>
      <c r="H405" s="8" t="str">
        <f t="shared" si="114"/>
        <v>学士</v>
      </c>
    </row>
    <row r="406" ht="20" customHeight="1" spans="1:8">
      <c r="A406" s="7">
        <v>404</v>
      </c>
      <c r="B406" s="8" t="str">
        <f>"22812020050110540624151"</f>
        <v>22812020050110540624151</v>
      </c>
      <c r="C406" s="8" t="s">
        <v>10</v>
      </c>
      <c r="D406" s="8" t="str">
        <f>"陶琳琳"</f>
        <v>陶琳琳</v>
      </c>
      <c r="E406" s="8" t="str">
        <f t="shared" si="117"/>
        <v>女</v>
      </c>
      <c r="F406" s="8" t="str">
        <f>"1986-09-17"</f>
        <v>1986-09-17</v>
      </c>
      <c r="G406" s="8" t="str">
        <f t="shared" si="113"/>
        <v>本科</v>
      </c>
      <c r="H406" s="8" t="str">
        <f t="shared" si="114"/>
        <v>学士</v>
      </c>
    </row>
    <row r="407" ht="20" customHeight="1" spans="1:8">
      <c r="A407" s="7">
        <v>405</v>
      </c>
      <c r="B407" s="8" t="str">
        <f>"22812020050111065424152"</f>
        <v>22812020050111065424152</v>
      </c>
      <c r="C407" s="8" t="s">
        <v>10</v>
      </c>
      <c r="D407" s="8" t="str">
        <f>"周丽"</f>
        <v>周丽</v>
      </c>
      <c r="E407" s="8" t="str">
        <f t="shared" si="117"/>
        <v>女</v>
      </c>
      <c r="F407" s="8" t="str">
        <f>"1993-11-19"</f>
        <v>1993-11-19</v>
      </c>
      <c r="G407" s="8" t="str">
        <f t="shared" si="113"/>
        <v>本科</v>
      </c>
      <c r="H407" s="8" t="str">
        <f t="shared" si="114"/>
        <v>学士</v>
      </c>
    </row>
    <row r="408" ht="20" customHeight="1" spans="1:8">
      <c r="A408" s="7">
        <v>406</v>
      </c>
      <c r="B408" s="8" t="str">
        <f>"22812020050111285224155"</f>
        <v>22812020050111285224155</v>
      </c>
      <c r="C408" s="8" t="s">
        <v>10</v>
      </c>
      <c r="D408" s="8" t="str">
        <f>"彭勇"</f>
        <v>彭勇</v>
      </c>
      <c r="E408" s="8" t="str">
        <f t="shared" si="117"/>
        <v>女</v>
      </c>
      <c r="F408" s="8" t="str">
        <f>"1991-08-10"</f>
        <v>1991-08-10</v>
      </c>
      <c r="G408" s="8" t="str">
        <f t="shared" si="113"/>
        <v>本科</v>
      </c>
      <c r="H408" s="8" t="str">
        <f t="shared" si="114"/>
        <v>学士</v>
      </c>
    </row>
    <row r="409" ht="20" customHeight="1" spans="1:8">
      <c r="A409" s="7">
        <v>407</v>
      </c>
      <c r="B409" s="8" t="str">
        <f>"22812020050118394524165"</f>
        <v>22812020050118394524165</v>
      </c>
      <c r="C409" s="8" t="s">
        <v>10</v>
      </c>
      <c r="D409" s="8" t="str">
        <f>"张旭"</f>
        <v>张旭</v>
      </c>
      <c r="E409" s="8" t="str">
        <f t="shared" si="117"/>
        <v>女</v>
      </c>
      <c r="F409" s="8" t="str">
        <f>"1986-10-30"</f>
        <v>1986-10-30</v>
      </c>
      <c r="G409" s="8" t="str">
        <f t="shared" si="113"/>
        <v>本科</v>
      </c>
      <c r="H409" s="8" t="str">
        <f t="shared" si="114"/>
        <v>学士</v>
      </c>
    </row>
    <row r="410" ht="20" customHeight="1" spans="1:8">
      <c r="A410" s="7">
        <v>408</v>
      </c>
      <c r="B410" s="8" t="str">
        <f>"22812020050120342924166"</f>
        <v>22812020050120342924166</v>
      </c>
      <c r="C410" s="8" t="s">
        <v>10</v>
      </c>
      <c r="D410" s="8" t="str">
        <f>"段爽"</f>
        <v>段爽</v>
      </c>
      <c r="E410" s="8" t="str">
        <f t="shared" si="117"/>
        <v>女</v>
      </c>
      <c r="F410" s="8" t="str">
        <f>"1990-01-11"</f>
        <v>1990-01-11</v>
      </c>
      <c r="G410" s="8" t="str">
        <f t="shared" si="113"/>
        <v>本科</v>
      </c>
      <c r="H410" s="8" t="str">
        <f t="shared" si="114"/>
        <v>学士</v>
      </c>
    </row>
    <row r="411" ht="20" customHeight="1" spans="1:8">
      <c r="A411" s="7">
        <v>409</v>
      </c>
      <c r="B411" s="8" t="str">
        <f>"22812020050210382424171"</f>
        <v>22812020050210382424171</v>
      </c>
      <c r="C411" s="8" t="s">
        <v>10</v>
      </c>
      <c r="D411" s="8" t="str">
        <f>"韦静文"</f>
        <v>韦静文</v>
      </c>
      <c r="E411" s="8" t="str">
        <f t="shared" si="117"/>
        <v>女</v>
      </c>
      <c r="F411" s="8" t="str">
        <f>"1997-04-06"</f>
        <v>1997-04-06</v>
      </c>
      <c r="G411" s="8" t="str">
        <f t="shared" si="113"/>
        <v>本科</v>
      </c>
      <c r="H411" s="8" t="str">
        <f t="shared" si="114"/>
        <v>学士</v>
      </c>
    </row>
    <row r="412" ht="20" customHeight="1" spans="1:8">
      <c r="A412" s="7">
        <v>410</v>
      </c>
      <c r="B412" s="8" t="str">
        <f>"22812020050210573224172"</f>
        <v>22812020050210573224172</v>
      </c>
      <c r="C412" s="8" t="s">
        <v>10</v>
      </c>
      <c r="D412" s="8" t="str">
        <f>"邢贞丽"</f>
        <v>邢贞丽</v>
      </c>
      <c r="E412" s="8" t="str">
        <f t="shared" si="117"/>
        <v>女</v>
      </c>
      <c r="F412" s="8" t="str">
        <f>"1989-07-22"</f>
        <v>1989-07-22</v>
      </c>
      <c r="G412" s="8" t="str">
        <f t="shared" si="113"/>
        <v>本科</v>
      </c>
      <c r="H412" s="8" t="str">
        <f t="shared" si="114"/>
        <v>学士</v>
      </c>
    </row>
    <row r="413" ht="20" customHeight="1" spans="1:8">
      <c r="A413" s="7">
        <v>411</v>
      </c>
      <c r="B413" s="8" t="str">
        <f>"22812020050211473024175"</f>
        <v>22812020050211473024175</v>
      </c>
      <c r="C413" s="8" t="s">
        <v>10</v>
      </c>
      <c r="D413" s="8" t="str">
        <f>"陈允进"</f>
        <v>陈允进</v>
      </c>
      <c r="E413" s="8" t="str">
        <f>"男"</f>
        <v>男</v>
      </c>
      <c r="F413" s="8" t="str">
        <f>"1990-01-06"</f>
        <v>1990-01-06</v>
      </c>
      <c r="G413" s="8" t="str">
        <f t="shared" si="113"/>
        <v>本科</v>
      </c>
      <c r="H413" s="8" t="str">
        <f t="shared" si="114"/>
        <v>学士</v>
      </c>
    </row>
    <row r="414" ht="20" customHeight="1" spans="1:8">
      <c r="A414" s="7">
        <v>412</v>
      </c>
      <c r="B414" s="8" t="str">
        <f>"22812020050212090524177"</f>
        <v>22812020050212090524177</v>
      </c>
      <c r="C414" s="8" t="s">
        <v>10</v>
      </c>
      <c r="D414" s="8" t="str">
        <f>"关春燕"</f>
        <v>关春燕</v>
      </c>
      <c r="E414" s="8" t="str">
        <f t="shared" ref="E414:E424" si="118">"女"</f>
        <v>女</v>
      </c>
      <c r="F414" s="8" t="str">
        <f>"1993-02-25"</f>
        <v>1993-02-25</v>
      </c>
      <c r="G414" s="8" t="str">
        <f t="shared" si="113"/>
        <v>本科</v>
      </c>
      <c r="H414" s="8" t="str">
        <f t="shared" si="114"/>
        <v>学士</v>
      </c>
    </row>
    <row r="415" ht="20" customHeight="1" spans="1:8">
      <c r="A415" s="7">
        <v>413</v>
      </c>
      <c r="B415" s="8" t="str">
        <f>"22812020050213021624179"</f>
        <v>22812020050213021624179</v>
      </c>
      <c r="C415" s="8" t="s">
        <v>10</v>
      </c>
      <c r="D415" s="8" t="str">
        <f>"潘健"</f>
        <v>潘健</v>
      </c>
      <c r="E415" s="8" t="str">
        <f>"男"</f>
        <v>男</v>
      </c>
      <c r="F415" s="8" t="str">
        <f>"1993-10-02"</f>
        <v>1993-10-02</v>
      </c>
      <c r="G415" s="8" t="str">
        <f t="shared" si="113"/>
        <v>本科</v>
      </c>
      <c r="H415" s="8" t="str">
        <f t="shared" si="114"/>
        <v>学士</v>
      </c>
    </row>
    <row r="416" ht="20" customHeight="1" spans="1:8">
      <c r="A416" s="7">
        <v>414</v>
      </c>
      <c r="B416" s="8" t="str">
        <f>"22812020050221393724185"</f>
        <v>22812020050221393724185</v>
      </c>
      <c r="C416" s="8" t="s">
        <v>10</v>
      </c>
      <c r="D416" s="8" t="str">
        <f>"许婉"</f>
        <v>许婉</v>
      </c>
      <c r="E416" s="8" t="str">
        <f t="shared" si="118"/>
        <v>女</v>
      </c>
      <c r="F416" s="8" t="str">
        <f>"1992-06-29"</f>
        <v>1992-06-29</v>
      </c>
      <c r="G416" s="8" t="str">
        <f t="shared" si="113"/>
        <v>本科</v>
      </c>
      <c r="H416" s="8" t="str">
        <f t="shared" si="114"/>
        <v>学士</v>
      </c>
    </row>
    <row r="417" ht="20" customHeight="1" spans="1:8">
      <c r="A417" s="7">
        <v>415</v>
      </c>
      <c r="B417" s="8" t="str">
        <f>"22812020050309201624192"</f>
        <v>22812020050309201624192</v>
      </c>
      <c r="C417" s="8" t="s">
        <v>10</v>
      </c>
      <c r="D417" s="8" t="str">
        <f>"薛娟娜"</f>
        <v>薛娟娜</v>
      </c>
      <c r="E417" s="8" t="str">
        <f t="shared" si="118"/>
        <v>女</v>
      </c>
      <c r="F417" s="8" t="str">
        <f>"1988-12-29"</f>
        <v>1988-12-29</v>
      </c>
      <c r="G417" s="8" t="str">
        <f t="shared" si="113"/>
        <v>本科</v>
      </c>
      <c r="H417" s="8" t="str">
        <f t="shared" si="114"/>
        <v>学士</v>
      </c>
    </row>
    <row r="418" ht="20" customHeight="1" spans="1:8">
      <c r="A418" s="7">
        <v>416</v>
      </c>
      <c r="B418" s="8" t="str">
        <f>"22812020050312490224196"</f>
        <v>22812020050312490224196</v>
      </c>
      <c r="C418" s="8" t="s">
        <v>10</v>
      </c>
      <c r="D418" s="8" t="str">
        <f>"方玉莹"</f>
        <v>方玉莹</v>
      </c>
      <c r="E418" s="8" t="str">
        <f t="shared" si="118"/>
        <v>女</v>
      </c>
      <c r="F418" s="8" t="str">
        <f>"1997-05-05"</f>
        <v>1997-05-05</v>
      </c>
      <c r="G418" s="8" t="str">
        <f t="shared" si="113"/>
        <v>本科</v>
      </c>
      <c r="H418" s="8" t="str">
        <f t="shared" si="114"/>
        <v>学士</v>
      </c>
    </row>
    <row r="419" ht="20" customHeight="1" spans="1:8">
      <c r="A419" s="7">
        <v>417</v>
      </c>
      <c r="B419" s="8" t="str">
        <f>"22812020050315394824200"</f>
        <v>22812020050315394824200</v>
      </c>
      <c r="C419" s="8" t="s">
        <v>10</v>
      </c>
      <c r="D419" s="8" t="str">
        <f>"安鑫"</f>
        <v>安鑫</v>
      </c>
      <c r="E419" s="8" t="str">
        <f t="shared" si="118"/>
        <v>女</v>
      </c>
      <c r="F419" s="8" t="str">
        <f>"1992-03-05"</f>
        <v>1992-03-05</v>
      </c>
      <c r="G419" s="8" t="str">
        <f t="shared" si="113"/>
        <v>本科</v>
      </c>
      <c r="H419" s="8" t="str">
        <f t="shared" si="114"/>
        <v>学士</v>
      </c>
    </row>
    <row r="420" ht="20" customHeight="1" spans="1:8">
      <c r="A420" s="7">
        <v>418</v>
      </c>
      <c r="B420" s="8" t="str">
        <f>"22812020050316081524202"</f>
        <v>22812020050316081524202</v>
      </c>
      <c r="C420" s="8" t="s">
        <v>10</v>
      </c>
      <c r="D420" s="8" t="str">
        <f>"郝千翔"</f>
        <v>郝千翔</v>
      </c>
      <c r="E420" s="8" t="str">
        <f t="shared" si="118"/>
        <v>女</v>
      </c>
      <c r="F420" s="8" t="str">
        <f>"1998-03-27"</f>
        <v>1998-03-27</v>
      </c>
      <c r="G420" s="8" t="str">
        <f t="shared" si="113"/>
        <v>本科</v>
      </c>
      <c r="H420" s="8" t="str">
        <f t="shared" si="114"/>
        <v>学士</v>
      </c>
    </row>
    <row r="421" ht="20" customHeight="1" spans="1:8">
      <c r="A421" s="7">
        <v>419</v>
      </c>
      <c r="B421" s="8" t="str">
        <f>"22812020050317251224204"</f>
        <v>22812020050317251224204</v>
      </c>
      <c r="C421" s="8" t="s">
        <v>10</v>
      </c>
      <c r="D421" s="8" t="str">
        <f>"周君"</f>
        <v>周君</v>
      </c>
      <c r="E421" s="8" t="str">
        <f t="shared" si="118"/>
        <v>女</v>
      </c>
      <c r="F421" s="8" t="str">
        <f>"1996-07-31"</f>
        <v>1996-07-31</v>
      </c>
      <c r="G421" s="8" t="str">
        <f t="shared" si="113"/>
        <v>本科</v>
      </c>
      <c r="H421" s="8" t="str">
        <f t="shared" si="114"/>
        <v>学士</v>
      </c>
    </row>
    <row r="422" ht="20" customHeight="1" spans="1:8">
      <c r="A422" s="7">
        <v>420</v>
      </c>
      <c r="B422" s="8" t="str">
        <f>"22812020050321461624211"</f>
        <v>22812020050321461624211</v>
      </c>
      <c r="C422" s="8" t="s">
        <v>10</v>
      </c>
      <c r="D422" s="8" t="str">
        <f>"李莹"</f>
        <v>李莹</v>
      </c>
      <c r="E422" s="8" t="str">
        <f t="shared" si="118"/>
        <v>女</v>
      </c>
      <c r="F422" s="8" t="str">
        <f>"1992-12-25"</f>
        <v>1992-12-25</v>
      </c>
      <c r="G422" s="8" t="str">
        <f t="shared" si="113"/>
        <v>本科</v>
      </c>
      <c r="H422" s="8" t="str">
        <f t="shared" si="114"/>
        <v>学士</v>
      </c>
    </row>
    <row r="423" ht="20" customHeight="1" spans="1:8">
      <c r="A423" s="7">
        <v>421</v>
      </c>
      <c r="B423" s="8" t="str">
        <f>"22812020050323365024213"</f>
        <v>22812020050323365024213</v>
      </c>
      <c r="C423" s="8" t="s">
        <v>10</v>
      </c>
      <c r="D423" s="8" t="str">
        <f>"曾祖琳"</f>
        <v>曾祖琳</v>
      </c>
      <c r="E423" s="8" t="str">
        <f t="shared" si="118"/>
        <v>女</v>
      </c>
      <c r="F423" s="8" t="str">
        <f>"1997-08-20"</f>
        <v>1997-08-20</v>
      </c>
      <c r="G423" s="8" t="str">
        <f t="shared" si="113"/>
        <v>本科</v>
      </c>
      <c r="H423" s="8" t="str">
        <f t="shared" si="114"/>
        <v>学士</v>
      </c>
    </row>
    <row r="424" ht="20" customHeight="1" spans="1:8">
      <c r="A424" s="7">
        <v>422</v>
      </c>
      <c r="B424" s="8" t="str">
        <f>"22812020050400131424215"</f>
        <v>22812020050400131424215</v>
      </c>
      <c r="C424" s="8" t="s">
        <v>10</v>
      </c>
      <c r="D424" s="8" t="str">
        <f>"林琳琅"</f>
        <v>林琳琅</v>
      </c>
      <c r="E424" s="8" t="str">
        <f t="shared" si="118"/>
        <v>女</v>
      </c>
      <c r="F424" s="8" t="str">
        <f>"1997-06-15"</f>
        <v>1997-06-15</v>
      </c>
      <c r="G424" s="8" t="str">
        <f t="shared" si="113"/>
        <v>本科</v>
      </c>
      <c r="H424" s="8" t="str">
        <f t="shared" si="114"/>
        <v>学士</v>
      </c>
    </row>
    <row r="425" ht="20" customHeight="1" spans="1:8">
      <c r="A425" s="7">
        <v>423</v>
      </c>
      <c r="B425" s="8" t="str">
        <f>"22812020050407453324218"</f>
        <v>22812020050407453324218</v>
      </c>
      <c r="C425" s="8" t="s">
        <v>10</v>
      </c>
      <c r="D425" s="8" t="str">
        <f>"王超鹏"</f>
        <v>王超鹏</v>
      </c>
      <c r="E425" s="8" t="str">
        <f t="shared" ref="E425:E428" si="119">"男"</f>
        <v>男</v>
      </c>
      <c r="F425" s="8" t="str">
        <f>"1989-11-09"</f>
        <v>1989-11-09</v>
      </c>
      <c r="G425" s="8" t="str">
        <f t="shared" si="113"/>
        <v>本科</v>
      </c>
      <c r="H425" s="8" t="str">
        <f t="shared" si="114"/>
        <v>学士</v>
      </c>
    </row>
    <row r="426" ht="20" customHeight="1" spans="1:8">
      <c r="A426" s="7">
        <v>424</v>
      </c>
      <c r="B426" s="8" t="str">
        <f>"22812020050410123324222"</f>
        <v>22812020050410123324222</v>
      </c>
      <c r="C426" s="8" t="s">
        <v>10</v>
      </c>
      <c r="D426" s="8" t="str">
        <f>"孙钱香"</f>
        <v>孙钱香</v>
      </c>
      <c r="E426" s="8" t="str">
        <f t="shared" ref="E426:E432" si="120">"女"</f>
        <v>女</v>
      </c>
      <c r="F426" s="8" t="str">
        <f>"1997-10-26"</f>
        <v>1997-10-26</v>
      </c>
      <c r="G426" s="8" t="str">
        <f t="shared" si="113"/>
        <v>本科</v>
      </c>
      <c r="H426" s="8" t="str">
        <f t="shared" si="114"/>
        <v>学士</v>
      </c>
    </row>
    <row r="427" ht="20" customHeight="1" spans="1:8">
      <c r="A427" s="7">
        <v>425</v>
      </c>
      <c r="B427" s="8" t="str">
        <f>"22812020050410233924223"</f>
        <v>22812020050410233924223</v>
      </c>
      <c r="C427" s="8" t="s">
        <v>10</v>
      </c>
      <c r="D427" s="8" t="str">
        <f>"王琰博"</f>
        <v>王琰博</v>
      </c>
      <c r="E427" s="8" t="str">
        <f t="shared" si="119"/>
        <v>男</v>
      </c>
      <c r="F427" s="8" t="str">
        <f>"1991-06-27"</f>
        <v>1991-06-27</v>
      </c>
      <c r="G427" s="8" t="str">
        <f t="shared" si="113"/>
        <v>本科</v>
      </c>
      <c r="H427" s="8" t="str">
        <f t="shared" si="114"/>
        <v>学士</v>
      </c>
    </row>
    <row r="428" ht="20" customHeight="1" spans="1:8">
      <c r="A428" s="7">
        <v>426</v>
      </c>
      <c r="B428" s="8" t="str">
        <f>"22812020050410532524226"</f>
        <v>22812020050410532524226</v>
      </c>
      <c r="C428" s="8" t="s">
        <v>10</v>
      </c>
      <c r="D428" s="8" t="str">
        <f>"刘敏哲"</f>
        <v>刘敏哲</v>
      </c>
      <c r="E428" s="8" t="str">
        <f t="shared" si="119"/>
        <v>男</v>
      </c>
      <c r="F428" s="8" t="str">
        <f>"1992-06-23"</f>
        <v>1992-06-23</v>
      </c>
      <c r="G428" s="8" t="str">
        <f>"研究生"</f>
        <v>研究生</v>
      </c>
      <c r="H428" s="8" t="str">
        <f>"硕士"</f>
        <v>硕士</v>
      </c>
    </row>
    <row r="429" ht="20" customHeight="1" spans="1:8">
      <c r="A429" s="7">
        <v>427</v>
      </c>
      <c r="B429" s="8" t="str">
        <f>"22812020050411212224227"</f>
        <v>22812020050411212224227</v>
      </c>
      <c r="C429" s="8" t="s">
        <v>10</v>
      </c>
      <c r="D429" s="8" t="str">
        <f>"王珊珊"</f>
        <v>王珊珊</v>
      </c>
      <c r="E429" s="8" t="str">
        <f t="shared" si="120"/>
        <v>女</v>
      </c>
      <c r="F429" s="8" t="str">
        <f>"1992-07-16"</f>
        <v>1992-07-16</v>
      </c>
      <c r="G429" s="8" t="str">
        <f t="shared" ref="G429:G453" si="121">"本科"</f>
        <v>本科</v>
      </c>
      <c r="H429" s="8" t="str">
        <f t="shared" ref="H429:H453" si="122">"学士"</f>
        <v>学士</v>
      </c>
    </row>
    <row r="430" ht="20" customHeight="1" spans="1:8">
      <c r="A430" s="7">
        <v>428</v>
      </c>
      <c r="B430" s="8" t="str">
        <f>"22812020050412090224228"</f>
        <v>22812020050412090224228</v>
      </c>
      <c r="C430" s="8" t="s">
        <v>10</v>
      </c>
      <c r="D430" s="8" t="str">
        <f>"梁嘉倩"</f>
        <v>梁嘉倩</v>
      </c>
      <c r="E430" s="8" t="str">
        <f t="shared" si="120"/>
        <v>女</v>
      </c>
      <c r="F430" s="8" t="str">
        <f>"1995-08-30"</f>
        <v>1995-08-30</v>
      </c>
      <c r="G430" s="8" t="str">
        <f t="shared" si="121"/>
        <v>本科</v>
      </c>
      <c r="H430" s="8" t="str">
        <f t="shared" si="122"/>
        <v>学士</v>
      </c>
    </row>
    <row r="431" ht="20" customHeight="1" spans="1:8">
      <c r="A431" s="7">
        <v>429</v>
      </c>
      <c r="B431" s="8" t="str">
        <f>"22812020050412280124231"</f>
        <v>22812020050412280124231</v>
      </c>
      <c r="C431" s="8" t="s">
        <v>10</v>
      </c>
      <c r="D431" s="8" t="str">
        <f>"杜秀窝"</f>
        <v>杜秀窝</v>
      </c>
      <c r="E431" s="8" t="str">
        <f t="shared" si="120"/>
        <v>女</v>
      </c>
      <c r="F431" s="8" t="str">
        <f>"1996-07-08"</f>
        <v>1996-07-08</v>
      </c>
      <c r="G431" s="8" t="str">
        <f t="shared" si="121"/>
        <v>本科</v>
      </c>
      <c r="H431" s="8" t="str">
        <f t="shared" si="122"/>
        <v>学士</v>
      </c>
    </row>
    <row r="432" ht="20" customHeight="1" spans="1:8">
      <c r="A432" s="7">
        <v>430</v>
      </c>
      <c r="B432" s="8" t="str">
        <f>"22812020050413102124232"</f>
        <v>22812020050413102124232</v>
      </c>
      <c r="C432" s="8" t="s">
        <v>10</v>
      </c>
      <c r="D432" s="8" t="str">
        <f>"邓义雪"</f>
        <v>邓义雪</v>
      </c>
      <c r="E432" s="8" t="str">
        <f t="shared" si="120"/>
        <v>女</v>
      </c>
      <c r="F432" s="8" t="str">
        <f>"1996-04-10"</f>
        <v>1996-04-10</v>
      </c>
      <c r="G432" s="8" t="str">
        <f t="shared" si="121"/>
        <v>本科</v>
      </c>
      <c r="H432" s="8" t="str">
        <f t="shared" si="122"/>
        <v>学士</v>
      </c>
    </row>
    <row r="433" ht="20" customHeight="1" spans="1:8">
      <c r="A433" s="7">
        <v>431</v>
      </c>
      <c r="B433" s="8" t="str">
        <f>"22812020050413460824234"</f>
        <v>22812020050413460824234</v>
      </c>
      <c r="C433" s="8" t="s">
        <v>10</v>
      </c>
      <c r="D433" s="8" t="str">
        <f>"王旭铭"</f>
        <v>王旭铭</v>
      </c>
      <c r="E433" s="8" t="str">
        <f t="shared" ref="E433:E439" si="123">"男"</f>
        <v>男</v>
      </c>
      <c r="F433" s="8" t="str">
        <f>"1997-03-07"</f>
        <v>1997-03-07</v>
      </c>
      <c r="G433" s="8" t="str">
        <f t="shared" si="121"/>
        <v>本科</v>
      </c>
      <c r="H433" s="8" t="str">
        <f t="shared" si="122"/>
        <v>学士</v>
      </c>
    </row>
    <row r="434" ht="20" customHeight="1" spans="1:8">
      <c r="A434" s="7">
        <v>432</v>
      </c>
      <c r="B434" s="8" t="str">
        <f>"22812020050414325924239"</f>
        <v>22812020050414325924239</v>
      </c>
      <c r="C434" s="8" t="s">
        <v>10</v>
      </c>
      <c r="D434" s="8" t="str">
        <f>"刘畅"</f>
        <v>刘畅</v>
      </c>
      <c r="E434" s="8" t="str">
        <f t="shared" ref="E434:E437" si="124">"女"</f>
        <v>女</v>
      </c>
      <c r="F434" s="8" t="str">
        <f>"1986-05-16"</f>
        <v>1986-05-16</v>
      </c>
      <c r="G434" s="8" t="str">
        <f t="shared" si="121"/>
        <v>本科</v>
      </c>
      <c r="H434" s="8" t="str">
        <f t="shared" si="122"/>
        <v>学士</v>
      </c>
    </row>
    <row r="435" ht="20" customHeight="1" spans="1:8">
      <c r="A435" s="7">
        <v>433</v>
      </c>
      <c r="B435" s="8" t="str">
        <f>"22812020050414404724240"</f>
        <v>22812020050414404724240</v>
      </c>
      <c r="C435" s="8" t="s">
        <v>10</v>
      </c>
      <c r="D435" s="8" t="str">
        <f>"陈俊杰"</f>
        <v>陈俊杰</v>
      </c>
      <c r="E435" s="8" t="str">
        <f t="shared" si="123"/>
        <v>男</v>
      </c>
      <c r="F435" s="8" t="str">
        <f>"1996-10-25"</f>
        <v>1996-10-25</v>
      </c>
      <c r="G435" s="8" t="str">
        <f t="shared" si="121"/>
        <v>本科</v>
      </c>
      <c r="H435" s="8" t="str">
        <f t="shared" si="122"/>
        <v>学士</v>
      </c>
    </row>
    <row r="436" ht="20" customHeight="1" spans="1:8">
      <c r="A436" s="7">
        <v>434</v>
      </c>
      <c r="B436" s="8" t="str">
        <f>"22812020050415412524243"</f>
        <v>22812020050415412524243</v>
      </c>
      <c r="C436" s="8" t="s">
        <v>10</v>
      </c>
      <c r="D436" s="8" t="str">
        <f>"唐后艳"</f>
        <v>唐后艳</v>
      </c>
      <c r="E436" s="8" t="str">
        <f t="shared" si="124"/>
        <v>女</v>
      </c>
      <c r="F436" s="8" t="str">
        <f>"1992-08-25"</f>
        <v>1992-08-25</v>
      </c>
      <c r="G436" s="8" t="str">
        <f t="shared" si="121"/>
        <v>本科</v>
      </c>
      <c r="H436" s="8" t="str">
        <f t="shared" si="122"/>
        <v>学士</v>
      </c>
    </row>
    <row r="437" ht="20" customHeight="1" spans="1:8">
      <c r="A437" s="7">
        <v>435</v>
      </c>
      <c r="B437" s="8" t="str">
        <f>"22812020050417015224244"</f>
        <v>22812020050417015224244</v>
      </c>
      <c r="C437" s="8" t="s">
        <v>10</v>
      </c>
      <c r="D437" s="8" t="str">
        <f>"梁婕"</f>
        <v>梁婕</v>
      </c>
      <c r="E437" s="8" t="str">
        <f t="shared" si="124"/>
        <v>女</v>
      </c>
      <c r="F437" s="8" t="str">
        <f>"1998-06-03"</f>
        <v>1998-06-03</v>
      </c>
      <c r="G437" s="8" t="str">
        <f t="shared" si="121"/>
        <v>本科</v>
      </c>
      <c r="H437" s="8" t="str">
        <f t="shared" si="122"/>
        <v>学士</v>
      </c>
    </row>
    <row r="438" ht="20" customHeight="1" spans="1:8">
      <c r="A438" s="7">
        <v>436</v>
      </c>
      <c r="B438" s="8" t="str">
        <f>"22812020050417114824245"</f>
        <v>22812020050417114824245</v>
      </c>
      <c r="C438" s="8" t="s">
        <v>10</v>
      </c>
      <c r="D438" s="8" t="str">
        <f>"郑宇"</f>
        <v>郑宇</v>
      </c>
      <c r="E438" s="8" t="str">
        <f t="shared" si="123"/>
        <v>男</v>
      </c>
      <c r="F438" s="8" t="str">
        <f>"1996-06-15"</f>
        <v>1996-06-15</v>
      </c>
      <c r="G438" s="8" t="str">
        <f t="shared" si="121"/>
        <v>本科</v>
      </c>
      <c r="H438" s="8" t="str">
        <f t="shared" si="122"/>
        <v>学士</v>
      </c>
    </row>
    <row r="439" ht="20" customHeight="1" spans="1:8">
      <c r="A439" s="7">
        <v>437</v>
      </c>
      <c r="B439" s="8" t="str">
        <f>"22812020050420001724248"</f>
        <v>22812020050420001724248</v>
      </c>
      <c r="C439" s="8" t="s">
        <v>10</v>
      </c>
      <c r="D439" s="8" t="str">
        <f>"陈俊宇"</f>
        <v>陈俊宇</v>
      </c>
      <c r="E439" s="8" t="str">
        <f t="shared" si="123"/>
        <v>男</v>
      </c>
      <c r="F439" s="8" t="str">
        <f>"1996-07-08"</f>
        <v>1996-07-08</v>
      </c>
      <c r="G439" s="8" t="str">
        <f t="shared" si="121"/>
        <v>本科</v>
      </c>
      <c r="H439" s="8" t="str">
        <f t="shared" si="122"/>
        <v>学士</v>
      </c>
    </row>
    <row r="440" ht="20" customHeight="1" spans="1:8">
      <c r="A440" s="7">
        <v>438</v>
      </c>
      <c r="B440" s="8" t="str">
        <f>"22812020050422461724256"</f>
        <v>22812020050422461724256</v>
      </c>
      <c r="C440" s="8" t="s">
        <v>10</v>
      </c>
      <c r="D440" s="8" t="str">
        <f>"莫妙云"</f>
        <v>莫妙云</v>
      </c>
      <c r="E440" s="8" t="str">
        <f t="shared" ref="E440:E452" si="125">"女"</f>
        <v>女</v>
      </c>
      <c r="F440" s="8" t="str">
        <f>"1997-12-19"</f>
        <v>1997-12-19</v>
      </c>
      <c r="G440" s="8" t="str">
        <f t="shared" si="121"/>
        <v>本科</v>
      </c>
      <c r="H440" s="8" t="str">
        <f t="shared" si="122"/>
        <v>学士</v>
      </c>
    </row>
    <row r="441" ht="20" customHeight="1" spans="1:8">
      <c r="A441" s="7">
        <v>439</v>
      </c>
      <c r="B441" s="8" t="str">
        <f>"22812020050422481224257"</f>
        <v>22812020050422481224257</v>
      </c>
      <c r="C441" s="8" t="s">
        <v>10</v>
      </c>
      <c r="D441" s="8" t="str">
        <f>"郝方愉"</f>
        <v>郝方愉</v>
      </c>
      <c r="E441" s="8" t="str">
        <f t="shared" si="125"/>
        <v>女</v>
      </c>
      <c r="F441" s="8" t="str">
        <f>"1994-02-21"</f>
        <v>1994-02-21</v>
      </c>
      <c r="G441" s="8" t="str">
        <f t="shared" si="121"/>
        <v>本科</v>
      </c>
      <c r="H441" s="8" t="str">
        <f t="shared" si="122"/>
        <v>学士</v>
      </c>
    </row>
    <row r="442" ht="20" customHeight="1" spans="1:8">
      <c r="A442" s="7">
        <v>440</v>
      </c>
      <c r="B442" s="8" t="str">
        <f>"22812020050423445224259"</f>
        <v>22812020050423445224259</v>
      </c>
      <c r="C442" s="8" t="s">
        <v>10</v>
      </c>
      <c r="D442" s="8" t="str">
        <f>"王海姑"</f>
        <v>王海姑</v>
      </c>
      <c r="E442" s="8" t="str">
        <f t="shared" si="125"/>
        <v>女</v>
      </c>
      <c r="F442" s="8" t="str">
        <f>"1996-05-15"</f>
        <v>1996-05-15</v>
      </c>
      <c r="G442" s="8" t="str">
        <f t="shared" si="121"/>
        <v>本科</v>
      </c>
      <c r="H442" s="8" t="str">
        <f t="shared" si="122"/>
        <v>学士</v>
      </c>
    </row>
    <row r="443" ht="20" customHeight="1" spans="1:8">
      <c r="A443" s="7">
        <v>441</v>
      </c>
      <c r="B443" s="8" t="str">
        <f>"22812020050510203724264"</f>
        <v>22812020050510203724264</v>
      </c>
      <c r="C443" s="8" t="s">
        <v>10</v>
      </c>
      <c r="D443" s="8" t="str">
        <f>"傅奕惟"</f>
        <v>傅奕惟</v>
      </c>
      <c r="E443" s="8" t="str">
        <f t="shared" si="125"/>
        <v>女</v>
      </c>
      <c r="F443" s="8" t="str">
        <f>"1996-12-24"</f>
        <v>1996-12-24</v>
      </c>
      <c r="G443" s="8" t="str">
        <f t="shared" si="121"/>
        <v>本科</v>
      </c>
      <c r="H443" s="8" t="str">
        <f t="shared" si="122"/>
        <v>学士</v>
      </c>
    </row>
    <row r="444" ht="20" customHeight="1" spans="1:8">
      <c r="A444" s="7">
        <v>442</v>
      </c>
      <c r="B444" s="8" t="str">
        <f>"22812020050511353924269"</f>
        <v>22812020050511353924269</v>
      </c>
      <c r="C444" s="8" t="s">
        <v>10</v>
      </c>
      <c r="D444" s="8" t="str">
        <f>"农丽圆"</f>
        <v>农丽圆</v>
      </c>
      <c r="E444" s="8" t="str">
        <f t="shared" si="125"/>
        <v>女</v>
      </c>
      <c r="F444" s="8" t="str">
        <f>"1993-01-08"</f>
        <v>1993-01-08</v>
      </c>
      <c r="G444" s="8" t="str">
        <f t="shared" si="121"/>
        <v>本科</v>
      </c>
      <c r="H444" s="8" t="str">
        <f t="shared" si="122"/>
        <v>学士</v>
      </c>
    </row>
    <row r="445" ht="20" customHeight="1" spans="1:8">
      <c r="A445" s="7">
        <v>443</v>
      </c>
      <c r="B445" s="8" t="str">
        <f>"22812020050511551424271"</f>
        <v>22812020050511551424271</v>
      </c>
      <c r="C445" s="8" t="s">
        <v>10</v>
      </c>
      <c r="D445" s="8" t="str">
        <f>"姚春艳"</f>
        <v>姚春艳</v>
      </c>
      <c r="E445" s="8" t="str">
        <f t="shared" si="125"/>
        <v>女</v>
      </c>
      <c r="F445" s="8" t="str">
        <f>"1985-03-01"</f>
        <v>1985-03-01</v>
      </c>
      <c r="G445" s="8" t="str">
        <f t="shared" si="121"/>
        <v>本科</v>
      </c>
      <c r="H445" s="8" t="str">
        <f t="shared" si="122"/>
        <v>学士</v>
      </c>
    </row>
    <row r="446" ht="20" customHeight="1" spans="1:8">
      <c r="A446" s="7">
        <v>444</v>
      </c>
      <c r="B446" s="8" t="str">
        <f>"22812020050512060624272"</f>
        <v>22812020050512060624272</v>
      </c>
      <c r="C446" s="8" t="s">
        <v>10</v>
      </c>
      <c r="D446" s="8" t="str">
        <f>"江莎莎"</f>
        <v>江莎莎</v>
      </c>
      <c r="E446" s="8" t="str">
        <f t="shared" si="125"/>
        <v>女</v>
      </c>
      <c r="F446" s="8" t="str">
        <f>"1993-09-23"</f>
        <v>1993-09-23</v>
      </c>
      <c r="G446" s="8" t="str">
        <f t="shared" si="121"/>
        <v>本科</v>
      </c>
      <c r="H446" s="8" t="str">
        <f t="shared" si="122"/>
        <v>学士</v>
      </c>
    </row>
    <row r="447" ht="20" customHeight="1" spans="1:8">
      <c r="A447" s="7">
        <v>445</v>
      </c>
      <c r="B447" s="8" t="str">
        <f>"22812020050513093324273"</f>
        <v>22812020050513093324273</v>
      </c>
      <c r="C447" s="8" t="s">
        <v>10</v>
      </c>
      <c r="D447" s="8" t="str">
        <f>"叶雅琪"</f>
        <v>叶雅琪</v>
      </c>
      <c r="E447" s="8" t="str">
        <f t="shared" si="125"/>
        <v>女</v>
      </c>
      <c r="F447" s="8" t="str">
        <f>"1997-04-21"</f>
        <v>1997-04-21</v>
      </c>
      <c r="G447" s="8" t="str">
        <f t="shared" si="121"/>
        <v>本科</v>
      </c>
      <c r="H447" s="8" t="str">
        <f t="shared" si="122"/>
        <v>学士</v>
      </c>
    </row>
    <row r="448" ht="20" customHeight="1" spans="1:8">
      <c r="A448" s="7">
        <v>446</v>
      </c>
      <c r="B448" s="8" t="str">
        <f>"22812020050513250624274"</f>
        <v>22812020050513250624274</v>
      </c>
      <c r="C448" s="8" t="s">
        <v>10</v>
      </c>
      <c r="D448" s="8" t="str">
        <f>"安然"</f>
        <v>安然</v>
      </c>
      <c r="E448" s="8" t="str">
        <f t="shared" si="125"/>
        <v>女</v>
      </c>
      <c r="F448" s="8" t="str">
        <f>"1992-08-02"</f>
        <v>1992-08-02</v>
      </c>
      <c r="G448" s="8" t="str">
        <f t="shared" si="121"/>
        <v>本科</v>
      </c>
      <c r="H448" s="8" t="str">
        <f t="shared" si="122"/>
        <v>学士</v>
      </c>
    </row>
    <row r="449" ht="20" customHeight="1" spans="1:8">
      <c r="A449" s="7">
        <v>447</v>
      </c>
      <c r="B449" s="8" t="str">
        <f>"22812020050513472724276"</f>
        <v>22812020050513472724276</v>
      </c>
      <c r="C449" s="8" t="s">
        <v>10</v>
      </c>
      <c r="D449" s="8" t="str">
        <f>"王向盈"</f>
        <v>王向盈</v>
      </c>
      <c r="E449" s="8" t="str">
        <f t="shared" si="125"/>
        <v>女</v>
      </c>
      <c r="F449" s="8" t="str">
        <f>"1997-07-06"</f>
        <v>1997-07-06</v>
      </c>
      <c r="G449" s="8" t="str">
        <f t="shared" si="121"/>
        <v>本科</v>
      </c>
      <c r="H449" s="8" t="str">
        <f t="shared" si="122"/>
        <v>学士</v>
      </c>
    </row>
    <row r="450" ht="20" customHeight="1" spans="1:8">
      <c r="A450" s="7">
        <v>448</v>
      </c>
      <c r="B450" s="8" t="str">
        <f>"22812020050514255024279"</f>
        <v>22812020050514255024279</v>
      </c>
      <c r="C450" s="8" t="s">
        <v>10</v>
      </c>
      <c r="D450" s="8" t="str">
        <f>"蔡卓希"</f>
        <v>蔡卓希</v>
      </c>
      <c r="E450" s="8" t="str">
        <f t="shared" si="125"/>
        <v>女</v>
      </c>
      <c r="F450" s="8" t="str">
        <f>"1996-02-20"</f>
        <v>1996-02-20</v>
      </c>
      <c r="G450" s="8" t="str">
        <f t="shared" si="121"/>
        <v>本科</v>
      </c>
      <c r="H450" s="8" t="str">
        <f t="shared" si="122"/>
        <v>学士</v>
      </c>
    </row>
    <row r="451" ht="20" customHeight="1" spans="1:8">
      <c r="A451" s="7">
        <v>449</v>
      </c>
      <c r="B451" s="8" t="str">
        <f>"22812020050514590324283"</f>
        <v>22812020050514590324283</v>
      </c>
      <c r="C451" s="8" t="s">
        <v>10</v>
      </c>
      <c r="D451" s="8" t="str">
        <f>"吴莹"</f>
        <v>吴莹</v>
      </c>
      <c r="E451" s="8" t="str">
        <f t="shared" si="125"/>
        <v>女</v>
      </c>
      <c r="F451" s="8" t="str">
        <f>"1995-03-11"</f>
        <v>1995-03-11</v>
      </c>
      <c r="G451" s="8" t="str">
        <f t="shared" si="121"/>
        <v>本科</v>
      </c>
      <c r="H451" s="8" t="str">
        <f t="shared" si="122"/>
        <v>学士</v>
      </c>
    </row>
    <row r="452" ht="20" customHeight="1" spans="1:8">
      <c r="A452" s="7">
        <v>450</v>
      </c>
      <c r="B452" s="8" t="str">
        <f>"22812020050515580324290"</f>
        <v>22812020050515580324290</v>
      </c>
      <c r="C452" s="8" t="s">
        <v>10</v>
      </c>
      <c r="D452" s="8" t="str">
        <f>"欧洋洋"</f>
        <v>欧洋洋</v>
      </c>
      <c r="E452" s="8" t="str">
        <f t="shared" si="125"/>
        <v>女</v>
      </c>
      <c r="F452" s="8" t="str">
        <f>"1991-04-20"</f>
        <v>1991-04-20</v>
      </c>
      <c r="G452" s="8" t="str">
        <f t="shared" si="121"/>
        <v>本科</v>
      </c>
      <c r="H452" s="8" t="str">
        <f t="shared" si="122"/>
        <v>学士</v>
      </c>
    </row>
    <row r="453" ht="20" customHeight="1" spans="1:8">
      <c r="A453" s="7">
        <v>451</v>
      </c>
      <c r="B453" s="8" t="str">
        <f>"22812020050516553724295"</f>
        <v>22812020050516553724295</v>
      </c>
      <c r="C453" s="8" t="s">
        <v>10</v>
      </c>
      <c r="D453" s="8" t="str">
        <f>"肖景星"</f>
        <v>肖景星</v>
      </c>
      <c r="E453" s="8" t="str">
        <f>"男"</f>
        <v>男</v>
      </c>
      <c r="F453" s="8" t="str">
        <f>"1994-07-15"</f>
        <v>1994-07-15</v>
      </c>
      <c r="G453" s="8" t="str">
        <f t="shared" si="121"/>
        <v>本科</v>
      </c>
      <c r="H453" s="8" t="str">
        <f t="shared" si="122"/>
        <v>学士</v>
      </c>
    </row>
  </sheetData>
  <autoFilter ref="A2:H453">
    <sortState ref="A2:H453">
      <sortCondition ref="C1"/>
    </sortState>
    <extLst/>
  </autoFilter>
  <mergeCells count="1">
    <mergeCell ref="A1:H1"/>
  </mergeCells>
  <printOptions horizontalCentered="1"/>
  <pageMargins left="0.432638888888889" right="0.354166666666667" top="0.511805555555556" bottom="0.471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2281_5ed5cbf8cfb70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seaman</cp:lastModifiedBy>
  <dcterms:created xsi:type="dcterms:W3CDTF">2020-06-02T03:56:00Z</dcterms:created>
  <dcterms:modified xsi:type="dcterms:W3CDTF">2020-06-15T02:09:58Z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