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15"/>
  </bookViews>
  <sheets>
    <sheet name="合格-三亚市科技工业信息化局2020年公开公开招聘下属事业单位" sheetId="1" r:id="rId1"/>
  </sheets>
  <definedNames>
    <definedName name="_xlnm._FilterDatabase" localSheetId="0" hidden="1">'合格-三亚市科技工业信息化局2020年公开公开招聘下属事业单位'!$A$2:$J$255</definedName>
  </definedNames>
  <calcPr calcId="144525" refMode="R1C1"/>
</workbook>
</file>

<file path=xl/sharedStrings.xml><?xml version="1.0" encoding="utf-8"?>
<sst xmlns="http://schemas.openxmlformats.org/spreadsheetml/2006/main" count="265">
  <si>
    <t>三亚市科技工业信息化局2020年公开招聘下属事业单位工作人员
资格初审合格人员名单</t>
  </si>
  <si>
    <t>序号</t>
  </si>
  <si>
    <t>报考岗位</t>
  </si>
  <si>
    <t>姓名</t>
  </si>
  <si>
    <t>性别</t>
  </si>
  <si>
    <t>出生年月</t>
  </si>
  <si>
    <t>身份证后6位</t>
  </si>
  <si>
    <t>民族</t>
  </si>
  <si>
    <t>政治面貌</t>
  </si>
  <si>
    <t>学历</t>
  </si>
  <si>
    <t>学位</t>
  </si>
  <si>
    <t>0101_专业技术岗</t>
  </si>
  <si>
    <t>044469</t>
  </si>
  <si>
    <t>171526</t>
  </si>
  <si>
    <t>085159</t>
  </si>
  <si>
    <t>28751X</t>
  </si>
  <si>
    <t>094316</t>
  </si>
  <si>
    <t>175519</t>
  </si>
  <si>
    <t>063810</t>
  </si>
  <si>
    <t>281624</t>
  </si>
  <si>
    <t>315115</t>
  </si>
  <si>
    <t>205337</t>
  </si>
  <si>
    <t>295330</t>
  </si>
  <si>
    <t>226127</t>
  </si>
  <si>
    <t>09271X</t>
  </si>
  <si>
    <t>214517</t>
  </si>
  <si>
    <t>065237</t>
  </si>
  <si>
    <t>10470X</t>
  </si>
  <si>
    <t>240057</t>
  </si>
  <si>
    <t>185537</t>
  </si>
  <si>
    <t>203211</t>
  </si>
  <si>
    <t>111028</t>
  </si>
  <si>
    <t>013609</t>
  </si>
  <si>
    <t>172852</t>
  </si>
  <si>
    <t>120180</t>
  </si>
  <si>
    <t>084423</t>
  </si>
  <si>
    <t>190011</t>
  </si>
  <si>
    <t>231517</t>
  </si>
  <si>
    <t>245675</t>
  </si>
  <si>
    <t>202874</t>
  </si>
  <si>
    <t>144916</t>
  </si>
  <si>
    <t>29721X</t>
  </si>
  <si>
    <t>244946</t>
  </si>
  <si>
    <t>184843</t>
  </si>
  <si>
    <t>275539</t>
  </si>
  <si>
    <t>011195</t>
  </si>
  <si>
    <t>220016</t>
  </si>
  <si>
    <t>143273</t>
  </si>
  <si>
    <t>261013</t>
  </si>
  <si>
    <t>030017</t>
  </si>
  <si>
    <t>16028X</t>
  </si>
  <si>
    <t>24001X</t>
  </si>
  <si>
    <t>045417</t>
  </si>
  <si>
    <t>235513</t>
  </si>
  <si>
    <t>297579</t>
  </si>
  <si>
    <t>170014</t>
  </si>
  <si>
    <t>075792</t>
  </si>
  <si>
    <t>082315</t>
  </si>
  <si>
    <t>061370</t>
  </si>
  <si>
    <t>294718</t>
  </si>
  <si>
    <t>021811</t>
  </si>
  <si>
    <t>053312</t>
  </si>
  <si>
    <t>197629</t>
  </si>
  <si>
    <t>105117</t>
  </si>
  <si>
    <t>100035</t>
  </si>
  <si>
    <t>20332X</t>
  </si>
  <si>
    <t>184696</t>
  </si>
  <si>
    <t>07028X</t>
  </si>
  <si>
    <t>283829</t>
  </si>
  <si>
    <t>212411</t>
  </si>
  <si>
    <t>180014</t>
  </si>
  <si>
    <t>26151X</t>
  </si>
  <si>
    <t>010434</t>
  </si>
  <si>
    <t>020028</t>
  </si>
  <si>
    <t>190229</t>
  </si>
  <si>
    <t>080012</t>
  </si>
  <si>
    <t>31501X</t>
  </si>
  <si>
    <t>240838</t>
  </si>
  <si>
    <t>280521</t>
  </si>
  <si>
    <t>13003X</t>
  </si>
  <si>
    <t>217914</t>
  </si>
  <si>
    <t>02481X</t>
  </si>
  <si>
    <t>280017</t>
  </si>
  <si>
    <t>176078</t>
  </si>
  <si>
    <t>257219</t>
  </si>
  <si>
    <t>200048</t>
  </si>
  <si>
    <t>184831</t>
  </si>
  <si>
    <t>172827</t>
  </si>
  <si>
    <t>257317</t>
  </si>
  <si>
    <t>210069</t>
  </si>
  <si>
    <t>051224</t>
  </si>
  <si>
    <t>254438</t>
  </si>
  <si>
    <t>204871</t>
  </si>
  <si>
    <t>284494</t>
  </si>
  <si>
    <t>062336</t>
  </si>
  <si>
    <t>203764</t>
  </si>
  <si>
    <t>232520</t>
  </si>
  <si>
    <t>10620X</t>
  </si>
  <si>
    <t>223591</t>
  </si>
  <si>
    <t>082030</t>
  </si>
  <si>
    <t>235210</t>
  </si>
  <si>
    <t>203228</t>
  </si>
  <si>
    <t>124437</t>
  </si>
  <si>
    <t>244553</t>
  </si>
  <si>
    <t>074684</t>
  </si>
  <si>
    <t>066419</t>
  </si>
  <si>
    <t>317913</t>
  </si>
  <si>
    <t>22001X</t>
  </si>
  <si>
    <t>226319</t>
  </si>
  <si>
    <t>087657</t>
  </si>
  <si>
    <t>181423</t>
  </si>
  <si>
    <t>210217</t>
  </si>
  <si>
    <t>034489</t>
  </si>
  <si>
    <t>180613</t>
  </si>
  <si>
    <t>201176</t>
  </si>
  <si>
    <t>235813</t>
  </si>
  <si>
    <t>191193</t>
  </si>
  <si>
    <t>290337</t>
  </si>
  <si>
    <t>057227</t>
  </si>
  <si>
    <t>224485</t>
  </si>
  <si>
    <t>220017</t>
  </si>
  <si>
    <t>080614</t>
  </si>
  <si>
    <t>300067</t>
  </si>
  <si>
    <t>25275X</t>
  </si>
  <si>
    <t>183453</t>
  </si>
  <si>
    <t>094125</t>
  </si>
  <si>
    <t>158108</t>
  </si>
  <si>
    <t>083279</t>
  </si>
  <si>
    <t>180428</t>
  </si>
  <si>
    <t>06249X</t>
  </si>
  <si>
    <t>135331</t>
  </si>
  <si>
    <t>082123</t>
  </si>
  <si>
    <t>030321</t>
  </si>
  <si>
    <t>023185</t>
  </si>
  <si>
    <t>241363</t>
  </si>
  <si>
    <t>017423</t>
  </si>
  <si>
    <t>084671</t>
  </si>
  <si>
    <t>047228</t>
  </si>
  <si>
    <t>162585</t>
  </si>
  <si>
    <t>155713</t>
  </si>
  <si>
    <t>021851</t>
  </si>
  <si>
    <t>057336</t>
  </si>
  <si>
    <t>05661X</t>
  </si>
  <si>
    <t>030053</t>
  </si>
  <si>
    <t>270282</t>
  </si>
  <si>
    <t>255716</t>
  </si>
  <si>
    <t>252018</t>
  </si>
  <si>
    <t>174694</t>
  </si>
  <si>
    <t>040817</t>
  </si>
  <si>
    <t>067797</t>
  </si>
  <si>
    <t>144716</t>
  </si>
  <si>
    <t>014435</t>
  </si>
  <si>
    <t>102321</t>
  </si>
  <si>
    <t>037819</t>
  </si>
  <si>
    <t>104930</t>
  </si>
  <si>
    <t>212025</t>
  </si>
  <si>
    <t>194024</t>
  </si>
  <si>
    <t>07333X</t>
  </si>
  <si>
    <t>080717</t>
  </si>
  <si>
    <t>041216</t>
  </si>
  <si>
    <t>13256X</t>
  </si>
  <si>
    <t>210028</t>
  </si>
  <si>
    <t>060856</t>
  </si>
  <si>
    <t>280012</t>
  </si>
  <si>
    <t>014384</t>
  </si>
  <si>
    <t>103871</t>
  </si>
  <si>
    <t>062341</t>
  </si>
  <si>
    <t>270010</t>
  </si>
  <si>
    <t>144413</t>
  </si>
  <si>
    <t>240024</t>
  </si>
  <si>
    <t>210030</t>
  </si>
  <si>
    <t>250927</t>
  </si>
  <si>
    <t>27051X</t>
  </si>
  <si>
    <t>255154</t>
  </si>
  <si>
    <t>08042X</t>
  </si>
  <si>
    <t>170418</t>
  </si>
  <si>
    <t>243918</t>
  </si>
  <si>
    <t>200713</t>
  </si>
  <si>
    <t>025722</t>
  </si>
  <si>
    <t>183334</t>
  </si>
  <si>
    <t>270027</t>
  </si>
  <si>
    <t>154812</t>
  </si>
  <si>
    <t>170278</t>
  </si>
  <si>
    <t>123256</t>
  </si>
  <si>
    <t>270016</t>
  </si>
  <si>
    <t>150011</t>
  </si>
  <si>
    <t>300512</t>
  </si>
  <si>
    <t>273284</t>
  </si>
  <si>
    <t>203886</t>
  </si>
  <si>
    <t>025337</t>
  </si>
  <si>
    <t>07606X</t>
  </si>
  <si>
    <t>010212</t>
  </si>
  <si>
    <t>123922</t>
  </si>
  <si>
    <t>092254</t>
  </si>
  <si>
    <t>08651X</t>
  </si>
  <si>
    <t>050459</t>
  </si>
  <si>
    <t>055521</t>
  </si>
  <si>
    <t>18051X</t>
  </si>
  <si>
    <t>070302</t>
  </si>
  <si>
    <t>223022</t>
  </si>
  <si>
    <t>045364</t>
  </si>
  <si>
    <t>223177</t>
  </si>
  <si>
    <t>060012</t>
  </si>
  <si>
    <t>115721</t>
  </si>
  <si>
    <t>150511</t>
  </si>
  <si>
    <t>190823</t>
  </si>
  <si>
    <t>112311</t>
  </si>
  <si>
    <t>207227</t>
  </si>
  <si>
    <t>220019</t>
  </si>
  <si>
    <t>05165X</t>
  </si>
  <si>
    <t>095733</t>
  </si>
  <si>
    <t>190926</t>
  </si>
  <si>
    <t>174471</t>
  </si>
  <si>
    <t>070214</t>
  </si>
  <si>
    <t>082617</t>
  </si>
  <si>
    <t>061878</t>
  </si>
  <si>
    <t>014793</t>
  </si>
  <si>
    <t>247419</t>
  </si>
  <si>
    <t>151612</t>
  </si>
  <si>
    <t>020889</t>
  </si>
  <si>
    <t>225127</t>
  </si>
  <si>
    <t>03651X</t>
  </si>
  <si>
    <t>074723</t>
  </si>
  <si>
    <t>200329</t>
  </si>
  <si>
    <t>105095</t>
  </si>
  <si>
    <t>242013</t>
  </si>
  <si>
    <t>180221</t>
  </si>
  <si>
    <t>210057</t>
  </si>
  <si>
    <t>020021</t>
  </si>
  <si>
    <t>16511X</t>
  </si>
  <si>
    <t>092112</t>
  </si>
  <si>
    <t>260110</t>
  </si>
  <si>
    <t>276151</t>
  </si>
  <si>
    <t>089818</t>
  </si>
  <si>
    <t>077519</t>
  </si>
  <si>
    <t>104310</t>
  </si>
  <si>
    <t>051816</t>
  </si>
  <si>
    <t>050431</t>
  </si>
  <si>
    <t>170840</t>
  </si>
  <si>
    <t>030951</t>
  </si>
  <si>
    <t>170016</t>
  </si>
  <si>
    <t>041344</t>
  </si>
  <si>
    <t>063534</t>
  </si>
  <si>
    <t>090028</t>
  </si>
  <si>
    <t>130030</t>
  </si>
  <si>
    <t>010516</t>
  </si>
  <si>
    <t>281023</t>
  </si>
  <si>
    <t>054837</t>
  </si>
  <si>
    <t>056314</t>
  </si>
  <si>
    <t>133712</t>
  </si>
  <si>
    <t>170512</t>
  </si>
  <si>
    <t>212013</t>
  </si>
  <si>
    <t>212929</t>
  </si>
  <si>
    <t>293587</t>
  </si>
  <si>
    <t>180272</t>
  </si>
  <si>
    <t>233330</t>
  </si>
  <si>
    <t>221569</t>
  </si>
  <si>
    <t>150526</t>
  </si>
  <si>
    <t>042232</t>
  </si>
  <si>
    <t>050418</t>
  </si>
  <si>
    <t>071240</t>
  </si>
  <si>
    <t>080619</t>
  </si>
  <si>
    <t>215522</t>
  </si>
  <si>
    <t>173213</t>
  </si>
  <si>
    <t>012079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</si>
</sst>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8" fillId="25" borderId="9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5"/>
  <sheetViews>
    <sheetView tabSelected="1" workbookViewId="0">
      <pane ySplit="2" topLeftCell="A85" activePane="bottomLeft" state="frozen"/>
      <selection/>
      <selection pane="bottomLeft" activeCell="A1" sqref="A1:J1"/>
    </sheetView>
  </sheetViews>
  <sheetFormatPr defaultColWidth="9" defaultRowHeight="27" customHeight="1"/>
  <cols>
    <col min="1" max="1" width="6.5" style="3" customWidth="1"/>
    <col min="2" max="2" width="17" style="3" customWidth="1"/>
    <col min="3" max="3" width="9" style="3" customWidth="1"/>
    <col min="4" max="4" width="7.375" style="3" customWidth="1"/>
    <col min="5" max="5" width="12.5" style="3" customWidth="1"/>
    <col min="6" max="6" width="15.125" style="3" customWidth="1"/>
    <col min="7" max="7" width="7.625" style="3" customWidth="1"/>
    <col min="8" max="8" width="10.5" style="3" customWidth="1"/>
    <col min="9" max="9" width="7.85" style="3" customWidth="1"/>
    <col min="10" max="10" width="7.13333333333333" style="3" customWidth="1"/>
    <col min="11" max="16384" width="9" style="3"/>
  </cols>
  <sheetData>
    <row r="1" ht="49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customHeight="1" spans="1:10">
      <c r="A3" s="5">
        <v>1</v>
      </c>
      <c r="B3" s="5" t="s">
        <v>11</v>
      </c>
      <c r="C3" s="5" t="str">
        <f>"陈秋蕾"</f>
        <v>陈秋蕾</v>
      </c>
      <c r="D3" s="5" t="str">
        <f>"女"</f>
        <v>女</v>
      </c>
      <c r="E3" s="5" t="str">
        <f>"1993-06-04"</f>
        <v>1993-06-04</v>
      </c>
      <c r="F3" s="7" t="s">
        <v>12</v>
      </c>
      <c r="G3" s="5" t="str">
        <f>"汉族"</f>
        <v>汉族</v>
      </c>
      <c r="H3" s="5" t="str">
        <f t="shared" ref="H3:H7" si="0">"共青团员"</f>
        <v>共青团员</v>
      </c>
      <c r="I3" s="5" t="str">
        <f t="shared" ref="I3:I6" si="1">"本科"</f>
        <v>本科</v>
      </c>
      <c r="J3" s="5" t="str">
        <f t="shared" ref="J3:J6" si="2">"学士"</f>
        <v>学士</v>
      </c>
    </row>
    <row r="4" s="2" customFormat="1" customHeight="1" spans="1:10">
      <c r="A4" s="5">
        <v>2</v>
      </c>
      <c r="B4" s="5" t="s">
        <v>11</v>
      </c>
      <c r="C4" s="5" t="str">
        <f>"孔晨露"</f>
        <v>孔晨露</v>
      </c>
      <c r="D4" s="5" t="str">
        <f>"女"</f>
        <v>女</v>
      </c>
      <c r="E4" s="5" t="str">
        <f>"1996-10-17"</f>
        <v>1996-10-17</v>
      </c>
      <c r="F4" s="5" t="s">
        <v>13</v>
      </c>
      <c r="G4" s="5" t="str">
        <f>"汉族"</f>
        <v>汉族</v>
      </c>
      <c r="H4" s="5" t="str">
        <f t="shared" si="0"/>
        <v>共青团员</v>
      </c>
      <c r="I4" s="5" t="str">
        <f t="shared" si="1"/>
        <v>本科</v>
      </c>
      <c r="J4" s="5" t="str">
        <f t="shared" si="2"/>
        <v>学士</v>
      </c>
    </row>
    <row r="5" s="2" customFormat="1" customHeight="1" spans="1:10">
      <c r="A5" s="5">
        <v>3</v>
      </c>
      <c r="B5" s="5" t="s">
        <v>11</v>
      </c>
      <c r="C5" s="5" t="str">
        <f>"符福辉"</f>
        <v>符福辉</v>
      </c>
      <c r="D5" s="5" t="str">
        <f t="shared" ref="D5:D9" si="3">"男"</f>
        <v>男</v>
      </c>
      <c r="E5" s="5" t="str">
        <f>"1996-01-08"</f>
        <v>1996-01-08</v>
      </c>
      <c r="F5" s="5" t="s">
        <v>14</v>
      </c>
      <c r="G5" s="5" t="str">
        <f>"汉族"</f>
        <v>汉族</v>
      </c>
      <c r="H5" s="5" t="str">
        <f t="shared" si="0"/>
        <v>共青团员</v>
      </c>
      <c r="I5" s="5" t="str">
        <f t="shared" si="1"/>
        <v>本科</v>
      </c>
      <c r="J5" s="5" t="str">
        <f t="shared" si="2"/>
        <v>学士</v>
      </c>
    </row>
    <row r="6" s="2" customFormat="1" ht="32" customHeight="1" spans="1:10">
      <c r="A6" s="5">
        <v>4</v>
      </c>
      <c r="B6" s="5" t="s">
        <v>11</v>
      </c>
      <c r="C6" s="5" t="str">
        <f>"于航"</f>
        <v>于航</v>
      </c>
      <c r="D6" s="5" t="str">
        <f t="shared" si="3"/>
        <v>男</v>
      </c>
      <c r="E6" s="5" t="str">
        <f>"1989-02-28"</f>
        <v>1989-02-28</v>
      </c>
      <c r="F6" s="5" t="s">
        <v>15</v>
      </c>
      <c r="G6" s="5" t="str">
        <f>"蒙族"</f>
        <v>蒙族</v>
      </c>
      <c r="H6" s="5" t="str">
        <f>"群众"</f>
        <v>群众</v>
      </c>
      <c r="I6" s="5" t="str">
        <f t="shared" si="1"/>
        <v>本科</v>
      </c>
      <c r="J6" s="5" t="str">
        <f t="shared" si="2"/>
        <v>学士</v>
      </c>
    </row>
    <row r="7" s="2" customFormat="1" customHeight="1" spans="1:10">
      <c r="A7" s="5">
        <v>5</v>
      </c>
      <c r="B7" s="5" t="s">
        <v>11</v>
      </c>
      <c r="C7" s="5" t="str">
        <f>"陈安康"</f>
        <v>陈安康</v>
      </c>
      <c r="D7" s="5" t="str">
        <f t="shared" si="3"/>
        <v>男</v>
      </c>
      <c r="E7" s="5" t="str">
        <f>"1997-12-09"</f>
        <v>1997-12-09</v>
      </c>
      <c r="F7" s="5" t="s">
        <v>16</v>
      </c>
      <c r="G7" s="5" t="str">
        <f t="shared" ref="G7:G14" si="4">"汉族"</f>
        <v>汉族</v>
      </c>
      <c r="H7" s="5" t="str">
        <f t="shared" si="0"/>
        <v>共青团员</v>
      </c>
      <c r="I7" s="5" t="str">
        <f t="shared" ref="I7:I46" si="5">"本科"</f>
        <v>本科</v>
      </c>
      <c r="J7" s="5" t="str">
        <f t="shared" ref="J7:J22" si="6">"学士"</f>
        <v>学士</v>
      </c>
    </row>
    <row r="8" s="2" customFormat="1" customHeight="1" spans="1:10">
      <c r="A8" s="5">
        <v>6</v>
      </c>
      <c r="B8" s="5" t="s">
        <v>11</v>
      </c>
      <c r="C8" s="5" t="str">
        <f>"黎培富"</f>
        <v>黎培富</v>
      </c>
      <c r="D8" s="5" t="str">
        <f t="shared" si="3"/>
        <v>男</v>
      </c>
      <c r="E8" s="5" t="str">
        <f>"1988-10-17"</f>
        <v>1988-10-17</v>
      </c>
      <c r="F8" s="5" t="s">
        <v>17</v>
      </c>
      <c r="G8" s="5" t="str">
        <f t="shared" si="4"/>
        <v>汉族</v>
      </c>
      <c r="H8" s="5" t="str">
        <f t="shared" ref="H8:H12" si="7">"群众"</f>
        <v>群众</v>
      </c>
      <c r="I8" s="5" t="str">
        <f t="shared" si="5"/>
        <v>本科</v>
      </c>
      <c r="J8" s="5" t="str">
        <f t="shared" si="6"/>
        <v>学士</v>
      </c>
    </row>
    <row r="9" s="2" customFormat="1" customHeight="1" spans="1:10">
      <c r="A9" s="5">
        <v>7</v>
      </c>
      <c r="B9" s="5" t="s">
        <v>11</v>
      </c>
      <c r="C9" s="5" t="str">
        <f>"苏杰民"</f>
        <v>苏杰民</v>
      </c>
      <c r="D9" s="5" t="str">
        <f t="shared" si="3"/>
        <v>男</v>
      </c>
      <c r="E9" s="5" t="str">
        <f>"1993-01-06"</f>
        <v>1993-01-06</v>
      </c>
      <c r="F9" s="5" t="s">
        <v>18</v>
      </c>
      <c r="G9" s="5" t="str">
        <f t="shared" si="4"/>
        <v>汉族</v>
      </c>
      <c r="H9" s="5" t="str">
        <f>"共青团员"</f>
        <v>共青团员</v>
      </c>
      <c r="I9" s="5" t="str">
        <f t="shared" si="5"/>
        <v>本科</v>
      </c>
      <c r="J9" s="5" t="str">
        <f t="shared" si="6"/>
        <v>学士</v>
      </c>
    </row>
    <row r="10" s="2" customFormat="1" customHeight="1" spans="1:10">
      <c r="A10" s="5">
        <v>8</v>
      </c>
      <c r="B10" s="5" t="s">
        <v>11</v>
      </c>
      <c r="C10" s="5" t="str">
        <f>"王思文"</f>
        <v>王思文</v>
      </c>
      <c r="D10" s="5" t="str">
        <f>"女"</f>
        <v>女</v>
      </c>
      <c r="E10" s="5" t="str">
        <f>"1992-06-28"</f>
        <v>1992-06-28</v>
      </c>
      <c r="F10" s="5" t="s">
        <v>19</v>
      </c>
      <c r="G10" s="5" t="str">
        <f t="shared" si="4"/>
        <v>汉族</v>
      </c>
      <c r="H10" s="5" t="str">
        <f t="shared" si="7"/>
        <v>群众</v>
      </c>
      <c r="I10" s="5" t="str">
        <f t="shared" si="5"/>
        <v>本科</v>
      </c>
      <c r="J10" s="5" t="str">
        <f t="shared" si="6"/>
        <v>学士</v>
      </c>
    </row>
    <row r="11" s="2" customFormat="1" customHeight="1" spans="1:10">
      <c r="A11" s="5">
        <v>9</v>
      </c>
      <c r="B11" s="5" t="s">
        <v>11</v>
      </c>
      <c r="C11" s="5" t="str">
        <f>"符永茂"</f>
        <v>符永茂</v>
      </c>
      <c r="D11" s="5" t="str">
        <f t="shared" ref="D11:D13" si="8">"男"</f>
        <v>男</v>
      </c>
      <c r="E11" s="5" t="str">
        <f>"1998-01-31"</f>
        <v>1998-01-31</v>
      </c>
      <c r="F11" s="5" t="s">
        <v>20</v>
      </c>
      <c r="G11" s="5" t="str">
        <f t="shared" si="4"/>
        <v>汉族</v>
      </c>
      <c r="H11" s="5" t="str">
        <f>"中共党员"</f>
        <v>中共党员</v>
      </c>
      <c r="I11" s="5" t="str">
        <f t="shared" si="5"/>
        <v>本科</v>
      </c>
      <c r="J11" s="5" t="str">
        <f t="shared" si="6"/>
        <v>学士</v>
      </c>
    </row>
    <row r="12" s="2" customFormat="1" customHeight="1" spans="1:10">
      <c r="A12" s="5">
        <v>10</v>
      </c>
      <c r="B12" s="5" t="s">
        <v>11</v>
      </c>
      <c r="C12" s="5" t="str">
        <f>"刘锡"</f>
        <v>刘锡</v>
      </c>
      <c r="D12" s="5" t="str">
        <f t="shared" si="8"/>
        <v>男</v>
      </c>
      <c r="E12" s="5" t="str">
        <f>"1990-05-20"</f>
        <v>1990-05-20</v>
      </c>
      <c r="F12" s="5" t="s">
        <v>21</v>
      </c>
      <c r="G12" s="5" t="str">
        <f t="shared" si="4"/>
        <v>汉族</v>
      </c>
      <c r="H12" s="5" t="str">
        <f t="shared" si="7"/>
        <v>群众</v>
      </c>
      <c r="I12" s="5" t="str">
        <f t="shared" si="5"/>
        <v>本科</v>
      </c>
      <c r="J12" s="5" t="str">
        <f t="shared" si="6"/>
        <v>学士</v>
      </c>
    </row>
    <row r="13" s="2" customFormat="1" customHeight="1" spans="1:10">
      <c r="A13" s="5">
        <v>11</v>
      </c>
      <c r="B13" s="5" t="s">
        <v>11</v>
      </c>
      <c r="C13" s="5" t="str">
        <f>"吴易凡"</f>
        <v>吴易凡</v>
      </c>
      <c r="D13" s="5" t="str">
        <f t="shared" si="8"/>
        <v>男</v>
      </c>
      <c r="E13" s="5" t="str">
        <f>"1997-07-29"</f>
        <v>1997-07-29</v>
      </c>
      <c r="F13" s="5" t="s">
        <v>22</v>
      </c>
      <c r="G13" s="5" t="str">
        <f t="shared" si="4"/>
        <v>汉族</v>
      </c>
      <c r="H13" s="5" t="str">
        <f t="shared" ref="H13:H17" si="9">"共青团员"</f>
        <v>共青团员</v>
      </c>
      <c r="I13" s="5" t="str">
        <f t="shared" si="5"/>
        <v>本科</v>
      </c>
      <c r="J13" s="5" t="str">
        <f t="shared" si="6"/>
        <v>学士</v>
      </c>
    </row>
    <row r="14" s="2" customFormat="1" customHeight="1" spans="1:10">
      <c r="A14" s="5">
        <v>12</v>
      </c>
      <c r="B14" s="5" t="s">
        <v>11</v>
      </c>
      <c r="C14" s="5" t="str">
        <f>"王璐"</f>
        <v>王璐</v>
      </c>
      <c r="D14" s="5" t="str">
        <f>"女"</f>
        <v>女</v>
      </c>
      <c r="E14" s="5" t="str">
        <f>"1995-09-22"</f>
        <v>1995-09-22</v>
      </c>
      <c r="F14" s="5" t="s">
        <v>23</v>
      </c>
      <c r="G14" s="5" t="str">
        <f t="shared" si="4"/>
        <v>汉族</v>
      </c>
      <c r="H14" s="5" t="str">
        <f t="shared" si="9"/>
        <v>共青团员</v>
      </c>
      <c r="I14" s="5" t="str">
        <f t="shared" si="5"/>
        <v>本科</v>
      </c>
      <c r="J14" s="5" t="str">
        <f t="shared" si="6"/>
        <v>学士</v>
      </c>
    </row>
    <row r="15" s="2" customFormat="1" customHeight="1" spans="1:10">
      <c r="A15" s="5">
        <v>13</v>
      </c>
      <c r="B15" s="5" t="s">
        <v>11</v>
      </c>
      <c r="C15" s="5" t="str">
        <f>"林明飞"</f>
        <v>林明飞</v>
      </c>
      <c r="D15" s="5" t="str">
        <f t="shared" ref="D15:D17" si="10">"男"</f>
        <v>男</v>
      </c>
      <c r="E15" s="5" t="str">
        <f>"1997-11-09"</f>
        <v>1997-11-09</v>
      </c>
      <c r="F15" s="5" t="s">
        <v>24</v>
      </c>
      <c r="G15" s="5" t="str">
        <f t="shared" ref="G15:G22" si="11">"汉族"</f>
        <v>汉族</v>
      </c>
      <c r="H15" s="5" t="str">
        <f t="shared" si="9"/>
        <v>共青团员</v>
      </c>
      <c r="I15" s="5" t="str">
        <f t="shared" si="5"/>
        <v>本科</v>
      </c>
      <c r="J15" s="5" t="str">
        <f t="shared" si="6"/>
        <v>学士</v>
      </c>
    </row>
    <row r="16" s="2" customFormat="1" customHeight="1" spans="1:10">
      <c r="A16" s="5">
        <v>14</v>
      </c>
      <c r="B16" s="5" t="s">
        <v>11</v>
      </c>
      <c r="C16" s="5" t="str">
        <f>"刘志强"</f>
        <v>刘志强</v>
      </c>
      <c r="D16" s="5" t="str">
        <f t="shared" si="10"/>
        <v>男</v>
      </c>
      <c r="E16" s="5" t="str">
        <f>"1993-07-21"</f>
        <v>1993-07-21</v>
      </c>
      <c r="F16" s="5" t="s">
        <v>25</v>
      </c>
      <c r="G16" s="5" t="str">
        <f t="shared" si="11"/>
        <v>汉族</v>
      </c>
      <c r="H16" s="5" t="str">
        <f t="shared" si="9"/>
        <v>共青团员</v>
      </c>
      <c r="I16" s="5" t="str">
        <f t="shared" si="5"/>
        <v>本科</v>
      </c>
      <c r="J16" s="5" t="str">
        <f t="shared" si="6"/>
        <v>学士</v>
      </c>
    </row>
    <row r="17" s="2" customFormat="1" customHeight="1" spans="1:10">
      <c r="A17" s="5">
        <v>15</v>
      </c>
      <c r="B17" s="5" t="s">
        <v>11</v>
      </c>
      <c r="C17" s="5" t="str">
        <f>"汪金明"</f>
        <v>汪金明</v>
      </c>
      <c r="D17" s="5" t="str">
        <f t="shared" si="10"/>
        <v>男</v>
      </c>
      <c r="E17" s="5" t="str">
        <f>"1995-11-06"</f>
        <v>1995-11-06</v>
      </c>
      <c r="F17" s="5" t="s">
        <v>26</v>
      </c>
      <c r="G17" s="5" t="str">
        <f t="shared" si="11"/>
        <v>汉族</v>
      </c>
      <c r="H17" s="5" t="str">
        <f t="shared" si="9"/>
        <v>共青团员</v>
      </c>
      <c r="I17" s="5" t="str">
        <f t="shared" si="5"/>
        <v>本科</v>
      </c>
      <c r="J17" s="5" t="str">
        <f t="shared" si="6"/>
        <v>学士</v>
      </c>
    </row>
    <row r="18" s="2" customFormat="1" customHeight="1" spans="1:10">
      <c r="A18" s="5">
        <v>16</v>
      </c>
      <c r="B18" s="5" t="s">
        <v>11</v>
      </c>
      <c r="C18" s="5" t="str">
        <f>"周远婷"</f>
        <v>周远婷</v>
      </c>
      <c r="D18" s="5" t="str">
        <f t="shared" ref="D18:D23" si="12">"女"</f>
        <v>女</v>
      </c>
      <c r="E18" s="5" t="str">
        <f>"1993-07-10"</f>
        <v>1993-07-10</v>
      </c>
      <c r="F18" s="5" t="s">
        <v>27</v>
      </c>
      <c r="G18" s="5" t="str">
        <f t="shared" si="11"/>
        <v>汉族</v>
      </c>
      <c r="H18" s="5" t="str">
        <f t="shared" ref="H18:H24" si="13">"群众"</f>
        <v>群众</v>
      </c>
      <c r="I18" s="5" t="str">
        <f t="shared" si="5"/>
        <v>本科</v>
      </c>
      <c r="J18" s="5" t="str">
        <f t="shared" si="6"/>
        <v>学士</v>
      </c>
    </row>
    <row r="19" s="2" customFormat="1" customHeight="1" spans="1:10">
      <c r="A19" s="5">
        <v>17</v>
      </c>
      <c r="B19" s="5" t="s">
        <v>11</v>
      </c>
      <c r="C19" s="5" t="str">
        <f>"周家龙"</f>
        <v>周家龙</v>
      </c>
      <c r="D19" s="5" t="str">
        <f t="shared" ref="D19:D21" si="14">"男"</f>
        <v>男</v>
      </c>
      <c r="E19" s="5" t="str">
        <f>"1997-10-24"</f>
        <v>1997-10-24</v>
      </c>
      <c r="F19" s="5" t="s">
        <v>28</v>
      </c>
      <c r="G19" s="5" t="str">
        <f t="shared" si="11"/>
        <v>汉族</v>
      </c>
      <c r="H19" s="5" t="str">
        <f t="shared" ref="H19:H21" si="15">"共青团员"</f>
        <v>共青团员</v>
      </c>
      <c r="I19" s="5" t="str">
        <f t="shared" si="5"/>
        <v>本科</v>
      </c>
      <c r="J19" s="5" t="str">
        <f t="shared" si="6"/>
        <v>学士</v>
      </c>
    </row>
    <row r="20" s="2" customFormat="1" customHeight="1" spans="1:10">
      <c r="A20" s="5">
        <v>18</v>
      </c>
      <c r="B20" s="5" t="s">
        <v>11</v>
      </c>
      <c r="C20" s="5" t="str">
        <f>"孙瑞泽"</f>
        <v>孙瑞泽</v>
      </c>
      <c r="D20" s="5" t="str">
        <f t="shared" si="14"/>
        <v>男</v>
      </c>
      <c r="E20" s="5" t="str">
        <f>"1998-03-18"</f>
        <v>1998-03-18</v>
      </c>
      <c r="F20" s="5" t="s">
        <v>29</v>
      </c>
      <c r="G20" s="5" t="str">
        <f t="shared" si="11"/>
        <v>汉族</v>
      </c>
      <c r="H20" s="5" t="str">
        <f t="shared" si="15"/>
        <v>共青团员</v>
      </c>
      <c r="I20" s="5" t="str">
        <f t="shared" si="5"/>
        <v>本科</v>
      </c>
      <c r="J20" s="5" t="str">
        <f t="shared" si="6"/>
        <v>学士</v>
      </c>
    </row>
    <row r="21" s="2" customFormat="1" customHeight="1" spans="1:10">
      <c r="A21" s="5">
        <v>19</v>
      </c>
      <c r="B21" s="5" t="s">
        <v>11</v>
      </c>
      <c r="C21" s="5" t="str">
        <f>"邢圣业"</f>
        <v>邢圣业</v>
      </c>
      <c r="D21" s="5" t="str">
        <f t="shared" si="14"/>
        <v>男</v>
      </c>
      <c r="E21" s="5" t="str">
        <f>"1993-10-20"</f>
        <v>1993-10-20</v>
      </c>
      <c r="F21" s="5" t="s">
        <v>30</v>
      </c>
      <c r="G21" s="5" t="str">
        <f t="shared" si="11"/>
        <v>汉族</v>
      </c>
      <c r="H21" s="5" t="str">
        <f t="shared" si="15"/>
        <v>共青团员</v>
      </c>
      <c r="I21" s="5" t="str">
        <f t="shared" si="5"/>
        <v>本科</v>
      </c>
      <c r="J21" s="5" t="str">
        <f t="shared" si="6"/>
        <v>学士</v>
      </c>
    </row>
    <row r="22" s="2" customFormat="1" customHeight="1" spans="1:10">
      <c r="A22" s="5">
        <v>20</v>
      </c>
      <c r="B22" s="5" t="s">
        <v>11</v>
      </c>
      <c r="C22" s="5" t="str">
        <f>"张盼盼"</f>
        <v>张盼盼</v>
      </c>
      <c r="D22" s="5" t="str">
        <f t="shared" si="12"/>
        <v>女</v>
      </c>
      <c r="E22" s="5" t="str">
        <f>"1992-04-11"</f>
        <v>1992-04-11</v>
      </c>
      <c r="F22" s="5" t="s">
        <v>31</v>
      </c>
      <c r="G22" s="5" t="str">
        <f t="shared" si="11"/>
        <v>汉族</v>
      </c>
      <c r="H22" s="5" t="str">
        <f t="shared" si="13"/>
        <v>群众</v>
      </c>
      <c r="I22" s="5" t="str">
        <f t="shared" si="5"/>
        <v>本科</v>
      </c>
      <c r="J22" s="5" t="str">
        <f t="shared" si="6"/>
        <v>学士</v>
      </c>
    </row>
    <row r="23" s="2" customFormat="1" customHeight="1" spans="1:10">
      <c r="A23" s="5">
        <v>21</v>
      </c>
      <c r="B23" s="5" t="s">
        <v>11</v>
      </c>
      <c r="C23" s="5" t="str">
        <f>"高咪咪"</f>
        <v>高咪咪</v>
      </c>
      <c r="D23" s="5" t="str">
        <f t="shared" si="12"/>
        <v>女</v>
      </c>
      <c r="E23" s="5" t="str">
        <f>"1993-09-01"</f>
        <v>1993-09-01</v>
      </c>
      <c r="F23" s="5" t="s">
        <v>32</v>
      </c>
      <c r="G23" s="5" t="str">
        <f>"黎族"</f>
        <v>黎族</v>
      </c>
      <c r="H23" s="5" t="str">
        <f t="shared" si="13"/>
        <v>群众</v>
      </c>
      <c r="I23" s="5" t="str">
        <f t="shared" si="5"/>
        <v>本科</v>
      </c>
      <c r="J23" s="5" t="str">
        <f t="shared" ref="J23:J46" si="16">"学士"</f>
        <v>学士</v>
      </c>
    </row>
    <row r="24" s="2" customFormat="1" customHeight="1" spans="1:10">
      <c r="A24" s="5">
        <v>22</v>
      </c>
      <c r="B24" s="5" t="s">
        <v>11</v>
      </c>
      <c r="C24" s="5" t="str">
        <f>"许卓栋"</f>
        <v>许卓栋</v>
      </c>
      <c r="D24" s="5" t="str">
        <f t="shared" ref="D24:D32" si="17">"男"</f>
        <v>男</v>
      </c>
      <c r="E24" s="5" t="str">
        <f>"1993-04-17"</f>
        <v>1993-04-17</v>
      </c>
      <c r="F24" s="5" t="s">
        <v>33</v>
      </c>
      <c r="G24" s="5" t="str">
        <f t="shared" ref="G24:G28" si="18">"汉族"</f>
        <v>汉族</v>
      </c>
      <c r="H24" s="5" t="str">
        <f t="shared" si="13"/>
        <v>群众</v>
      </c>
      <c r="I24" s="5" t="str">
        <f t="shared" si="5"/>
        <v>本科</v>
      </c>
      <c r="J24" s="5" t="str">
        <f t="shared" si="16"/>
        <v>学士</v>
      </c>
    </row>
    <row r="25" s="2" customFormat="1" customHeight="1" spans="1:10">
      <c r="A25" s="5">
        <v>23</v>
      </c>
      <c r="B25" s="5" t="s">
        <v>11</v>
      </c>
      <c r="C25" s="5" t="str">
        <f>"宋晓娜"</f>
        <v>宋晓娜</v>
      </c>
      <c r="D25" s="5" t="str">
        <f>"女"</f>
        <v>女</v>
      </c>
      <c r="E25" s="5" t="str">
        <f>"1993-09-12"</f>
        <v>1993-09-12</v>
      </c>
      <c r="F25" s="5" t="s">
        <v>34</v>
      </c>
      <c r="G25" s="5" t="str">
        <f t="shared" si="18"/>
        <v>汉族</v>
      </c>
      <c r="H25" s="5" t="str">
        <f t="shared" ref="H25:H27" si="19">"共青团员"</f>
        <v>共青团员</v>
      </c>
      <c r="I25" s="5" t="str">
        <f t="shared" si="5"/>
        <v>本科</v>
      </c>
      <c r="J25" s="5" t="str">
        <f t="shared" si="16"/>
        <v>学士</v>
      </c>
    </row>
    <row r="26" s="2" customFormat="1" customHeight="1" spans="1:10">
      <c r="A26" s="5">
        <v>24</v>
      </c>
      <c r="B26" s="5" t="s">
        <v>11</v>
      </c>
      <c r="C26" s="5" t="str">
        <f>"吴海伦"</f>
        <v>吴海伦</v>
      </c>
      <c r="D26" s="5" t="str">
        <f>"女"</f>
        <v>女</v>
      </c>
      <c r="E26" s="5" t="str">
        <f>"1996-12-08"</f>
        <v>1996-12-08</v>
      </c>
      <c r="F26" s="5" t="s">
        <v>35</v>
      </c>
      <c r="G26" s="5" t="str">
        <f t="shared" si="18"/>
        <v>汉族</v>
      </c>
      <c r="H26" s="5" t="str">
        <f t="shared" si="19"/>
        <v>共青团员</v>
      </c>
      <c r="I26" s="5" t="str">
        <f t="shared" si="5"/>
        <v>本科</v>
      </c>
      <c r="J26" s="5" t="str">
        <f t="shared" si="16"/>
        <v>学士</v>
      </c>
    </row>
    <row r="27" s="2" customFormat="1" customHeight="1" spans="1:10">
      <c r="A27" s="5">
        <v>25</v>
      </c>
      <c r="B27" s="5" t="s">
        <v>11</v>
      </c>
      <c r="C27" s="5" t="str">
        <f>"董威"</f>
        <v>董威</v>
      </c>
      <c r="D27" s="5" t="str">
        <f t="shared" si="17"/>
        <v>男</v>
      </c>
      <c r="E27" s="5" t="str">
        <f>"1990-01-19"</f>
        <v>1990-01-19</v>
      </c>
      <c r="F27" s="5" t="s">
        <v>36</v>
      </c>
      <c r="G27" s="5" t="str">
        <f t="shared" si="18"/>
        <v>汉族</v>
      </c>
      <c r="H27" s="5" t="str">
        <f t="shared" si="19"/>
        <v>共青团员</v>
      </c>
      <c r="I27" s="5" t="str">
        <f t="shared" si="5"/>
        <v>本科</v>
      </c>
      <c r="J27" s="5" t="str">
        <f t="shared" si="16"/>
        <v>学士</v>
      </c>
    </row>
    <row r="28" s="2" customFormat="1" customHeight="1" spans="1:10">
      <c r="A28" s="5">
        <v>26</v>
      </c>
      <c r="B28" s="5" t="s">
        <v>11</v>
      </c>
      <c r="C28" s="5" t="str">
        <f>"陈旭华"</f>
        <v>陈旭华</v>
      </c>
      <c r="D28" s="5" t="str">
        <f t="shared" si="17"/>
        <v>男</v>
      </c>
      <c r="E28" s="5" t="str">
        <f>"1996-06-23"</f>
        <v>1996-06-23</v>
      </c>
      <c r="F28" s="5" t="s">
        <v>37</v>
      </c>
      <c r="G28" s="5" t="str">
        <f t="shared" si="18"/>
        <v>汉族</v>
      </c>
      <c r="H28" s="5" t="str">
        <f>"群众"</f>
        <v>群众</v>
      </c>
      <c r="I28" s="5" t="str">
        <f t="shared" si="5"/>
        <v>本科</v>
      </c>
      <c r="J28" s="5" t="str">
        <f t="shared" si="16"/>
        <v>学士</v>
      </c>
    </row>
    <row r="29" s="2" customFormat="1" customHeight="1" spans="1:10">
      <c r="A29" s="5">
        <v>27</v>
      </c>
      <c r="B29" s="5" t="s">
        <v>11</v>
      </c>
      <c r="C29" s="5" t="str">
        <f>"张小银"</f>
        <v>张小银</v>
      </c>
      <c r="D29" s="5" t="str">
        <f t="shared" si="17"/>
        <v>男</v>
      </c>
      <c r="E29" s="5" t="str">
        <f>"1997-09-24"</f>
        <v>1997-09-24</v>
      </c>
      <c r="F29" s="5" t="s">
        <v>38</v>
      </c>
      <c r="G29" s="5" t="str">
        <f>"黎族"</f>
        <v>黎族</v>
      </c>
      <c r="H29" s="5" t="str">
        <f t="shared" ref="H29:H35" si="20">"共青团员"</f>
        <v>共青团员</v>
      </c>
      <c r="I29" s="5" t="str">
        <f t="shared" si="5"/>
        <v>本科</v>
      </c>
      <c r="J29" s="5" t="str">
        <f t="shared" si="16"/>
        <v>学士</v>
      </c>
    </row>
    <row r="30" s="2" customFormat="1" customHeight="1" spans="1:10">
      <c r="A30" s="5">
        <v>28</v>
      </c>
      <c r="B30" s="5" t="s">
        <v>11</v>
      </c>
      <c r="C30" s="5" t="str">
        <f>"范本超"</f>
        <v>范本超</v>
      </c>
      <c r="D30" s="5" t="str">
        <f t="shared" si="17"/>
        <v>男</v>
      </c>
      <c r="E30" s="5" t="str">
        <f>"1996-10-20"</f>
        <v>1996-10-20</v>
      </c>
      <c r="F30" s="5" t="s">
        <v>39</v>
      </c>
      <c r="G30" s="5" t="str">
        <f t="shared" ref="G30:G40" si="21">"汉族"</f>
        <v>汉族</v>
      </c>
      <c r="H30" s="5" t="str">
        <f t="shared" si="20"/>
        <v>共青团员</v>
      </c>
      <c r="I30" s="5" t="str">
        <f t="shared" si="5"/>
        <v>本科</v>
      </c>
      <c r="J30" s="5" t="str">
        <f t="shared" si="16"/>
        <v>学士</v>
      </c>
    </row>
    <row r="31" s="2" customFormat="1" customHeight="1" spans="1:10">
      <c r="A31" s="5">
        <v>29</v>
      </c>
      <c r="B31" s="5" t="s">
        <v>11</v>
      </c>
      <c r="C31" s="5" t="str">
        <f>"杜龙"</f>
        <v>杜龙</v>
      </c>
      <c r="D31" s="5" t="str">
        <f t="shared" si="17"/>
        <v>男</v>
      </c>
      <c r="E31" s="5" t="str">
        <f>"1995-01-14"</f>
        <v>1995-01-14</v>
      </c>
      <c r="F31" s="5" t="s">
        <v>40</v>
      </c>
      <c r="G31" s="5" t="str">
        <f t="shared" si="21"/>
        <v>汉族</v>
      </c>
      <c r="H31" s="5" t="str">
        <f>"群众"</f>
        <v>群众</v>
      </c>
      <c r="I31" s="5" t="str">
        <f t="shared" si="5"/>
        <v>本科</v>
      </c>
      <c r="J31" s="5" t="str">
        <f t="shared" si="16"/>
        <v>学士</v>
      </c>
    </row>
    <row r="32" s="2" customFormat="1" customHeight="1" spans="1:10">
      <c r="A32" s="5">
        <v>30</v>
      </c>
      <c r="B32" s="5" t="s">
        <v>11</v>
      </c>
      <c r="C32" s="5" t="str">
        <f>"林宏华"</f>
        <v>林宏华</v>
      </c>
      <c r="D32" s="5" t="str">
        <f t="shared" si="17"/>
        <v>男</v>
      </c>
      <c r="E32" s="5" t="str">
        <f>"1990-09-29"</f>
        <v>1990-09-29</v>
      </c>
      <c r="F32" s="5" t="s">
        <v>41</v>
      </c>
      <c r="G32" s="5" t="str">
        <f t="shared" si="21"/>
        <v>汉族</v>
      </c>
      <c r="H32" s="5" t="str">
        <f>"中共党员"</f>
        <v>中共党员</v>
      </c>
      <c r="I32" s="5" t="str">
        <f t="shared" si="5"/>
        <v>本科</v>
      </c>
      <c r="J32" s="5" t="str">
        <f t="shared" si="16"/>
        <v>学士</v>
      </c>
    </row>
    <row r="33" s="2" customFormat="1" customHeight="1" spans="1:10">
      <c r="A33" s="5">
        <v>31</v>
      </c>
      <c r="B33" s="5" t="s">
        <v>11</v>
      </c>
      <c r="C33" s="5" t="str">
        <f>"王盼"</f>
        <v>王盼</v>
      </c>
      <c r="D33" s="5" t="str">
        <f>"女"</f>
        <v>女</v>
      </c>
      <c r="E33" s="5" t="str">
        <f>"1990-12-24"</f>
        <v>1990-12-24</v>
      </c>
      <c r="F33" s="5" t="s">
        <v>42</v>
      </c>
      <c r="G33" s="5" t="str">
        <f t="shared" si="21"/>
        <v>汉族</v>
      </c>
      <c r="H33" s="5" t="str">
        <f t="shared" si="20"/>
        <v>共青团员</v>
      </c>
      <c r="I33" s="5" t="str">
        <f t="shared" si="5"/>
        <v>本科</v>
      </c>
      <c r="J33" s="5" t="str">
        <f t="shared" si="16"/>
        <v>学士</v>
      </c>
    </row>
    <row r="34" s="2" customFormat="1" customHeight="1" spans="1:10">
      <c r="A34" s="5">
        <v>32</v>
      </c>
      <c r="B34" s="5" t="s">
        <v>11</v>
      </c>
      <c r="C34" s="5" t="str">
        <f>"纪定楚"</f>
        <v>纪定楚</v>
      </c>
      <c r="D34" s="5" t="str">
        <f>"女"</f>
        <v>女</v>
      </c>
      <c r="E34" s="5" t="str">
        <f>"1995-07-18"</f>
        <v>1995-07-18</v>
      </c>
      <c r="F34" s="5" t="s">
        <v>43</v>
      </c>
      <c r="G34" s="5" t="str">
        <f t="shared" si="21"/>
        <v>汉族</v>
      </c>
      <c r="H34" s="5" t="str">
        <f t="shared" si="20"/>
        <v>共青团员</v>
      </c>
      <c r="I34" s="5" t="str">
        <f t="shared" si="5"/>
        <v>本科</v>
      </c>
      <c r="J34" s="5" t="str">
        <f t="shared" si="16"/>
        <v>学士</v>
      </c>
    </row>
    <row r="35" s="2" customFormat="1" customHeight="1" spans="1:10">
      <c r="A35" s="5">
        <v>33</v>
      </c>
      <c r="B35" s="5" t="s">
        <v>11</v>
      </c>
      <c r="C35" s="5" t="str">
        <f>"周航"</f>
        <v>周航</v>
      </c>
      <c r="D35" s="5" t="str">
        <f t="shared" ref="D35:D40" si="22">"男"</f>
        <v>男</v>
      </c>
      <c r="E35" s="5" t="str">
        <f>"1997-05-27"</f>
        <v>1997-05-27</v>
      </c>
      <c r="F35" s="5" t="s">
        <v>44</v>
      </c>
      <c r="G35" s="5" t="str">
        <f t="shared" si="21"/>
        <v>汉族</v>
      </c>
      <c r="H35" s="5" t="str">
        <f t="shared" si="20"/>
        <v>共青团员</v>
      </c>
      <c r="I35" s="5" t="str">
        <f t="shared" si="5"/>
        <v>本科</v>
      </c>
      <c r="J35" s="5" t="str">
        <f t="shared" si="16"/>
        <v>学士</v>
      </c>
    </row>
    <row r="36" s="2" customFormat="1" customHeight="1" spans="1:10">
      <c r="A36" s="5">
        <v>34</v>
      </c>
      <c r="B36" s="5" t="s">
        <v>11</v>
      </c>
      <c r="C36" s="5" t="str">
        <f>"白静波"</f>
        <v>白静波</v>
      </c>
      <c r="D36" s="5" t="str">
        <f t="shared" si="22"/>
        <v>男</v>
      </c>
      <c r="E36" s="5" t="str">
        <f>"1991-08-01"</f>
        <v>1991-08-01</v>
      </c>
      <c r="F36" s="5" t="s">
        <v>45</v>
      </c>
      <c r="G36" s="5" t="str">
        <f t="shared" si="21"/>
        <v>汉族</v>
      </c>
      <c r="H36" s="5" t="str">
        <f t="shared" ref="H36:H40" si="23">"群众"</f>
        <v>群众</v>
      </c>
      <c r="I36" s="5" t="str">
        <f t="shared" si="5"/>
        <v>本科</v>
      </c>
      <c r="J36" s="5" t="str">
        <f t="shared" si="16"/>
        <v>学士</v>
      </c>
    </row>
    <row r="37" s="2" customFormat="1" customHeight="1" spans="1:10">
      <c r="A37" s="5">
        <v>35</v>
      </c>
      <c r="B37" s="5" t="s">
        <v>11</v>
      </c>
      <c r="C37" s="5" t="str">
        <f>"罗运志"</f>
        <v>罗运志</v>
      </c>
      <c r="D37" s="5" t="str">
        <f t="shared" si="22"/>
        <v>男</v>
      </c>
      <c r="E37" s="5" t="str">
        <f>"1987-03-22"</f>
        <v>1987-03-22</v>
      </c>
      <c r="F37" s="5" t="s">
        <v>46</v>
      </c>
      <c r="G37" s="5" t="str">
        <f t="shared" si="21"/>
        <v>汉族</v>
      </c>
      <c r="H37" s="5" t="str">
        <f t="shared" ref="H37:H42" si="24">"共青团员"</f>
        <v>共青团员</v>
      </c>
      <c r="I37" s="5" t="str">
        <f t="shared" si="5"/>
        <v>本科</v>
      </c>
      <c r="J37" s="5" t="str">
        <f t="shared" si="16"/>
        <v>学士</v>
      </c>
    </row>
    <row r="38" s="2" customFormat="1" customHeight="1" spans="1:10">
      <c r="A38" s="5">
        <v>36</v>
      </c>
      <c r="B38" s="5" t="s">
        <v>11</v>
      </c>
      <c r="C38" s="5" t="str">
        <f>"孙诒富"</f>
        <v>孙诒富</v>
      </c>
      <c r="D38" s="5" t="str">
        <f t="shared" si="22"/>
        <v>男</v>
      </c>
      <c r="E38" s="5" t="str">
        <f>"1995-06-14"</f>
        <v>1995-06-14</v>
      </c>
      <c r="F38" s="5" t="s">
        <v>47</v>
      </c>
      <c r="G38" s="5" t="str">
        <f t="shared" si="21"/>
        <v>汉族</v>
      </c>
      <c r="H38" s="5" t="str">
        <f t="shared" si="23"/>
        <v>群众</v>
      </c>
      <c r="I38" s="5" t="str">
        <f t="shared" si="5"/>
        <v>本科</v>
      </c>
      <c r="J38" s="5" t="str">
        <f t="shared" si="16"/>
        <v>学士</v>
      </c>
    </row>
    <row r="39" s="2" customFormat="1" customHeight="1" spans="1:10">
      <c r="A39" s="5">
        <v>37</v>
      </c>
      <c r="B39" s="5" t="s">
        <v>11</v>
      </c>
      <c r="C39" s="5" t="str">
        <f>"万瑞民"</f>
        <v>万瑞民</v>
      </c>
      <c r="D39" s="5" t="str">
        <f t="shared" si="22"/>
        <v>男</v>
      </c>
      <c r="E39" s="5" t="str">
        <f>"1988-12-26"</f>
        <v>1988-12-26</v>
      </c>
      <c r="F39" s="5" t="s">
        <v>48</v>
      </c>
      <c r="G39" s="5" t="str">
        <f t="shared" si="21"/>
        <v>汉族</v>
      </c>
      <c r="H39" s="5" t="str">
        <f t="shared" si="23"/>
        <v>群众</v>
      </c>
      <c r="I39" s="5" t="str">
        <f t="shared" si="5"/>
        <v>本科</v>
      </c>
      <c r="J39" s="5" t="str">
        <f t="shared" si="16"/>
        <v>学士</v>
      </c>
    </row>
    <row r="40" s="2" customFormat="1" customHeight="1" spans="1:10">
      <c r="A40" s="5">
        <v>38</v>
      </c>
      <c r="B40" s="5" t="s">
        <v>11</v>
      </c>
      <c r="C40" s="5" t="str">
        <f>"曾维龙"</f>
        <v>曾维龙</v>
      </c>
      <c r="D40" s="5" t="str">
        <f t="shared" si="22"/>
        <v>男</v>
      </c>
      <c r="E40" s="5" t="str">
        <f>"1989-02-03"</f>
        <v>1989-02-03</v>
      </c>
      <c r="F40" s="5" t="s">
        <v>49</v>
      </c>
      <c r="G40" s="5" t="str">
        <f t="shared" si="21"/>
        <v>汉族</v>
      </c>
      <c r="H40" s="5" t="str">
        <f t="shared" si="23"/>
        <v>群众</v>
      </c>
      <c r="I40" s="5" t="str">
        <f t="shared" si="5"/>
        <v>本科</v>
      </c>
      <c r="J40" s="5" t="str">
        <f t="shared" si="16"/>
        <v>学士</v>
      </c>
    </row>
    <row r="41" s="2" customFormat="1" customHeight="1" spans="1:10">
      <c r="A41" s="5">
        <v>39</v>
      </c>
      <c r="B41" s="5" t="s">
        <v>11</v>
      </c>
      <c r="C41" s="5" t="str">
        <f>"蒙素仙"</f>
        <v>蒙素仙</v>
      </c>
      <c r="D41" s="5" t="str">
        <f>"女"</f>
        <v>女</v>
      </c>
      <c r="E41" s="5" t="str">
        <f>"1991-01-16"</f>
        <v>1991-01-16</v>
      </c>
      <c r="F41" s="5" t="s">
        <v>50</v>
      </c>
      <c r="G41" s="5" t="str">
        <f>"黎族"</f>
        <v>黎族</v>
      </c>
      <c r="H41" s="5" t="str">
        <f t="shared" si="24"/>
        <v>共青团员</v>
      </c>
      <c r="I41" s="5" t="str">
        <f t="shared" si="5"/>
        <v>本科</v>
      </c>
      <c r="J41" s="5" t="str">
        <f t="shared" si="16"/>
        <v>学士</v>
      </c>
    </row>
    <row r="42" s="2" customFormat="1" customHeight="1" spans="1:10">
      <c r="A42" s="5">
        <v>40</v>
      </c>
      <c r="B42" s="5" t="s">
        <v>11</v>
      </c>
      <c r="C42" s="5" t="str">
        <f>"赖树辉"</f>
        <v>赖树辉</v>
      </c>
      <c r="D42" s="5" t="str">
        <f t="shared" ref="D42:D52" si="25">"男"</f>
        <v>男</v>
      </c>
      <c r="E42" s="5" t="str">
        <f>"1996-11-24"</f>
        <v>1996-11-24</v>
      </c>
      <c r="F42" s="5" t="s">
        <v>51</v>
      </c>
      <c r="G42" s="5" t="str">
        <f t="shared" ref="G42:G46" si="26">"汉族"</f>
        <v>汉族</v>
      </c>
      <c r="H42" s="5" t="str">
        <f t="shared" si="24"/>
        <v>共青团员</v>
      </c>
      <c r="I42" s="5" t="str">
        <f t="shared" si="5"/>
        <v>本科</v>
      </c>
      <c r="J42" s="5" t="str">
        <f t="shared" si="16"/>
        <v>学士</v>
      </c>
    </row>
    <row r="43" s="2" customFormat="1" customHeight="1" spans="1:10">
      <c r="A43" s="5">
        <v>41</v>
      </c>
      <c r="B43" s="5" t="s">
        <v>11</v>
      </c>
      <c r="C43" s="5" t="str">
        <f>"吴英能"</f>
        <v>吴英能</v>
      </c>
      <c r="D43" s="5" t="str">
        <f t="shared" si="25"/>
        <v>男</v>
      </c>
      <c r="E43" s="5" t="str">
        <f>"1988-06-04"</f>
        <v>1988-06-04</v>
      </c>
      <c r="F43" s="5" t="s">
        <v>52</v>
      </c>
      <c r="G43" s="5" t="str">
        <f t="shared" si="26"/>
        <v>汉族</v>
      </c>
      <c r="H43" s="5" t="str">
        <f>"群众"</f>
        <v>群众</v>
      </c>
      <c r="I43" s="5" t="str">
        <f t="shared" si="5"/>
        <v>本科</v>
      </c>
      <c r="J43" s="5" t="str">
        <f t="shared" si="16"/>
        <v>学士</v>
      </c>
    </row>
    <row r="44" s="2" customFormat="1" customHeight="1" spans="1:10">
      <c r="A44" s="5">
        <v>42</v>
      </c>
      <c r="B44" s="5" t="s">
        <v>11</v>
      </c>
      <c r="C44" s="5" t="str">
        <f>"陈宗侨"</f>
        <v>陈宗侨</v>
      </c>
      <c r="D44" s="5" t="str">
        <f t="shared" si="25"/>
        <v>男</v>
      </c>
      <c r="E44" s="5" t="str">
        <f>"1991-11-23"</f>
        <v>1991-11-23</v>
      </c>
      <c r="F44" s="5" t="s">
        <v>53</v>
      </c>
      <c r="G44" s="5" t="str">
        <f t="shared" si="26"/>
        <v>汉族</v>
      </c>
      <c r="H44" s="5" t="str">
        <f t="shared" ref="H44:H48" si="27">"共青团员"</f>
        <v>共青团员</v>
      </c>
      <c r="I44" s="5" t="str">
        <f t="shared" si="5"/>
        <v>本科</v>
      </c>
      <c r="J44" s="5" t="str">
        <f t="shared" si="16"/>
        <v>学士</v>
      </c>
    </row>
    <row r="45" s="2" customFormat="1" customHeight="1" spans="1:10">
      <c r="A45" s="5">
        <v>43</v>
      </c>
      <c r="B45" s="5" t="s">
        <v>11</v>
      </c>
      <c r="C45" s="5" t="str">
        <f>"吴彪"</f>
        <v>吴彪</v>
      </c>
      <c r="D45" s="5" t="str">
        <f t="shared" si="25"/>
        <v>男</v>
      </c>
      <c r="E45" s="5" t="str">
        <f>"1992-03-29"</f>
        <v>1992-03-29</v>
      </c>
      <c r="F45" s="5" t="s">
        <v>54</v>
      </c>
      <c r="G45" s="5" t="str">
        <f t="shared" si="26"/>
        <v>汉族</v>
      </c>
      <c r="H45" s="5" t="str">
        <f t="shared" si="27"/>
        <v>共青团员</v>
      </c>
      <c r="I45" s="5" t="str">
        <f t="shared" si="5"/>
        <v>本科</v>
      </c>
      <c r="J45" s="5" t="str">
        <f t="shared" si="16"/>
        <v>学士</v>
      </c>
    </row>
    <row r="46" s="2" customFormat="1" customHeight="1" spans="1:10">
      <c r="A46" s="5">
        <v>44</v>
      </c>
      <c r="B46" s="5" t="s">
        <v>11</v>
      </c>
      <c r="C46" s="5" t="str">
        <f>"王冠哲"</f>
        <v>王冠哲</v>
      </c>
      <c r="D46" s="5" t="str">
        <f t="shared" si="25"/>
        <v>男</v>
      </c>
      <c r="E46" s="5" t="str">
        <f>"1992-08-17"</f>
        <v>1992-08-17</v>
      </c>
      <c r="F46" s="5" t="s">
        <v>55</v>
      </c>
      <c r="G46" s="5" t="str">
        <f t="shared" si="26"/>
        <v>汉族</v>
      </c>
      <c r="H46" s="5" t="str">
        <f>"中共党员"</f>
        <v>中共党员</v>
      </c>
      <c r="I46" s="5" t="str">
        <f t="shared" si="5"/>
        <v>本科</v>
      </c>
      <c r="J46" s="5" t="str">
        <f t="shared" si="16"/>
        <v>学士</v>
      </c>
    </row>
    <row r="47" s="2" customFormat="1" customHeight="1" spans="1:10">
      <c r="A47" s="5">
        <v>45</v>
      </c>
      <c r="B47" s="5" t="s">
        <v>11</v>
      </c>
      <c r="C47" s="5" t="str">
        <f>"蒙秀楷"</f>
        <v>蒙秀楷</v>
      </c>
      <c r="D47" s="5" t="str">
        <f t="shared" si="25"/>
        <v>男</v>
      </c>
      <c r="E47" s="5" t="str">
        <f>"1994-06-07"</f>
        <v>1994-06-07</v>
      </c>
      <c r="F47" s="5" t="s">
        <v>56</v>
      </c>
      <c r="G47" s="5" t="str">
        <f t="shared" ref="G47:G55" si="28">"汉族"</f>
        <v>汉族</v>
      </c>
      <c r="H47" s="5" t="str">
        <f>"中共党员"</f>
        <v>中共党员</v>
      </c>
      <c r="I47" s="5" t="str">
        <f t="shared" ref="I47:I69" si="29">"本科"</f>
        <v>本科</v>
      </c>
      <c r="J47" s="5" t="str">
        <f t="shared" ref="J47:J52" si="30">"学士"</f>
        <v>学士</v>
      </c>
    </row>
    <row r="48" s="2" customFormat="1" customHeight="1" spans="1:10">
      <c r="A48" s="5">
        <v>46</v>
      </c>
      <c r="B48" s="5" t="s">
        <v>11</v>
      </c>
      <c r="C48" s="5" t="str">
        <f>"陈道新"</f>
        <v>陈道新</v>
      </c>
      <c r="D48" s="5" t="str">
        <f t="shared" si="25"/>
        <v>男</v>
      </c>
      <c r="E48" s="5" t="str">
        <f>"1993-06-08"</f>
        <v>1993-06-08</v>
      </c>
      <c r="F48" s="5" t="s">
        <v>57</v>
      </c>
      <c r="G48" s="5" t="str">
        <f t="shared" si="28"/>
        <v>汉族</v>
      </c>
      <c r="H48" s="5" t="str">
        <f t="shared" si="27"/>
        <v>共青团员</v>
      </c>
      <c r="I48" s="5" t="str">
        <f t="shared" si="29"/>
        <v>本科</v>
      </c>
      <c r="J48" s="5" t="str">
        <f t="shared" si="30"/>
        <v>学士</v>
      </c>
    </row>
    <row r="49" s="2" customFormat="1" customHeight="1" spans="1:10">
      <c r="A49" s="5">
        <v>47</v>
      </c>
      <c r="B49" s="5" t="s">
        <v>11</v>
      </c>
      <c r="C49" s="5" t="str">
        <f>"李宁"</f>
        <v>李宁</v>
      </c>
      <c r="D49" s="5" t="str">
        <f t="shared" si="25"/>
        <v>男</v>
      </c>
      <c r="E49" s="5" t="str">
        <f>"1991-10-06"</f>
        <v>1991-10-06</v>
      </c>
      <c r="F49" s="5" t="s">
        <v>58</v>
      </c>
      <c r="G49" s="5" t="str">
        <f t="shared" si="28"/>
        <v>汉族</v>
      </c>
      <c r="H49" s="5" t="str">
        <f t="shared" ref="H49:H52" si="31">"群众"</f>
        <v>群众</v>
      </c>
      <c r="I49" s="5" t="str">
        <f t="shared" si="29"/>
        <v>本科</v>
      </c>
      <c r="J49" s="5" t="str">
        <f t="shared" si="30"/>
        <v>学士</v>
      </c>
    </row>
    <row r="50" s="2" customFormat="1" customHeight="1" spans="1:10">
      <c r="A50" s="5">
        <v>48</v>
      </c>
      <c r="B50" s="5" t="s">
        <v>11</v>
      </c>
      <c r="C50" s="5" t="str">
        <f>"王太"</f>
        <v>王太</v>
      </c>
      <c r="D50" s="5" t="str">
        <f t="shared" si="25"/>
        <v>男</v>
      </c>
      <c r="E50" s="5" t="str">
        <f>"1987-05-29"</f>
        <v>1987-05-29</v>
      </c>
      <c r="F50" s="5" t="s">
        <v>59</v>
      </c>
      <c r="G50" s="5" t="str">
        <f t="shared" si="28"/>
        <v>汉族</v>
      </c>
      <c r="H50" s="5" t="str">
        <f t="shared" si="31"/>
        <v>群众</v>
      </c>
      <c r="I50" s="5" t="str">
        <f t="shared" si="29"/>
        <v>本科</v>
      </c>
      <c r="J50" s="5" t="str">
        <f t="shared" si="30"/>
        <v>学士</v>
      </c>
    </row>
    <row r="51" s="2" customFormat="1" customHeight="1" spans="1:10">
      <c r="A51" s="5">
        <v>49</v>
      </c>
      <c r="B51" s="5" t="s">
        <v>11</v>
      </c>
      <c r="C51" s="5" t="str">
        <f>"吴捷"</f>
        <v>吴捷</v>
      </c>
      <c r="D51" s="5" t="str">
        <f t="shared" si="25"/>
        <v>男</v>
      </c>
      <c r="E51" s="5" t="str">
        <f>"1998-08-02"</f>
        <v>1998-08-02</v>
      </c>
      <c r="F51" s="5" t="s">
        <v>60</v>
      </c>
      <c r="G51" s="5" t="str">
        <f t="shared" si="28"/>
        <v>汉族</v>
      </c>
      <c r="H51" s="5" t="str">
        <f t="shared" ref="H51:H54" si="32">"共青团员"</f>
        <v>共青团员</v>
      </c>
      <c r="I51" s="5" t="str">
        <f t="shared" si="29"/>
        <v>本科</v>
      </c>
      <c r="J51" s="5" t="str">
        <f t="shared" si="30"/>
        <v>学士</v>
      </c>
    </row>
    <row r="52" s="2" customFormat="1" ht="32" customHeight="1" spans="1:10">
      <c r="A52" s="5">
        <v>50</v>
      </c>
      <c r="B52" s="5" t="s">
        <v>11</v>
      </c>
      <c r="C52" s="5" t="str">
        <f>"吴晟"</f>
        <v>吴晟</v>
      </c>
      <c r="D52" s="5" t="str">
        <f t="shared" si="25"/>
        <v>男</v>
      </c>
      <c r="E52" s="5" t="str">
        <f>"1990-10-05"</f>
        <v>1990-10-05</v>
      </c>
      <c r="F52" s="5" t="s">
        <v>61</v>
      </c>
      <c r="G52" s="5" t="str">
        <f t="shared" si="28"/>
        <v>汉族</v>
      </c>
      <c r="H52" s="5" t="str">
        <f t="shared" si="31"/>
        <v>群众</v>
      </c>
      <c r="I52" s="5" t="str">
        <f t="shared" si="29"/>
        <v>本科</v>
      </c>
      <c r="J52" s="5" t="str">
        <f t="shared" si="30"/>
        <v>学士</v>
      </c>
    </row>
    <row r="53" s="2" customFormat="1" customHeight="1" spans="1:10">
      <c r="A53" s="5">
        <v>51</v>
      </c>
      <c r="B53" s="5" t="s">
        <v>11</v>
      </c>
      <c r="C53" s="5" t="str">
        <f>"王燕玲"</f>
        <v>王燕玲</v>
      </c>
      <c r="D53" s="5" t="str">
        <f t="shared" ref="D53:D59" si="33">"女"</f>
        <v>女</v>
      </c>
      <c r="E53" s="5" t="str">
        <f>"1995-01-19"</f>
        <v>1995-01-19</v>
      </c>
      <c r="F53" s="5" t="s">
        <v>62</v>
      </c>
      <c r="G53" s="5" t="str">
        <f t="shared" si="28"/>
        <v>汉族</v>
      </c>
      <c r="H53" s="5" t="str">
        <f t="shared" si="32"/>
        <v>共青团员</v>
      </c>
      <c r="I53" s="5" t="str">
        <f t="shared" si="29"/>
        <v>本科</v>
      </c>
      <c r="J53" s="5" t="str">
        <f t="shared" ref="J53:J69" si="34">"学士"</f>
        <v>学士</v>
      </c>
    </row>
    <row r="54" s="2" customFormat="1" customHeight="1" spans="1:10">
      <c r="A54" s="5">
        <v>52</v>
      </c>
      <c r="B54" s="5" t="s">
        <v>11</v>
      </c>
      <c r="C54" s="5" t="str">
        <f>"黄香演"</f>
        <v>黄香演</v>
      </c>
      <c r="D54" s="5" t="str">
        <f t="shared" ref="D54:D57" si="35">"男"</f>
        <v>男</v>
      </c>
      <c r="E54" s="5" t="str">
        <f>"1995-07-10"</f>
        <v>1995-07-10</v>
      </c>
      <c r="F54" s="5" t="s">
        <v>63</v>
      </c>
      <c r="G54" s="5" t="str">
        <f t="shared" si="28"/>
        <v>汉族</v>
      </c>
      <c r="H54" s="5" t="str">
        <f t="shared" si="32"/>
        <v>共青团员</v>
      </c>
      <c r="I54" s="5" t="str">
        <f t="shared" si="29"/>
        <v>本科</v>
      </c>
      <c r="J54" s="5" t="str">
        <f t="shared" si="34"/>
        <v>学士</v>
      </c>
    </row>
    <row r="55" s="2" customFormat="1" customHeight="1" spans="1:10">
      <c r="A55" s="5">
        <v>53</v>
      </c>
      <c r="B55" s="5" t="s">
        <v>11</v>
      </c>
      <c r="C55" s="5" t="str">
        <f>"邱明师"</f>
        <v>邱明师</v>
      </c>
      <c r="D55" s="5" t="str">
        <f t="shared" si="35"/>
        <v>男</v>
      </c>
      <c r="E55" s="5" t="str">
        <f>"1992-02-10"</f>
        <v>1992-02-10</v>
      </c>
      <c r="F55" s="5" t="s">
        <v>64</v>
      </c>
      <c r="G55" s="5" t="str">
        <f t="shared" si="28"/>
        <v>汉族</v>
      </c>
      <c r="H55" s="5" t="str">
        <f>"群众"</f>
        <v>群众</v>
      </c>
      <c r="I55" s="5" t="str">
        <f t="shared" si="29"/>
        <v>本科</v>
      </c>
      <c r="J55" s="5" t="str">
        <f t="shared" si="34"/>
        <v>学士</v>
      </c>
    </row>
    <row r="56" s="2" customFormat="1" customHeight="1" spans="1:10">
      <c r="A56" s="5">
        <v>54</v>
      </c>
      <c r="B56" s="5" t="s">
        <v>11</v>
      </c>
      <c r="C56" s="5" t="str">
        <f>"符阳"</f>
        <v>符阳</v>
      </c>
      <c r="D56" s="5" t="str">
        <f t="shared" si="33"/>
        <v>女</v>
      </c>
      <c r="E56" s="5" t="str">
        <f>"1994-10-20"</f>
        <v>1994-10-20</v>
      </c>
      <c r="F56" s="5" t="s">
        <v>65</v>
      </c>
      <c r="G56" s="5" t="str">
        <f>"黎族"</f>
        <v>黎族</v>
      </c>
      <c r="H56" s="5" t="str">
        <f t="shared" ref="H56:H59" si="36">"共青团员"</f>
        <v>共青团员</v>
      </c>
      <c r="I56" s="5" t="str">
        <f t="shared" si="29"/>
        <v>本科</v>
      </c>
      <c r="J56" s="5" t="str">
        <f t="shared" si="34"/>
        <v>学士</v>
      </c>
    </row>
    <row r="57" s="2" customFormat="1" customHeight="1" spans="1:10">
      <c r="A57" s="5">
        <v>55</v>
      </c>
      <c r="B57" s="5" t="s">
        <v>11</v>
      </c>
      <c r="C57" s="5" t="str">
        <f>"陈瑜"</f>
        <v>陈瑜</v>
      </c>
      <c r="D57" s="5" t="str">
        <f t="shared" si="35"/>
        <v>男</v>
      </c>
      <c r="E57" s="5" t="str">
        <f>"1996-09-18"</f>
        <v>1996-09-18</v>
      </c>
      <c r="F57" s="5" t="s">
        <v>66</v>
      </c>
      <c r="G57" s="5" t="str">
        <f t="shared" ref="G57:G66" si="37">"汉族"</f>
        <v>汉族</v>
      </c>
      <c r="H57" s="5" t="str">
        <f t="shared" ref="H57:H61" si="38">"群众"</f>
        <v>群众</v>
      </c>
      <c r="I57" s="5" t="str">
        <f t="shared" si="29"/>
        <v>本科</v>
      </c>
      <c r="J57" s="5" t="str">
        <f t="shared" si="34"/>
        <v>学士</v>
      </c>
    </row>
    <row r="58" s="2" customFormat="1" customHeight="1" spans="1:10">
      <c r="A58" s="5">
        <v>56</v>
      </c>
      <c r="B58" s="5" t="s">
        <v>11</v>
      </c>
      <c r="C58" s="5" t="str">
        <f>"谢川川"</f>
        <v>谢川川</v>
      </c>
      <c r="D58" s="5" t="str">
        <f t="shared" si="33"/>
        <v>女</v>
      </c>
      <c r="E58" s="5" t="str">
        <f>"1993-07-07"</f>
        <v>1993-07-07</v>
      </c>
      <c r="F58" s="5" t="s">
        <v>67</v>
      </c>
      <c r="G58" s="5" t="str">
        <f t="shared" si="37"/>
        <v>汉族</v>
      </c>
      <c r="H58" s="5" t="str">
        <f t="shared" si="36"/>
        <v>共青团员</v>
      </c>
      <c r="I58" s="5" t="str">
        <f t="shared" si="29"/>
        <v>本科</v>
      </c>
      <c r="J58" s="5" t="str">
        <f t="shared" si="34"/>
        <v>学士</v>
      </c>
    </row>
    <row r="59" s="2" customFormat="1" customHeight="1" spans="1:10">
      <c r="A59" s="5">
        <v>57</v>
      </c>
      <c r="B59" s="5" t="s">
        <v>11</v>
      </c>
      <c r="C59" s="5" t="str">
        <f>"陈求洁"</f>
        <v>陈求洁</v>
      </c>
      <c r="D59" s="5" t="str">
        <f t="shared" si="33"/>
        <v>女</v>
      </c>
      <c r="E59" s="5" t="str">
        <f>"1993-04-28"</f>
        <v>1993-04-28</v>
      </c>
      <c r="F59" s="5" t="s">
        <v>68</v>
      </c>
      <c r="G59" s="5" t="str">
        <f t="shared" si="37"/>
        <v>汉族</v>
      </c>
      <c r="H59" s="5" t="str">
        <f t="shared" si="36"/>
        <v>共青团员</v>
      </c>
      <c r="I59" s="5" t="str">
        <f t="shared" si="29"/>
        <v>本科</v>
      </c>
      <c r="J59" s="5" t="str">
        <f t="shared" si="34"/>
        <v>学士</v>
      </c>
    </row>
    <row r="60" s="2" customFormat="1" customHeight="1" spans="1:10">
      <c r="A60" s="5">
        <v>58</v>
      </c>
      <c r="B60" s="5" t="s">
        <v>11</v>
      </c>
      <c r="C60" s="5" t="str">
        <f>"陈礼军"</f>
        <v>陈礼军</v>
      </c>
      <c r="D60" s="5" t="str">
        <f t="shared" ref="D60:D63" si="39">"男"</f>
        <v>男</v>
      </c>
      <c r="E60" s="5" t="str">
        <f>"1996-04-21"</f>
        <v>1996-04-21</v>
      </c>
      <c r="F60" s="5" t="s">
        <v>69</v>
      </c>
      <c r="G60" s="5" t="str">
        <f t="shared" si="37"/>
        <v>汉族</v>
      </c>
      <c r="H60" s="5" t="str">
        <f t="shared" si="38"/>
        <v>群众</v>
      </c>
      <c r="I60" s="5" t="str">
        <f t="shared" si="29"/>
        <v>本科</v>
      </c>
      <c r="J60" s="5" t="str">
        <f t="shared" si="34"/>
        <v>学士</v>
      </c>
    </row>
    <row r="61" s="2" customFormat="1" customHeight="1" spans="1:10">
      <c r="A61" s="5">
        <v>59</v>
      </c>
      <c r="B61" s="5" t="s">
        <v>11</v>
      </c>
      <c r="C61" s="5" t="str">
        <f>"李荣斌"</f>
        <v>李荣斌</v>
      </c>
      <c r="D61" s="5" t="str">
        <f t="shared" si="39"/>
        <v>男</v>
      </c>
      <c r="E61" s="5" t="str">
        <f>"1990-07-18"</f>
        <v>1990-07-18</v>
      </c>
      <c r="F61" s="5" t="s">
        <v>70</v>
      </c>
      <c r="G61" s="5" t="str">
        <f t="shared" si="37"/>
        <v>汉族</v>
      </c>
      <c r="H61" s="5" t="str">
        <f t="shared" si="38"/>
        <v>群众</v>
      </c>
      <c r="I61" s="5" t="str">
        <f t="shared" si="29"/>
        <v>本科</v>
      </c>
      <c r="J61" s="5" t="str">
        <f t="shared" si="34"/>
        <v>学士</v>
      </c>
    </row>
    <row r="62" s="2" customFormat="1" customHeight="1" spans="1:10">
      <c r="A62" s="5">
        <v>60</v>
      </c>
      <c r="B62" s="5" t="s">
        <v>11</v>
      </c>
      <c r="C62" s="5" t="str">
        <f>"陈如荣"</f>
        <v>陈如荣</v>
      </c>
      <c r="D62" s="5" t="str">
        <f t="shared" si="39"/>
        <v>男</v>
      </c>
      <c r="E62" s="5" t="str">
        <f>"1996-07-26"</f>
        <v>1996-07-26</v>
      </c>
      <c r="F62" s="5" t="s">
        <v>71</v>
      </c>
      <c r="G62" s="5" t="str">
        <f t="shared" si="37"/>
        <v>汉族</v>
      </c>
      <c r="H62" s="5" t="str">
        <f t="shared" ref="H62:H67" si="40">"共青团员"</f>
        <v>共青团员</v>
      </c>
      <c r="I62" s="5" t="str">
        <f t="shared" si="29"/>
        <v>本科</v>
      </c>
      <c r="J62" s="5" t="str">
        <f t="shared" si="34"/>
        <v>学士</v>
      </c>
    </row>
    <row r="63" s="2" customFormat="1" customHeight="1" spans="1:10">
      <c r="A63" s="5">
        <v>61</v>
      </c>
      <c r="B63" s="5" t="s">
        <v>11</v>
      </c>
      <c r="C63" s="5" t="str">
        <f>"钟玮"</f>
        <v>钟玮</v>
      </c>
      <c r="D63" s="5" t="str">
        <f t="shared" si="39"/>
        <v>男</v>
      </c>
      <c r="E63" s="5" t="str">
        <f>"1994-04-01"</f>
        <v>1994-04-01</v>
      </c>
      <c r="F63" s="5" t="s">
        <v>72</v>
      </c>
      <c r="G63" s="5" t="str">
        <f t="shared" si="37"/>
        <v>汉族</v>
      </c>
      <c r="H63" s="5" t="str">
        <f t="shared" ref="H63:H66" si="41">"群众"</f>
        <v>群众</v>
      </c>
      <c r="I63" s="5" t="str">
        <f t="shared" si="29"/>
        <v>本科</v>
      </c>
      <c r="J63" s="5" t="str">
        <f t="shared" si="34"/>
        <v>学士</v>
      </c>
    </row>
    <row r="64" s="2" customFormat="1" customHeight="1" spans="1:10">
      <c r="A64" s="5">
        <v>62</v>
      </c>
      <c r="B64" s="5" t="s">
        <v>11</v>
      </c>
      <c r="C64" s="5" t="str">
        <f>"许弘姐"</f>
        <v>许弘姐</v>
      </c>
      <c r="D64" s="5" t="str">
        <f t="shared" ref="D64:D69" si="42">"女"</f>
        <v>女</v>
      </c>
      <c r="E64" s="5" t="str">
        <f>"1996-06-02"</f>
        <v>1996-06-02</v>
      </c>
      <c r="F64" s="5" t="s">
        <v>73</v>
      </c>
      <c r="G64" s="5" t="str">
        <f t="shared" si="37"/>
        <v>汉族</v>
      </c>
      <c r="H64" s="5" t="str">
        <f t="shared" si="41"/>
        <v>群众</v>
      </c>
      <c r="I64" s="5" t="str">
        <f t="shared" si="29"/>
        <v>本科</v>
      </c>
      <c r="J64" s="5" t="str">
        <f t="shared" si="34"/>
        <v>学士</v>
      </c>
    </row>
    <row r="65" s="2" customFormat="1" customHeight="1" spans="1:10">
      <c r="A65" s="5">
        <v>63</v>
      </c>
      <c r="B65" s="5" t="s">
        <v>11</v>
      </c>
      <c r="C65" s="5" t="str">
        <f>"张入籝"</f>
        <v>张入籝</v>
      </c>
      <c r="D65" s="5" t="str">
        <f t="shared" si="42"/>
        <v>女</v>
      </c>
      <c r="E65" s="5" t="str">
        <f>"1996-05-19"</f>
        <v>1996-05-19</v>
      </c>
      <c r="F65" s="5" t="s">
        <v>74</v>
      </c>
      <c r="G65" s="5" t="str">
        <f t="shared" si="37"/>
        <v>汉族</v>
      </c>
      <c r="H65" s="5" t="str">
        <f t="shared" si="40"/>
        <v>共青团员</v>
      </c>
      <c r="I65" s="5" t="str">
        <f t="shared" si="29"/>
        <v>本科</v>
      </c>
      <c r="J65" s="5" t="str">
        <f t="shared" si="34"/>
        <v>学士</v>
      </c>
    </row>
    <row r="66" s="2" customFormat="1" customHeight="1" spans="1:10">
      <c r="A66" s="5">
        <v>64</v>
      </c>
      <c r="B66" s="5" t="s">
        <v>11</v>
      </c>
      <c r="C66" s="5" t="str">
        <f>"陈鸿毅"</f>
        <v>陈鸿毅</v>
      </c>
      <c r="D66" s="5" t="str">
        <f t="shared" ref="D66:D68" si="43">"男"</f>
        <v>男</v>
      </c>
      <c r="E66" s="5" t="str">
        <f>"1997-06-08"</f>
        <v>1997-06-08</v>
      </c>
      <c r="F66" s="5" t="s">
        <v>75</v>
      </c>
      <c r="G66" s="5" t="str">
        <f t="shared" si="37"/>
        <v>汉族</v>
      </c>
      <c r="H66" s="5" t="str">
        <f t="shared" si="41"/>
        <v>群众</v>
      </c>
      <c r="I66" s="5" t="str">
        <f t="shared" si="29"/>
        <v>本科</v>
      </c>
      <c r="J66" s="5" t="str">
        <f t="shared" si="34"/>
        <v>学士</v>
      </c>
    </row>
    <row r="67" s="2" customFormat="1" customHeight="1" spans="1:10">
      <c r="A67" s="5">
        <v>65</v>
      </c>
      <c r="B67" s="5" t="s">
        <v>11</v>
      </c>
      <c r="C67" s="5" t="str">
        <f>"王鑫博"</f>
        <v>王鑫博</v>
      </c>
      <c r="D67" s="5" t="str">
        <f t="shared" si="43"/>
        <v>男</v>
      </c>
      <c r="E67" s="5" t="str">
        <f>"1995-12-31"</f>
        <v>1995-12-31</v>
      </c>
      <c r="F67" s="5" t="s">
        <v>76</v>
      </c>
      <c r="G67" s="5" t="str">
        <f t="shared" ref="G67:G76" si="44">"汉族"</f>
        <v>汉族</v>
      </c>
      <c r="H67" s="5" t="str">
        <f t="shared" si="40"/>
        <v>共青团员</v>
      </c>
      <c r="I67" s="5" t="str">
        <f t="shared" si="29"/>
        <v>本科</v>
      </c>
      <c r="J67" s="5" t="str">
        <f t="shared" si="34"/>
        <v>学士</v>
      </c>
    </row>
    <row r="68" s="2" customFormat="1" customHeight="1" spans="1:10">
      <c r="A68" s="5">
        <v>66</v>
      </c>
      <c r="B68" s="5" t="s">
        <v>11</v>
      </c>
      <c r="C68" s="5" t="str">
        <f>"韩廷秀"</f>
        <v>韩廷秀</v>
      </c>
      <c r="D68" s="5" t="str">
        <f t="shared" si="43"/>
        <v>男</v>
      </c>
      <c r="E68" s="5" t="str">
        <f>"1989-02-24"</f>
        <v>1989-02-24</v>
      </c>
      <c r="F68" s="5" t="s">
        <v>77</v>
      </c>
      <c r="G68" s="5" t="str">
        <f t="shared" si="44"/>
        <v>汉族</v>
      </c>
      <c r="H68" s="5" t="str">
        <f t="shared" ref="H68:H71" si="45">"群众"</f>
        <v>群众</v>
      </c>
      <c r="I68" s="5" t="str">
        <f t="shared" si="29"/>
        <v>本科</v>
      </c>
      <c r="J68" s="5" t="str">
        <f t="shared" si="34"/>
        <v>学士</v>
      </c>
    </row>
    <row r="69" s="2" customFormat="1" customHeight="1" spans="1:10">
      <c r="A69" s="5">
        <v>67</v>
      </c>
      <c r="B69" s="5" t="s">
        <v>11</v>
      </c>
      <c r="C69" s="5" t="str">
        <f>"赵艺扬"</f>
        <v>赵艺扬</v>
      </c>
      <c r="D69" s="5" t="str">
        <f t="shared" si="42"/>
        <v>女</v>
      </c>
      <c r="E69" s="5" t="str">
        <f>"1992-08-28"</f>
        <v>1992-08-28</v>
      </c>
      <c r="F69" s="5" t="s">
        <v>78</v>
      </c>
      <c r="G69" s="5" t="str">
        <f t="shared" si="44"/>
        <v>汉族</v>
      </c>
      <c r="H69" s="5" t="str">
        <f t="shared" si="45"/>
        <v>群众</v>
      </c>
      <c r="I69" s="5" t="str">
        <f t="shared" si="29"/>
        <v>本科</v>
      </c>
      <c r="J69" s="5" t="str">
        <f t="shared" si="34"/>
        <v>学士</v>
      </c>
    </row>
    <row r="70" s="2" customFormat="1" customHeight="1" spans="1:10">
      <c r="A70" s="5">
        <v>68</v>
      </c>
      <c r="B70" s="5" t="s">
        <v>11</v>
      </c>
      <c r="C70" s="5" t="str">
        <f>"唐庆亮"</f>
        <v>唐庆亮</v>
      </c>
      <c r="D70" s="5" t="str">
        <f t="shared" ref="D70:D75" si="46">"男"</f>
        <v>男</v>
      </c>
      <c r="E70" s="5" t="str">
        <f>"1992-08-13"</f>
        <v>1992-08-13</v>
      </c>
      <c r="F70" s="5" t="s">
        <v>79</v>
      </c>
      <c r="G70" s="5" t="str">
        <f t="shared" si="44"/>
        <v>汉族</v>
      </c>
      <c r="H70" s="5" t="str">
        <f t="shared" si="45"/>
        <v>群众</v>
      </c>
      <c r="I70" s="5" t="str">
        <f t="shared" ref="I70:I77" si="47">"本科"</f>
        <v>本科</v>
      </c>
      <c r="J70" s="5" t="str">
        <f t="shared" ref="J70:J77" si="48">"学士"</f>
        <v>学士</v>
      </c>
    </row>
    <row r="71" s="2" customFormat="1" customHeight="1" spans="1:10">
      <c r="A71" s="5">
        <v>69</v>
      </c>
      <c r="B71" s="5" t="s">
        <v>11</v>
      </c>
      <c r="C71" s="5" t="str">
        <f>"周远航"</f>
        <v>周远航</v>
      </c>
      <c r="D71" s="5" t="str">
        <f t="shared" si="46"/>
        <v>男</v>
      </c>
      <c r="E71" s="5" t="str">
        <f>"1992-03-21"</f>
        <v>1992-03-21</v>
      </c>
      <c r="F71" s="5" t="s">
        <v>80</v>
      </c>
      <c r="G71" s="5" t="str">
        <f t="shared" si="44"/>
        <v>汉族</v>
      </c>
      <c r="H71" s="5" t="str">
        <f t="shared" si="45"/>
        <v>群众</v>
      </c>
      <c r="I71" s="5" t="str">
        <f t="shared" si="47"/>
        <v>本科</v>
      </c>
      <c r="J71" s="5" t="str">
        <f t="shared" si="48"/>
        <v>学士</v>
      </c>
    </row>
    <row r="72" s="2" customFormat="1" customHeight="1" spans="1:10">
      <c r="A72" s="5">
        <v>70</v>
      </c>
      <c r="B72" s="5" t="s">
        <v>11</v>
      </c>
      <c r="C72" s="5" t="str">
        <f>"林斯旺"</f>
        <v>林斯旺</v>
      </c>
      <c r="D72" s="5" t="str">
        <f t="shared" si="46"/>
        <v>男</v>
      </c>
      <c r="E72" s="5" t="str">
        <f>"1997-01-02"</f>
        <v>1997-01-02</v>
      </c>
      <c r="F72" s="5" t="s">
        <v>81</v>
      </c>
      <c r="G72" s="5" t="str">
        <f t="shared" si="44"/>
        <v>汉族</v>
      </c>
      <c r="H72" s="5" t="str">
        <f t="shared" ref="H72:H75" si="49">"共青团员"</f>
        <v>共青团员</v>
      </c>
      <c r="I72" s="5" t="str">
        <f t="shared" si="47"/>
        <v>本科</v>
      </c>
      <c r="J72" s="5" t="str">
        <f t="shared" si="48"/>
        <v>学士</v>
      </c>
    </row>
    <row r="73" s="2" customFormat="1" customHeight="1" spans="1:10">
      <c r="A73" s="5">
        <v>71</v>
      </c>
      <c r="B73" s="5" t="s">
        <v>11</v>
      </c>
      <c r="C73" s="5" t="str">
        <f>"贾淇植"</f>
        <v>贾淇植</v>
      </c>
      <c r="D73" s="5" t="str">
        <f t="shared" si="46"/>
        <v>男</v>
      </c>
      <c r="E73" s="5" t="str">
        <f>"1998-10-28"</f>
        <v>1998-10-28</v>
      </c>
      <c r="F73" s="5" t="s">
        <v>82</v>
      </c>
      <c r="G73" s="5" t="str">
        <f t="shared" si="44"/>
        <v>汉族</v>
      </c>
      <c r="H73" s="5" t="str">
        <f t="shared" si="49"/>
        <v>共青团员</v>
      </c>
      <c r="I73" s="5" t="str">
        <f t="shared" si="47"/>
        <v>本科</v>
      </c>
      <c r="J73" s="5" t="str">
        <f t="shared" si="48"/>
        <v>学士</v>
      </c>
    </row>
    <row r="74" s="2" customFormat="1" customHeight="1" spans="1:10">
      <c r="A74" s="5">
        <v>72</v>
      </c>
      <c r="B74" s="5" t="s">
        <v>11</v>
      </c>
      <c r="C74" s="5" t="str">
        <f>"刘祥康"</f>
        <v>刘祥康</v>
      </c>
      <c r="D74" s="5" t="str">
        <f t="shared" si="46"/>
        <v>男</v>
      </c>
      <c r="E74" s="5" t="str">
        <f>"1988-04-17"</f>
        <v>1988-04-17</v>
      </c>
      <c r="F74" s="5" t="s">
        <v>83</v>
      </c>
      <c r="G74" s="5" t="str">
        <f t="shared" si="44"/>
        <v>汉族</v>
      </c>
      <c r="H74" s="5" t="str">
        <f>"群众"</f>
        <v>群众</v>
      </c>
      <c r="I74" s="5" t="str">
        <f t="shared" si="47"/>
        <v>本科</v>
      </c>
      <c r="J74" s="5" t="str">
        <f t="shared" si="48"/>
        <v>学士</v>
      </c>
    </row>
    <row r="75" s="2" customFormat="1" customHeight="1" spans="1:10">
      <c r="A75" s="5">
        <v>73</v>
      </c>
      <c r="B75" s="5" t="s">
        <v>11</v>
      </c>
      <c r="C75" s="5" t="str">
        <f>"曾小松"</f>
        <v>曾小松</v>
      </c>
      <c r="D75" s="5" t="str">
        <f t="shared" si="46"/>
        <v>男</v>
      </c>
      <c r="E75" s="5" t="str">
        <f>"1995-05-25"</f>
        <v>1995-05-25</v>
      </c>
      <c r="F75" s="5" t="s">
        <v>84</v>
      </c>
      <c r="G75" s="5" t="str">
        <f t="shared" si="44"/>
        <v>汉族</v>
      </c>
      <c r="H75" s="5" t="str">
        <f t="shared" si="49"/>
        <v>共青团员</v>
      </c>
      <c r="I75" s="5" t="str">
        <f t="shared" si="47"/>
        <v>本科</v>
      </c>
      <c r="J75" s="5" t="str">
        <f t="shared" si="48"/>
        <v>学士</v>
      </c>
    </row>
    <row r="76" s="2" customFormat="1" customHeight="1" spans="1:10">
      <c r="A76" s="5">
        <v>74</v>
      </c>
      <c r="B76" s="5" t="s">
        <v>11</v>
      </c>
      <c r="C76" s="5" t="str">
        <f>"向柃樾"</f>
        <v>向柃樾</v>
      </c>
      <c r="D76" s="5" t="str">
        <f t="shared" ref="D76:D81" si="50">"女"</f>
        <v>女</v>
      </c>
      <c r="E76" s="5" t="str">
        <f>"1997-01-20"</f>
        <v>1997-01-20</v>
      </c>
      <c r="F76" s="5" t="s">
        <v>85</v>
      </c>
      <c r="G76" s="5" t="str">
        <f t="shared" si="44"/>
        <v>汉族</v>
      </c>
      <c r="H76" s="5" t="str">
        <f>"中共党员"</f>
        <v>中共党员</v>
      </c>
      <c r="I76" s="5" t="str">
        <f t="shared" si="47"/>
        <v>本科</v>
      </c>
      <c r="J76" s="5" t="str">
        <f t="shared" si="48"/>
        <v>学士</v>
      </c>
    </row>
    <row r="77" s="2" customFormat="1" customHeight="1" spans="1:10">
      <c r="A77" s="5">
        <v>75</v>
      </c>
      <c r="B77" s="5" t="s">
        <v>11</v>
      </c>
      <c r="C77" s="5" t="str">
        <f>"周伟"</f>
        <v>周伟</v>
      </c>
      <c r="D77" s="5" t="str">
        <f t="shared" ref="D77:D85" si="51">"男"</f>
        <v>男</v>
      </c>
      <c r="E77" s="5" t="str">
        <f>"1994-09-18"</f>
        <v>1994-09-18</v>
      </c>
      <c r="F77" s="5" t="s">
        <v>86</v>
      </c>
      <c r="G77" s="5" t="str">
        <f t="shared" ref="G77:G85" si="52">"汉族"</f>
        <v>汉族</v>
      </c>
      <c r="H77" s="5" t="str">
        <f t="shared" ref="H77:H79" si="53">"共青团员"</f>
        <v>共青团员</v>
      </c>
      <c r="I77" s="5" t="str">
        <f t="shared" si="47"/>
        <v>本科</v>
      </c>
      <c r="J77" s="5" t="str">
        <f t="shared" si="48"/>
        <v>学士</v>
      </c>
    </row>
    <row r="78" s="2" customFormat="1" customHeight="1" spans="1:10">
      <c r="A78" s="5">
        <v>76</v>
      </c>
      <c r="B78" s="5" t="s">
        <v>11</v>
      </c>
      <c r="C78" s="5" t="str">
        <f>"扶月月"</f>
        <v>扶月月</v>
      </c>
      <c r="D78" s="5" t="str">
        <f t="shared" si="50"/>
        <v>女</v>
      </c>
      <c r="E78" s="5" t="str">
        <f>"1994-08-17"</f>
        <v>1994-08-17</v>
      </c>
      <c r="F78" s="5" t="s">
        <v>87</v>
      </c>
      <c r="G78" s="5" t="str">
        <f t="shared" si="52"/>
        <v>汉族</v>
      </c>
      <c r="H78" s="5" t="str">
        <f t="shared" si="53"/>
        <v>共青团员</v>
      </c>
      <c r="I78" s="5" t="str">
        <f>"研究生"</f>
        <v>研究生</v>
      </c>
      <c r="J78" s="5" t="str">
        <f>"硕士"</f>
        <v>硕士</v>
      </c>
    </row>
    <row r="79" s="2" customFormat="1" customHeight="1" spans="1:10">
      <c r="A79" s="5">
        <v>77</v>
      </c>
      <c r="B79" s="5" t="s">
        <v>11</v>
      </c>
      <c r="C79" s="5" t="str">
        <f>"刘星宇"</f>
        <v>刘星宇</v>
      </c>
      <c r="D79" s="5" t="str">
        <f t="shared" si="51"/>
        <v>男</v>
      </c>
      <c r="E79" s="5" t="str">
        <f>"1996-06-25"</f>
        <v>1996-06-25</v>
      </c>
      <c r="F79" s="5" t="s">
        <v>88</v>
      </c>
      <c r="G79" s="5" t="str">
        <f t="shared" si="52"/>
        <v>汉族</v>
      </c>
      <c r="H79" s="5" t="str">
        <f t="shared" si="53"/>
        <v>共青团员</v>
      </c>
      <c r="I79" s="5" t="str">
        <f t="shared" ref="I79:I85" si="54">"本科"</f>
        <v>本科</v>
      </c>
      <c r="J79" s="5" t="str">
        <f t="shared" ref="J79:J85" si="55">"学士"</f>
        <v>学士</v>
      </c>
    </row>
    <row r="80" s="2" customFormat="1" customHeight="1" spans="1:10">
      <c r="A80" s="5">
        <v>78</v>
      </c>
      <c r="B80" s="5" t="s">
        <v>11</v>
      </c>
      <c r="C80" s="5" t="str">
        <f>"吴迪欣"</f>
        <v>吴迪欣</v>
      </c>
      <c r="D80" s="5" t="str">
        <f t="shared" si="50"/>
        <v>女</v>
      </c>
      <c r="E80" s="5" t="str">
        <f>"1994-10-21"</f>
        <v>1994-10-21</v>
      </c>
      <c r="F80" s="5" t="s">
        <v>89</v>
      </c>
      <c r="G80" s="5" t="str">
        <f t="shared" si="52"/>
        <v>汉族</v>
      </c>
      <c r="H80" s="5" t="str">
        <f t="shared" ref="H80:H85" si="56">"群众"</f>
        <v>群众</v>
      </c>
      <c r="I80" s="5" t="str">
        <f t="shared" si="54"/>
        <v>本科</v>
      </c>
      <c r="J80" s="5" t="str">
        <f t="shared" si="55"/>
        <v>学士</v>
      </c>
    </row>
    <row r="81" s="2" customFormat="1" customHeight="1" spans="1:10">
      <c r="A81" s="5">
        <v>79</v>
      </c>
      <c r="B81" s="5" t="s">
        <v>11</v>
      </c>
      <c r="C81" s="5" t="str">
        <f>"林琳"</f>
        <v>林琳</v>
      </c>
      <c r="D81" s="5" t="str">
        <f t="shared" si="50"/>
        <v>女</v>
      </c>
      <c r="E81" s="5" t="str">
        <f>"1993-05-05"</f>
        <v>1993-05-05</v>
      </c>
      <c r="F81" s="5" t="s">
        <v>90</v>
      </c>
      <c r="G81" s="5" t="str">
        <f t="shared" si="52"/>
        <v>汉族</v>
      </c>
      <c r="H81" s="5" t="str">
        <f t="shared" si="56"/>
        <v>群众</v>
      </c>
      <c r="I81" s="5" t="str">
        <f t="shared" si="54"/>
        <v>本科</v>
      </c>
      <c r="J81" s="5" t="str">
        <f t="shared" si="55"/>
        <v>学士</v>
      </c>
    </row>
    <row r="82" s="2" customFormat="1" customHeight="1" spans="1:10">
      <c r="A82" s="5">
        <v>80</v>
      </c>
      <c r="B82" s="5" t="s">
        <v>11</v>
      </c>
      <c r="C82" s="5" t="str">
        <f>"容康"</f>
        <v>容康</v>
      </c>
      <c r="D82" s="5" t="str">
        <f t="shared" si="51"/>
        <v>男</v>
      </c>
      <c r="E82" s="5" t="str">
        <f>"1985-04-25"</f>
        <v>1985-04-25</v>
      </c>
      <c r="F82" s="5" t="s">
        <v>91</v>
      </c>
      <c r="G82" s="5" t="str">
        <f t="shared" si="52"/>
        <v>汉族</v>
      </c>
      <c r="H82" s="5" t="str">
        <f>"中共党员"</f>
        <v>中共党员</v>
      </c>
      <c r="I82" s="5" t="str">
        <f t="shared" si="54"/>
        <v>本科</v>
      </c>
      <c r="J82" s="5" t="str">
        <f t="shared" si="55"/>
        <v>学士</v>
      </c>
    </row>
    <row r="83" s="2" customFormat="1" customHeight="1" spans="1:10">
      <c r="A83" s="5">
        <v>81</v>
      </c>
      <c r="B83" s="5" t="s">
        <v>11</v>
      </c>
      <c r="C83" s="5" t="str">
        <f>"吴清智"</f>
        <v>吴清智</v>
      </c>
      <c r="D83" s="5" t="str">
        <f t="shared" si="51"/>
        <v>男</v>
      </c>
      <c r="E83" s="5" t="str">
        <f>"1992-06-20"</f>
        <v>1992-06-20</v>
      </c>
      <c r="F83" s="5" t="s">
        <v>92</v>
      </c>
      <c r="G83" s="5" t="str">
        <f t="shared" si="52"/>
        <v>汉族</v>
      </c>
      <c r="H83" s="5" t="str">
        <f t="shared" si="56"/>
        <v>群众</v>
      </c>
      <c r="I83" s="5" t="str">
        <f t="shared" si="54"/>
        <v>本科</v>
      </c>
      <c r="J83" s="5" t="str">
        <f t="shared" si="55"/>
        <v>学士</v>
      </c>
    </row>
    <row r="84" s="2" customFormat="1" customHeight="1" spans="1:10">
      <c r="A84" s="5">
        <v>82</v>
      </c>
      <c r="B84" s="5" t="s">
        <v>11</v>
      </c>
      <c r="C84" s="5" t="str">
        <f>"曾其专"</f>
        <v>曾其专</v>
      </c>
      <c r="D84" s="5" t="str">
        <f t="shared" si="51"/>
        <v>男</v>
      </c>
      <c r="E84" s="5" t="str">
        <f>"1987-04-28"</f>
        <v>1987-04-28</v>
      </c>
      <c r="F84" s="5" t="s">
        <v>93</v>
      </c>
      <c r="G84" s="5" t="str">
        <f t="shared" si="52"/>
        <v>汉族</v>
      </c>
      <c r="H84" s="5" t="str">
        <f t="shared" si="56"/>
        <v>群众</v>
      </c>
      <c r="I84" s="5" t="str">
        <f t="shared" si="54"/>
        <v>本科</v>
      </c>
      <c r="J84" s="5" t="str">
        <f t="shared" si="55"/>
        <v>学士</v>
      </c>
    </row>
    <row r="85" s="2" customFormat="1" customHeight="1" spans="1:10">
      <c r="A85" s="5">
        <v>83</v>
      </c>
      <c r="B85" s="5" t="s">
        <v>11</v>
      </c>
      <c r="C85" s="5" t="str">
        <f>"陈立文"</f>
        <v>陈立文</v>
      </c>
      <c r="D85" s="5" t="str">
        <f t="shared" si="51"/>
        <v>男</v>
      </c>
      <c r="E85" s="5" t="str">
        <f>"1992-10-06"</f>
        <v>1992-10-06</v>
      </c>
      <c r="F85" s="5" t="s">
        <v>94</v>
      </c>
      <c r="G85" s="5" t="str">
        <f t="shared" si="52"/>
        <v>汉族</v>
      </c>
      <c r="H85" s="5" t="str">
        <f t="shared" si="56"/>
        <v>群众</v>
      </c>
      <c r="I85" s="5" t="str">
        <f t="shared" si="54"/>
        <v>本科</v>
      </c>
      <c r="J85" s="5" t="str">
        <f t="shared" si="55"/>
        <v>学士</v>
      </c>
    </row>
    <row r="86" s="2" customFormat="1" customHeight="1" spans="1:10">
      <c r="A86" s="5">
        <v>84</v>
      </c>
      <c r="B86" s="5" t="s">
        <v>11</v>
      </c>
      <c r="C86" s="5" t="str">
        <f>"陈宸"</f>
        <v>陈宸</v>
      </c>
      <c r="D86" s="5" t="str">
        <f t="shared" ref="D86:D88" si="57">"女"</f>
        <v>女</v>
      </c>
      <c r="E86" s="5" t="str">
        <f>"1994-05-20"</f>
        <v>1994-05-20</v>
      </c>
      <c r="F86" s="5" t="s">
        <v>95</v>
      </c>
      <c r="G86" s="5" t="str">
        <f>"苗族"</f>
        <v>苗族</v>
      </c>
      <c r="H86" s="5" t="str">
        <f t="shared" ref="H86:H90" si="58">"共青团员"</f>
        <v>共青团员</v>
      </c>
      <c r="I86" s="5" t="str">
        <f t="shared" ref="I86:I91" si="59">"本科"</f>
        <v>本科</v>
      </c>
      <c r="J86" s="5" t="str">
        <f t="shared" ref="J86:J91" si="60">"学士"</f>
        <v>学士</v>
      </c>
    </row>
    <row r="87" s="2" customFormat="1" customHeight="1" spans="1:10">
      <c r="A87" s="5">
        <v>85</v>
      </c>
      <c r="B87" s="5" t="s">
        <v>11</v>
      </c>
      <c r="C87" s="5" t="str">
        <f>"鄂珊"</f>
        <v>鄂珊</v>
      </c>
      <c r="D87" s="5" t="str">
        <f t="shared" si="57"/>
        <v>女</v>
      </c>
      <c r="E87" s="5" t="str">
        <f>"1995-03-23"</f>
        <v>1995-03-23</v>
      </c>
      <c r="F87" s="5" t="s">
        <v>96</v>
      </c>
      <c r="G87" s="5" t="str">
        <f>"满族"</f>
        <v>满族</v>
      </c>
      <c r="H87" s="5" t="str">
        <f t="shared" si="58"/>
        <v>共青团员</v>
      </c>
      <c r="I87" s="5" t="str">
        <f t="shared" si="59"/>
        <v>本科</v>
      </c>
      <c r="J87" s="5" t="str">
        <f t="shared" si="60"/>
        <v>学士</v>
      </c>
    </row>
    <row r="88" s="2" customFormat="1" customHeight="1" spans="1:10">
      <c r="A88" s="5">
        <v>86</v>
      </c>
      <c r="B88" s="5" t="s">
        <v>11</v>
      </c>
      <c r="C88" s="5" t="str">
        <f>"邓义雪"</f>
        <v>邓义雪</v>
      </c>
      <c r="D88" s="5" t="str">
        <f t="shared" si="57"/>
        <v>女</v>
      </c>
      <c r="E88" s="5" t="str">
        <f>"1996-04-10"</f>
        <v>1996-04-10</v>
      </c>
      <c r="F88" s="5" t="s">
        <v>97</v>
      </c>
      <c r="G88" s="5" t="str">
        <f t="shared" ref="G88:G91" si="61">"汉族"</f>
        <v>汉族</v>
      </c>
      <c r="H88" s="5" t="str">
        <f t="shared" si="58"/>
        <v>共青团员</v>
      </c>
      <c r="I88" s="5" t="str">
        <f t="shared" si="59"/>
        <v>本科</v>
      </c>
      <c r="J88" s="5" t="str">
        <f t="shared" si="60"/>
        <v>学士</v>
      </c>
    </row>
    <row r="89" s="2" customFormat="1" customHeight="1" spans="1:10">
      <c r="A89" s="5">
        <v>87</v>
      </c>
      <c r="B89" s="5" t="s">
        <v>11</v>
      </c>
      <c r="C89" s="5" t="str">
        <f>"吕裕果"</f>
        <v>吕裕果</v>
      </c>
      <c r="D89" s="5" t="str">
        <f t="shared" ref="D89:D91" si="62">"男"</f>
        <v>男</v>
      </c>
      <c r="E89" s="5" t="str">
        <f>"1997-05-22"</f>
        <v>1997-05-22</v>
      </c>
      <c r="F89" s="5" t="s">
        <v>98</v>
      </c>
      <c r="G89" s="5" t="str">
        <f t="shared" si="61"/>
        <v>汉族</v>
      </c>
      <c r="H89" s="5" t="str">
        <f t="shared" si="58"/>
        <v>共青团员</v>
      </c>
      <c r="I89" s="5" t="str">
        <f t="shared" si="59"/>
        <v>本科</v>
      </c>
      <c r="J89" s="5" t="str">
        <f t="shared" si="60"/>
        <v>学士</v>
      </c>
    </row>
    <row r="90" s="2" customFormat="1" customHeight="1" spans="1:10">
      <c r="A90" s="5">
        <v>88</v>
      </c>
      <c r="B90" s="5" t="s">
        <v>11</v>
      </c>
      <c r="C90" s="5" t="str">
        <f>"许继儒"</f>
        <v>许继儒</v>
      </c>
      <c r="D90" s="5" t="str">
        <f t="shared" si="62"/>
        <v>男</v>
      </c>
      <c r="E90" s="5" t="str">
        <f>"1995-10-08"</f>
        <v>1995-10-08</v>
      </c>
      <c r="F90" s="5" t="s">
        <v>99</v>
      </c>
      <c r="G90" s="5" t="str">
        <f t="shared" si="61"/>
        <v>汉族</v>
      </c>
      <c r="H90" s="5" t="str">
        <f t="shared" si="58"/>
        <v>共青团员</v>
      </c>
      <c r="I90" s="5" t="str">
        <f t="shared" si="59"/>
        <v>本科</v>
      </c>
      <c r="J90" s="5" t="str">
        <f t="shared" si="60"/>
        <v>学士</v>
      </c>
    </row>
    <row r="91" s="2" customFormat="1" ht="32" customHeight="1" spans="1:10">
      <c r="A91" s="5">
        <v>89</v>
      </c>
      <c r="B91" s="5" t="s">
        <v>11</v>
      </c>
      <c r="C91" s="5" t="str">
        <f>"林瑞富"</f>
        <v>林瑞富</v>
      </c>
      <c r="D91" s="5" t="str">
        <f t="shared" si="62"/>
        <v>男</v>
      </c>
      <c r="E91" s="5" t="str">
        <f>"1990-03-23"</f>
        <v>1990-03-23</v>
      </c>
      <c r="F91" s="5" t="s">
        <v>100</v>
      </c>
      <c r="G91" s="5" t="str">
        <f t="shared" si="61"/>
        <v>汉族</v>
      </c>
      <c r="H91" s="5" t="str">
        <f>"群众"</f>
        <v>群众</v>
      </c>
      <c r="I91" s="5" t="str">
        <f t="shared" si="59"/>
        <v>本科</v>
      </c>
      <c r="J91" s="5" t="str">
        <f t="shared" si="60"/>
        <v>学士</v>
      </c>
    </row>
    <row r="92" s="2" customFormat="1" customHeight="1" spans="1:10">
      <c r="A92" s="5">
        <v>90</v>
      </c>
      <c r="B92" s="5" t="s">
        <v>11</v>
      </c>
      <c r="C92" s="5" t="str">
        <f>"邢孔珠"</f>
        <v>邢孔珠</v>
      </c>
      <c r="D92" s="5" t="str">
        <f>"女"</f>
        <v>女</v>
      </c>
      <c r="E92" s="5" t="str">
        <f>"1989-07-20"</f>
        <v>1989-07-20</v>
      </c>
      <c r="F92" s="5" t="s">
        <v>101</v>
      </c>
      <c r="G92" s="5" t="str">
        <f t="shared" ref="G92:G98" si="63">"汉族"</f>
        <v>汉族</v>
      </c>
      <c r="H92" s="5" t="str">
        <f t="shared" ref="H92:H97" si="64">"群众"</f>
        <v>群众</v>
      </c>
      <c r="I92" s="5" t="str">
        <f t="shared" ref="I92:I98" si="65">"本科"</f>
        <v>本科</v>
      </c>
      <c r="J92" s="5" t="str">
        <f t="shared" ref="J92:J98" si="66">"学士"</f>
        <v>学士</v>
      </c>
    </row>
    <row r="93" s="2" customFormat="1" customHeight="1" spans="1:10">
      <c r="A93" s="5">
        <v>91</v>
      </c>
      <c r="B93" s="5" t="s">
        <v>11</v>
      </c>
      <c r="C93" s="5" t="str">
        <f>"黎灵晶"</f>
        <v>黎灵晶</v>
      </c>
      <c r="D93" s="5" t="str">
        <f t="shared" ref="D93:D98" si="67">"男"</f>
        <v>男</v>
      </c>
      <c r="E93" s="5" t="str">
        <f>"1985-02-12"</f>
        <v>1985-02-12</v>
      </c>
      <c r="F93" s="5" t="s">
        <v>102</v>
      </c>
      <c r="G93" s="5" t="str">
        <f t="shared" si="63"/>
        <v>汉族</v>
      </c>
      <c r="H93" s="5" t="str">
        <f>"中共党员"</f>
        <v>中共党员</v>
      </c>
      <c r="I93" s="5" t="str">
        <f t="shared" si="65"/>
        <v>本科</v>
      </c>
      <c r="J93" s="5" t="str">
        <f t="shared" si="66"/>
        <v>学士</v>
      </c>
    </row>
    <row r="94" s="2" customFormat="1" customHeight="1" spans="1:10">
      <c r="A94" s="5">
        <v>92</v>
      </c>
      <c r="B94" s="5" t="s">
        <v>11</v>
      </c>
      <c r="C94" s="5" t="str">
        <f>"田开宇"</f>
        <v>田开宇</v>
      </c>
      <c r="D94" s="5" t="str">
        <f t="shared" si="67"/>
        <v>男</v>
      </c>
      <c r="E94" s="5" t="str">
        <f>"1995-03-24"</f>
        <v>1995-03-24</v>
      </c>
      <c r="F94" s="5" t="s">
        <v>103</v>
      </c>
      <c r="G94" s="5" t="str">
        <f t="shared" si="63"/>
        <v>汉族</v>
      </c>
      <c r="H94" s="5" t="str">
        <f t="shared" si="64"/>
        <v>群众</v>
      </c>
      <c r="I94" s="5" t="str">
        <f t="shared" si="65"/>
        <v>本科</v>
      </c>
      <c r="J94" s="5" t="str">
        <f t="shared" si="66"/>
        <v>学士</v>
      </c>
    </row>
    <row r="95" s="2" customFormat="1" customHeight="1" spans="1:10">
      <c r="A95" s="5">
        <v>93</v>
      </c>
      <c r="B95" s="5" t="s">
        <v>11</v>
      </c>
      <c r="C95" s="5" t="str">
        <f>"曾海妹"</f>
        <v>曾海妹</v>
      </c>
      <c r="D95" s="5" t="str">
        <f>"女"</f>
        <v>女</v>
      </c>
      <c r="E95" s="5" t="str">
        <f>"1996-06-07"</f>
        <v>1996-06-07</v>
      </c>
      <c r="F95" s="5" t="s">
        <v>104</v>
      </c>
      <c r="G95" s="5" t="str">
        <f t="shared" si="63"/>
        <v>汉族</v>
      </c>
      <c r="H95" s="5" t="str">
        <f>"共青团员"</f>
        <v>共青团员</v>
      </c>
      <c r="I95" s="5" t="str">
        <f t="shared" si="65"/>
        <v>本科</v>
      </c>
      <c r="J95" s="5" t="str">
        <f t="shared" si="66"/>
        <v>学士</v>
      </c>
    </row>
    <row r="96" s="2" customFormat="1" customHeight="1" spans="1:10">
      <c r="A96" s="5">
        <v>94</v>
      </c>
      <c r="B96" s="5" t="s">
        <v>11</v>
      </c>
      <c r="C96" s="5" t="str">
        <f>"邹兴茂"</f>
        <v>邹兴茂</v>
      </c>
      <c r="D96" s="5" t="str">
        <f t="shared" si="67"/>
        <v>男</v>
      </c>
      <c r="E96" s="5" t="str">
        <f>"1989-07-06"</f>
        <v>1989-07-06</v>
      </c>
      <c r="F96" s="5" t="s">
        <v>105</v>
      </c>
      <c r="G96" s="5" t="str">
        <f t="shared" si="63"/>
        <v>汉族</v>
      </c>
      <c r="H96" s="5" t="str">
        <f>"预备党员"</f>
        <v>预备党员</v>
      </c>
      <c r="I96" s="5" t="str">
        <f t="shared" si="65"/>
        <v>本科</v>
      </c>
      <c r="J96" s="5" t="str">
        <f t="shared" si="66"/>
        <v>学士</v>
      </c>
    </row>
    <row r="97" s="2" customFormat="1" ht="32" customHeight="1" spans="1:10">
      <c r="A97" s="5">
        <v>95</v>
      </c>
      <c r="B97" s="5" t="s">
        <v>11</v>
      </c>
      <c r="C97" s="5" t="str">
        <f>"覃柯"</f>
        <v>覃柯</v>
      </c>
      <c r="D97" s="5" t="str">
        <f t="shared" si="67"/>
        <v>男</v>
      </c>
      <c r="E97" s="5" t="str">
        <f>"1997-01-31"</f>
        <v>1997-01-31</v>
      </c>
      <c r="F97" s="5" t="s">
        <v>106</v>
      </c>
      <c r="G97" s="5" t="str">
        <f t="shared" si="63"/>
        <v>汉族</v>
      </c>
      <c r="H97" s="5" t="str">
        <f t="shared" si="64"/>
        <v>群众</v>
      </c>
      <c r="I97" s="5" t="str">
        <f t="shared" si="65"/>
        <v>本科</v>
      </c>
      <c r="J97" s="5" t="str">
        <f t="shared" si="66"/>
        <v>学士</v>
      </c>
    </row>
    <row r="98" s="2" customFormat="1" customHeight="1" spans="1:10">
      <c r="A98" s="5">
        <v>96</v>
      </c>
      <c r="B98" s="5" t="s">
        <v>11</v>
      </c>
      <c r="C98" s="5" t="str">
        <f>"蔡子尧"</f>
        <v>蔡子尧</v>
      </c>
      <c r="D98" s="5" t="str">
        <f t="shared" si="67"/>
        <v>男</v>
      </c>
      <c r="E98" s="5" t="str">
        <f>"1997-05-22"</f>
        <v>1997-05-22</v>
      </c>
      <c r="F98" s="5" t="s">
        <v>107</v>
      </c>
      <c r="G98" s="5" t="str">
        <f t="shared" si="63"/>
        <v>汉族</v>
      </c>
      <c r="H98" s="5" t="str">
        <f t="shared" ref="H98:H103" si="68">"共青团员"</f>
        <v>共青团员</v>
      </c>
      <c r="I98" s="5" t="str">
        <f t="shared" si="65"/>
        <v>本科</v>
      </c>
      <c r="J98" s="5" t="str">
        <f t="shared" si="66"/>
        <v>学士</v>
      </c>
    </row>
    <row r="99" s="2" customFormat="1" customHeight="1" spans="1:10">
      <c r="A99" s="5">
        <v>97</v>
      </c>
      <c r="B99" s="5" t="s">
        <v>11</v>
      </c>
      <c r="C99" s="5" t="str">
        <f>"黄承宝"</f>
        <v>黄承宝</v>
      </c>
      <c r="D99" s="5" t="str">
        <f t="shared" ref="D99:D108" si="69">"男"</f>
        <v>男</v>
      </c>
      <c r="E99" s="5" t="str">
        <f>"1996-07-22"</f>
        <v>1996-07-22</v>
      </c>
      <c r="F99" s="5" t="s">
        <v>108</v>
      </c>
      <c r="G99" s="5" t="str">
        <f t="shared" ref="G99:G104" si="70">"汉族"</f>
        <v>汉族</v>
      </c>
      <c r="H99" s="5" t="str">
        <f>"群众"</f>
        <v>群众</v>
      </c>
      <c r="I99" s="5" t="str">
        <f t="shared" ref="I99:I113" si="71">"本科"</f>
        <v>本科</v>
      </c>
      <c r="J99" s="5" t="str">
        <f t="shared" ref="J99:J113" si="72">"学士"</f>
        <v>学士</v>
      </c>
    </row>
    <row r="100" s="2" customFormat="1" customHeight="1" spans="1:10">
      <c r="A100" s="5">
        <v>98</v>
      </c>
      <c r="B100" s="5" t="s">
        <v>11</v>
      </c>
      <c r="C100" s="5" t="str">
        <f>"文杰"</f>
        <v>文杰</v>
      </c>
      <c r="D100" s="5" t="str">
        <f t="shared" si="69"/>
        <v>男</v>
      </c>
      <c r="E100" s="5" t="str">
        <f>"1996-05-08"</f>
        <v>1996-05-08</v>
      </c>
      <c r="F100" s="5" t="s">
        <v>109</v>
      </c>
      <c r="G100" s="5" t="str">
        <f t="shared" si="70"/>
        <v>汉族</v>
      </c>
      <c r="H100" s="5" t="str">
        <f t="shared" si="68"/>
        <v>共青团员</v>
      </c>
      <c r="I100" s="5" t="str">
        <f t="shared" si="71"/>
        <v>本科</v>
      </c>
      <c r="J100" s="5" t="str">
        <f t="shared" si="72"/>
        <v>学士</v>
      </c>
    </row>
    <row r="101" s="2" customFormat="1" customHeight="1" spans="1:10">
      <c r="A101" s="5">
        <v>99</v>
      </c>
      <c r="B101" s="5" t="s">
        <v>11</v>
      </c>
      <c r="C101" s="5" t="str">
        <f>"王欢欢"</f>
        <v>王欢欢</v>
      </c>
      <c r="D101" s="5" t="str">
        <f>"女"</f>
        <v>女</v>
      </c>
      <c r="E101" s="5" t="str">
        <f>"1993-02-18"</f>
        <v>1993-02-18</v>
      </c>
      <c r="F101" s="5" t="s">
        <v>110</v>
      </c>
      <c r="G101" s="5" t="str">
        <f>"黎族"</f>
        <v>黎族</v>
      </c>
      <c r="H101" s="5" t="str">
        <f t="shared" si="68"/>
        <v>共青团员</v>
      </c>
      <c r="I101" s="5" t="str">
        <f t="shared" si="71"/>
        <v>本科</v>
      </c>
      <c r="J101" s="5" t="str">
        <f t="shared" si="72"/>
        <v>学士</v>
      </c>
    </row>
    <row r="102" s="2" customFormat="1" customHeight="1" spans="1:10">
      <c r="A102" s="5">
        <v>100</v>
      </c>
      <c r="B102" s="5" t="s">
        <v>11</v>
      </c>
      <c r="C102" s="5" t="str">
        <f>"王崇楷"</f>
        <v>王崇楷</v>
      </c>
      <c r="D102" s="5" t="str">
        <f t="shared" si="69"/>
        <v>男</v>
      </c>
      <c r="E102" s="5" t="str">
        <f>"1995-11-21"</f>
        <v>1995-11-21</v>
      </c>
      <c r="F102" s="5" t="s">
        <v>111</v>
      </c>
      <c r="G102" s="5" t="str">
        <f t="shared" si="70"/>
        <v>汉族</v>
      </c>
      <c r="H102" s="5" t="str">
        <f t="shared" si="68"/>
        <v>共青团员</v>
      </c>
      <c r="I102" s="5" t="str">
        <f t="shared" si="71"/>
        <v>本科</v>
      </c>
      <c r="J102" s="5" t="str">
        <f t="shared" si="72"/>
        <v>学士</v>
      </c>
    </row>
    <row r="103" s="2" customFormat="1" customHeight="1" spans="1:10">
      <c r="A103" s="5">
        <v>101</v>
      </c>
      <c r="B103" s="5" t="s">
        <v>11</v>
      </c>
      <c r="C103" s="5" t="str">
        <f>"陈芸"</f>
        <v>陈芸</v>
      </c>
      <c r="D103" s="5" t="str">
        <f>"女"</f>
        <v>女</v>
      </c>
      <c r="E103" s="5" t="str">
        <f>"1988-01-03"</f>
        <v>1988-01-03</v>
      </c>
      <c r="F103" s="5" t="s">
        <v>112</v>
      </c>
      <c r="G103" s="5" t="str">
        <f t="shared" si="70"/>
        <v>汉族</v>
      </c>
      <c r="H103" s="5" t="str">
        <f t="shared" si="68"/>
        <v>共青团员</v>
      </c>
      <c r="I103" s="5" t="str">
        <f t="shared" si="71"/>
        <v>本科</v>
      </c>
      <c r="J103" s="5" t="str">
        <f t="shared" si="72"/>
        <v>学士</v>
      </c>
    </row>
    <row r="104" s="2" customFormat="1" ht="32" customHeight="1" spans="1:10">
      <c r="A104" s="5">
        <v>102</v>
      </c>
      <c r="B104" s="5" t="s">
        <v>11</v>
      </c>
      <c r="C104" s="5" t="str">
        <f>"李建波"</f>
        <v>李建波</v>
      </c>
      <c r="D104" s="5" t="str">
        <f t="shared" si="69"/>
        <v>男</v>
      </c>
      <c r="E104" s="5" t="str">
        <f>"1998-06-18"</f>
        <v>1998-06-18</v>
      </c>
      <c r="F104" s="5" t="s">
        <v>113</v>
      </c>
      <c r="G104" s="5" t="str">
        <f t="shared" si="70"/>
        <v>汉族</v>
      </c>
      <c r="H104" s="5" t="str">
        <f>"群众"</f>
        <v>群众</v>
      </c>
      <c r="I104" s="5" t="str">
        <f t="shared" si="71"/>
        <v>本科</v>
      </c>
      <c r="J104" s="5" t="str">
        <f t="shared" si="72"/>
        <v>学士</v>
      </c>
    </row>
    <row r="105" s="2" customFormat="1" customHeight="1" spans="1:10">
      <c r="A105" s="5">
        <v>103</v>
      </c>
      <c r="B105" s="5" t="s">
        <v>11</v>
      </c>
      <c r="C105" s="5" t="str">
        <f>"邢增帅"</f>
        <v>邢增帅</v>
      </c>
      <c r="D105" s="5" t="str">
        <f t="shared" si="69"/>
        <v>男</v>
      </c>
      <c r="E105" s="5" t="str">
        <f>"1991-11-20"</f>
        <v>1991-11-20</v>
      </c>
      <c r="F105" s="5" t="s">
        <v>114</v>
      </c>
      <c r="G105" s="5" t="str">
        <f t="shared" ref="G105:G112" si="73">"汉族"</f>
        <v>汉族</v>
      </c>
      <c r="H105" s="5" t="str">
        <f t="shared" ref="H105:H110" si="74">"群众"</f>
        <v>群众</v>
      </c>
      <c r="I105" s="5" t="str">
        <f t="shared" si="71"/>
        <v>本科</v>
      </c>
      <c r="J105" s="5" t="str">
        <f t="shared" si="72"/>
        <v>学士</v>
      </c>
    </row>
    <row r="106" s="2" customFormat="1" customHeight="1" spans="1:10">
      <c r="A106" s="5">
        <v>104</v>
      </c>
      <c r="B106" s="5" t="s">
        <v>11</v>
      </c>
      <c r="C106" s="5" t="str">
        <f>"陈万豪"</f>
        <v>陈万豪</v>
      </c>
      <c r="D106" s="5" t="str">
        <f t="shared" si="69"/>
        <v>男</v>
      </c>
      <c r="E106" s="5" t="str">
        <f>"1995-02-23"</f>
        <v>1995-02-23</v>
      </c>
      <c r="F106" s="5" t="s">
        <v>115</v>
      </c>
      <c r="G106" s="5" t="str">
        <f t="shared" si="73"/>
        <v>汉族</v>
      </c>
      <c r="H106" s="5" t="str">
        <f t="shared" si="74"/>
        <v>群众</v>
      </c>
      <c r="I106" s="5" t="str">
        <f t="shared" si="71"/>
        <v>本科</v>
      </c>
      <c r="J106" s="5" t="str">
        <f t="shared" si="72"/>
        <v>学士</v>
      </c>
    </row>
    <row r="107" s="2" customFormat="1" customHeight="1" spans="1:10">
      <c r="A107" s="5">
        <v>105</v>
      </c>
      <c r="B107" s="5" t="s">
        <v>11</v>
      </c>
      <c r="C107" s="5" t="str">
        <f>"黄进财"</f>
        <v>黄进财</v>
      </c>
      <c r="D107" s="5" t="str">
        <f t="shared" si="69"/>
        <v>男</v>
      </c>
      <c r="E107" s="5" t="str">
        <f>"1994-07-19"</f>
        <v>1994-07-19</v>
      </c>
      <c r="F107" s="5" t="s">
        <v>116</v>
      </c>
      <c r="G107" s="5" t="str">
        <f t="shared" si="73"/>
        <v>汉族</v>
      </c>
      <c r="H107" s="5" t="str">
        <f t="shared" ref="H107:H111" si="75">"共青团员"</f>
        <v>共青团员</v>
      </c>
      <c r="I107" s="5" t="str">
        <f t="shared" si="71"/>
        <v>本科</v>
      </c>
      <c r="J107" s="5" t="str">
        <f t="shared" si="72"/>
        <v>学士</v>
      </c>
    </row>
    <row r="108" s="2" customFormat="1" customHeight="1" spans="1:10">
      <c r="A108" s="5">
        <v>106</v>
      </c>
      <c r="B108" s="5" t="s">
        <v>11</v>
      </c>
      <c r="C108" s="5" t="str">
        <f>"董兴顺"</f>
        <v>董兴顺</v>
      </c>
      <c r="D108" s="5" t="str">
        <f t="shared" si="69"/>
        <v>男</v>
      </c>
      <c r="E108" s="5" t="str">
        <f>"1996-10-29"</f>
        <v>1996-10-29</v>
      </c>
      <c r="F108" s="5" t="s">
        <v>117</v>
      </c>
      <c r="G108" s="5" t="str">
        <f t="shared" si="73"/>
        <v>汉族</v>
      </c>
      <c r="H108" s="5" t="str">
        <f t="shared" si="75"/>
        <v>共青团员</v>
      </c>
      <c r="I108" s="5" t="str">
        <f t="shared" si="71"/>
        <v>本科</v>
      </c>
      <c r="J108" s="5" t="str">
        <f t="shared" si="72"/>
        <v>学士</v>
      </c>
    </row>
    <row r="109" s="2" customFormat="1" customHeight="1" spans="1:10">
      <c r="A109" s="5">
        <v>107</v>
      </c>
      <c r="B109" s="5" t="s">
        <v>11</v>
      </c>
      <c r="C109" s="5" t="str">
        <f>"钟东敏"</f>
        <v>钟东敏</v>
      </c>
      <c r="D109" s="5" t="str">
        <f t="shared" ref="D109:D113" si="76">"女"</f>
        <v>女</v>
      </c>
      <c r="E109" s="5" t="str">
        <f>"1991-01-05"</f>
        <v>1991-01-05</v>
      </c>
      <c r="F109" s="5" t="s">
        <v>118</v>
      </c>
      <c r="G109" s="5" t="str">
        <f t="shared" si="73"/>
        <v>汉族</v>
      </c>
      <c r="H109" s="5" t="str">
        <f t="shared" si="74"/>
        <v>群众</v>
      </c>
      <c r="I109" s="5" t="str">
        <f t="shared" si="71"/>
        <v>本科</v>
      </c>
      <c r="J109" s="5" t="str">
        <f t="shared" si="72"/>
        <v>学士</v>
      </c>
    </row>
    <row r="110" s="2" customFormat="1" customHeight="1" spans="1:10">
      <c r="A110" s="5">
        <v>108</v>
      </c>
      <c r="B110" s="5" t="s">
        <v>11</v>
      </c>
      <c r="C110" s="5" t="str">
        <f>"陈运鹰"</f>
        <v>陈运鹰</v>
      </c>
      <c r="D110" s="5" t="str">
        <f t="shared" si="76"/>
        <v>女</v>
      </c>
      <c r="E110" s="5" t="str">
        <f>"1990-11-22"</f>
        <v>1990-11-22</v>
      </c>
      <c r="F110" s="5" t="s">
        <v>119</v>
      </c>
      <c r="G110" s="5" t="str">
        <f t="shared" si="73"/>
        <v>汉族</v>
      </c>
      <c r="H110" s="5" t="str">
        <f t="shared" si="74"/>
        <v>群众</v>
      </c>
      <c r="I110" s="5" t="str">
        <f t="shared" si="71"/>
        <v>本科</v>
      </c>
      <c r="J110" s="5" t="str">
        <f t="shared" si="72"/>
        <v>学士</v>
      </c>
    </row>
    <row r="111" s="2" customFormat="1" customHeight="1" spans="1:10">
      <c r="A111" s="5">
        <v>109</v>
      </c>
      <c r="B111" s="5" t="s">
        <v>11</v>
      </c>
      <c r="C111" s="5" t="str">
        <f>"钟积庆"</f>
        <v>钟积庆</v>
      </c>
      <c r="D111" s="5" t="str">
        <f t="shared" ref="D111:D115" si="77">"男"</f>
        <v>男</v>
      </c>
      <c r="E111" s="5" t="str">
        <f>"1992-07-22"</f>
        <v>1992-07-22</v>
      </c>
      <c r="F111" s="5" t="s">
        <v>120</v>
      </c>
      <c r="G111" s="5" t="str">
        <f t="shared" si="73"/>
        <v>汉族</v>
      </c>
      <c r="H111" s="5" t="str">
        <f t="shared" si="75"/>
        <v>共青团员</v>
      </c>
      <c r="I111" s="5" t="str">
        <f t="shared" si="71"/>
        <v>本科</v>
      </c>
      <c r="J111" s="5" t="str">
        <f t="shared" si="72"/>
        <v>学士</v>
      </c>
    </row>
    <row r="112" s="2" customFormat="1" customHeight="1" spans="1:10">
      <c r="A112" s="5">
        <v>110</v>
      </c>
      <c r="B112" s="5" t="s">
        <v>11</v>
      </c>
      <c r="C112" s="5" t="str">
        <f>"纪新亮"</f>
        <v>纪新亮</v>
      </c>
      <c r="D112" s="5" t="str">
        <f t="shared" si="77"/>
        <v>男</v>
      </c>
      <c r="E112" s="5" t="str">
        <f>"1994-05-08"</f>
        <v>1994-05-08</v>
      </c>
      <c r="F112" s="5" t="s">
        <v>121</v>
      </c>
      <c r="G112" s="5" t="str">
        <f t="shared" si="73"/>
        <v>汉族</v>
      </c>
      <c r="H112" s="5" t="str">
        <f t="shared" ref="H112:H115" si="78">"中共党员"</f>
        <v>中共党员</v>
      </c>
      <c r="I112" s="5" t="str">
        <f t="shared" si="71"/>
        <v>本科</v>
      </c>
      <c r="J112" s="5" t="str">
        <f t="shared" si="72"/>
        <v>学士</v>
      </c>
    </row>
    <row r="113" s="2" customFormat="1" customHeight="1" spans="1:10">
      <c r="A113" s="5">
        <v>111</v>
      </c>
      <c r="B113" s="5" t="s">
        <v>11</v>
      </c>
      <c r="C113" s="5" t="str">
        <f>"符莹莹"</f>
        <v>符莹莹</v>
      </c>
      <c r="D113" s="5" t="str">
        <f t="shared" si="76"/>
        <v>女</v>
      </c>
      <c r="E113" s="5" t="str">
        <f>"1998-07-30"</f>
        <v>1998-07-30</v>
      </c>
      <c r="F113" s="5" t="s">
        <v>122</v>
      </c>
      <c r="G113" s="5" t="str">
        <f t="shared" ref="G113:G119" si="79">"汉族"</f>
        <v>汉族</v>
      </c>
      <c r="H113" s="5" t="str">
        <f>"群众"</f>
        <v>群众</v>
      </c>
      <c r="I113" s="5" t="str">
        <f t="shared" si="71"/>
        <v>本科</v>
      </c>
      <c r="J113" s="5" t="str">
        <f t="shared" si="72"/>
        <v>学士</v>
      </c>
    </row>
    <row r="114" s="2" customFormat="1" customHeight="1" spans="1:10">
      <c r="A114" s="5">
        <v>112</v>
      </c>
      <c r="B114" s="5" t="s">
        <v>11</v>
      </c>
      <c r="C114" s="5" t="str">
        <f>"林松志"</f>
        <v>林松志</v>
      </c>
      <c r="D114" s="5" t="str">
        <f t="shared" si="77"/>
        <v>男</v>
      </c>
      <c r="E114" s="5" t="str">
        <f>"1987-04-25"</f>
        <v>1987-04-25</v>
      </c>
      <c r="F114" s="5" t="s">
        <v>123</v>
      </c>
      <c r="G114" s="5" t="str">
        <f t="shared" si="79"/>
        <v>汉族</v>
      </c>
      <c r="H114" s="5" t="str">
        <f t="shared" si="78"/>
        <v>中共党员</v>
      </c>
      <c r="I114" s="5" t="str">
        <f t="shared" ref="I114:I133" si="80">"本科"</f>
        <v>本科</v>
      </c>
      <c r="J114" s="5" t="str">
        <f t="shared" ref="J114:J133" si="81">"学士"</f>
        <v>学士</v>
      </c>
    </row>
    <row r="115" s="2" customFormat="1" customHeight="1" spans="1:10">
      <c r="A115" s="5">
        <v>113</v>
      </c>
      <c r="B115" s="5" t="s">
        <v>11</v>
      </c>
      <c r="C115" s="5" t="str">
        <f>"曾造邦"</f>
        <v>曾造邦</v>
      </c>
      <c r="D115" s="5" t="str">
        <f t="shared" si="77"/>
        <v>男</v>
      </c>
      <c r="E115" s="5" t="str">
        <f>"1992-07-18"</f>
        <v>1992-07-18</v>
      </c>
      <c r="F115" s="5" t="s">
        <v>124</v>
      </c>
      <c r="G115" s="5" t="str">
        <f t="shared" si="79"/>
        <v>汉族</v>
      </c>
      <c r="H115" s="5" t="str">
        <f t="shared" si="78"/>
        <v>中共党员</v>
      </c>
      <c r="I115" s="5" t="str">
        <f t="shared" si="80"/>
        <v>本科</v>
      </c>
      <c r="J115" s="5" t="str">
        <f t="shared" si="81"/>
        <v>学士</v>
      </c>
    </row>
    <row r="116" s="2" customFormat="1" customHeight="1" spans="1:10">
      <c r="A116" s="5">
        <v>114</v>
      </c>
      <c r="B116" s="5" t="s">
        <v>11</v>
      </c>
      <c r="C116" s="5" t="str">
        <f>"张佳仪"</f>
        <v>张佳仪</v>
      </c>
      <c r="D116" s="5" t="str">
        <f t="shared" ref="D116:D119" si="82">"女"</f>
        <v>女</v>
      </c>
      <c r="E116" s="5" t="str">
        <f>"1994-06-09"</f>
        <v>1994-06-09</v>
      </c>
      <c r="F116" s="5" t="s">
        <v>125</v>
      </c>
      <c r="G116" s="5" t="str">
        <f t="shared" si="79"/>
        <v>汉族</v>
      </c>
      <c r="H116" s="5" t="str">
        <f>"共青团员"</f>
        <v>共青团员</v>
      </c>
      <c r="I116" s="5" t="str">
        <f t="shared" si="80"/>
        <v>本科</v>
      </c>
      <c r="J116" s="5" t="str">
        <f t="shared" si="81"/>
        <v>学士</v>
      </c>
    </row>
    <row r="117" s="2" customFormat="1" customHeight="1" spans="1:10">
      <c r="A117" s="5">
        <v>115</v>
      </c>
      <c r="B117" s="5" t="s">
        <v>11</v>
      </c>
      <c r="C117" s="5" t="str">
        <f>"李敏"</f>
        <v>李敏</v>
      </c>
      <c r="D117" s="5" t="str">
        <f t="shared" si="82"/>
        <v>女</v>
      </c>
      <c r="E117" s="5" t="str">
        <f>"1991-05-15"</f>
        <v>1991-05-15</v>
      </c>
      <c r="F117" s="5" t="s">
        <v>126</v>
      </c>
      <c r="G117" s="5" t="str">
        <f t="shared" si="79"/>
        <v>汉族</v>
      </c>
      <c r="H117" s="5" t="str">
        <f>"中共党员"</f>
        <v>中共党员</v>
      </c>
      <c r="I117" s="5" t="str">
        <f t="shared" si="80"/>
        <v>本科</v>
      </c>
      <c r="J117" s="5" t="str">
        <f t="shared" si="81"/>
        <v>学士</v>
      </c>
    </row>
    <row r="118" s="2" customFormat="1" customHeight="1" spans="1:10">
      <c r="A118" s="5">
        <v>116</v>
      </c>
      <c r="B118" s="5" t="s">
        <v>11</v>
      </c>
      <c r="C118" s="5" t="str">
        <f>"黎天皇"</f>
        <v>黎天皇</v>
      </c>
      <c r="D118" s="5" t="str">
        <f t="shared" ref="D118:D121" si="83">"男"</f>
        <v>男</v>
      </c>
      <c r="E118" s="5" t="str">
        <f>"1986-07-08"</f>
        <v>1986-07-08</v>
      </c>
      <c r="F118" s="5" t="s">
        <v>127</v>
      </c>
      <c r="G118" s="5" t="str">
        <f t="shared" si="79"/>
        <v>汉族</v>
      </c>
      <c r="H118" s="5" t="str">
        <f t="shared" ref="H118:H121" si="84">"群众"</f>
        <v>群众</v>
      </c>
      <c r="I118" s="5" t="str">
        <f t="shared" si="80"/>
        <v>本科</v>
      </c>
      <c r="J118" s="5" t="str">
        <f t="shared" si="81"/>
        <v>学士</v>
      </c>
    </row>
    <row r="119" s="2" customFormat="1" ht="32" customHeight="1" spans="1:10">
      <c r="A119" s="5">
        <v>117</v>
      </c>
      <c r="B119" s="5" t="s">
        <v>11</v>
      </c>
      <c r="C119" s="5" t="str">
        <f>"王春雯"</f>
        <v>王春雯</v>
      </c>
      <c r="D119" s="5" t="str">
        <f t="shared" si="82"/>
        <v>女</v>
      </c>
      <c r="E119" s="5" t="str">
        <f>"1995-06-18"</f>
        <v>1995-06-18</v>
      </c>
      <c r="F119" s="5" t="s">
        <v>128</v>
      </c>
      <c r="G119" s="5" t="str">
        <f t="shared" si="79"/>
        <v>汉族</v>
      </c>
      <c r="H119" s="5" t="str">
        <f>"中共党员"</f>
        <v>中共党员</v>
      </c>
      <c r="I119" s="5" t="str">
        <f t="shared" si="80"/>
        <v>本科</v>
      </c>
      <c r="J119" s="5" t="str">
        <f t="shared" si="81"/>
        <v>学士</v>
      </c>
    </row>
    <row r="120" s="2" customFormat="1" customHeight="1" spans="1:10">
      <c r="A120" s="5">
        <v>118</v>
      </c>
      <c r="B120" s="5" t="s">
        <v>11</v>
      </c>
      <c r="C120" s="5" t="str">
        <f>"王伟丁"</f>
        <v>王伟丁</v>
      </c>
      <c r="D120" s="5" t="str">
        <f t="shared" si="83"/>
        <v>男</v>
      </c>
      <c r="E120" s="5" t="str">
        <f>"1989-07-06"</f>
        <v>1989-07-06</v>
      </c>
      <c r="F120" s="5" t="s">
        <v>129</v>
      </c>
      <c r="G120" s="5" t="str">
        <f>"黎族"</f>
        <v>黎族</v>
      </c>
      <c r="H120" s="5" t="str">
        <f t="shared" si="84"/>
        <v>群众</v>
      </c>
      <c r="I120" s="5" t="str">
        <f t="shared" si="80"/>
        <v>本科</v>
      </c>
      <c r="J120" s="5" t="str">
        <f t="shared" si="81"/>
        <v>学士</v>
      </c>
    </row>
    <row r="121" s="2" customFormat="1" customHeight="1" spans="1:10">
      <c r="A121" s="5">
        <v>119</v>
      </c>
      <c r="B121" s="5" t="s">
        <v>11</v>
      </c>
      <c r="C121" s="5" t="str">
        <f>"陈开国"</f>
        <v>陈开国</v>
      </c>
      <c r="D121" s="5" t="str">
        <f t="shared" si="83"/>
        <v>男</v>
      </c>
      <c r="E121" s="5" t="str">
        <f>"1992-10-13"</f>
        <v>1992-10-13</v>
      </c>
      <c r="F121" s="5" t="s">
        <v>130</v>
      </c>
      <c r="G121" s="5" t="str">
        <f t="shared" ref="G121:G128" si="85">"汉族"</f>
        <v>汉族</v>
      </c>
      <c r="H121" s="5" t="str">
        <f t="shared" si="84"/>
        <v>群众</v>
      </c>
      <c r="I121" s="5" t="str">
        <f t="shared" si="80"/>
        <v>本科</v>
      </c>
      <c r="J121" s="5" t="str">
        <f t="shared" si="81"/>
        <v>学士</v>
      </c>
    </row>
    <row r="122" s="2" customFormat="1" customHeight="1" spans="1:10">
      <c r="A122" s="5">
        <v>120</v>
      </c>
      <c r="B122" s="5" t="s">
        <v>11</v>
      </c>
      <c r="C122" s="5" t="str">
        <f>"符畅"</f>
        <v>符畅</v>
      </c>
      <c r="D122" s="5" t="str">
        <f t="shared" ref="D120:D126" si="86">"女"</f>
        <v>女</v>
      </c>
      <c r="E122" s="5" t="str">
        <f>"1998-04-08"</f>
        <v>1998-04-08</v>
      </c>
      <c r="F122" s="5" t="s">
        <v>131</v>
      </c>
      <c r="G122" s="5" t="str">
        <f t="shared" si="85"/>
        <v>汉族</v>
      </c>
      <c r="H122" s="5" t="str">
        <f t="shared" ref="H122:H127" si="87">"共青团员"</f>
        <v>共青团员</v>
      </c>
      <c r="I122" s="5" t="str">
        <f t="shared" si="80"/>
        <v>本科</v>
      </c>
      <c r="J122" s="5" t="str">
        <f t="shared" si="81"/>
        <v>学士</v>
      </c>
    </row>
    <row r="123" s="2" customFormat="1" customHeight="1" spans="1:10">
      <c r="A123" s="5">
        <v>121</v>
      </c>
      <c r="B123" s="5" t="s">
        <v>11</v>
      </c>
      <c r="C123" s="5" t="str">
        <f>"彭筱筠"</f>
        <v>彭筱筠</v>
      </c>
      <c r="D123" s="5" t="str">
        <f t="shared" si="86"/>
        <v>女</v>
      </c>
      <c r="E123" s="5" t="str">
        <f>"1996-11-03"</f>
        <v>1996-11-03</v>
      </c>
      <c r="F123" s="5" t="s">
        <v>132</v>
      </c>
      <c r="G123" s="5" t="str">
        <f t="shared" si="85"/>
        <v>汉族</v>
      </c>
      <c r="H123" s="5" t="str">
        <f t="shared" si="87"/>
        <v>共青团员</v>
      </c>
      <c r="I123" s="5" t="str">
        <f t="shared" si="80"/>
        <v>本科</v>
      </c>
      <c r="J123" s="5" t="str">
        <f t="shared" si="81"/>
        <v>学士</v>
      </c>
    </row>
    <row r="124" s="2" customFormat="1" customHeight="1" spans="1:10">
      <c r="A124" s="5">
        <v>122</v>
      </c>
      <c r="B124" s="5" t="s">
        <v>11</v>
      </c>
      <c r="C124" s="5" t="str">
        <f>"曹丽梅"</f>
        <v>曹丽梅</v>
      </c>
      <c r="D124" s="5" t="str">
        <f t="shared" si="86"/>
        <v>女</v>
      </c>
      <c r="E124" s="5" t="str">
        <f>"1987-09-02"</f>
        <v>1987-09-02</v>
      </c>
      <c r="F124" s="5" t="s">
        <v>133</v>
      </c>
      <c r="G124" s="5" t="str">
        <f t="shared" si="85"/>
        <v>汉族</v>
      </c>
      <c r="H124" s="5" t="str">
        <f>"中共党员"</f>
        <v>中共党员</v>
      </c>
      <c r="I124" s="5" t="str">
        <f t="shared" si="80"/>
        <v>本科</v>
      </c>
      <c r="J124" s="5" t="str">
        <f t="shared" si="81"/>
        <v>学士</v>
      </c>
    </row>
    <row r="125" s="2" customFormat="1" customHeight="1" spans="1:10">
      <c r="A125" s="5">
        <v>123</v>
      </c>
      <c r="B125" s="5" t="s">
        <v>11</v>
      </c>
      <c r="C125" s="5" t="str">
        <f>"邱春孟"</f>
        <v>邱春孟</v>
      </c>
      <c r="D125" s="5" t="str">
        <f t="shared" si="86"/>
        <v>女</v>
      </c>
      <c r="E125" s="5" t="str">
        <f>"1988-04-24"</f>
        <v>1988-04-24</v>
      </c>
      <c r="F125" s="5" t="s">
        <v>134</v>
      </c>
      <c r="G125" s="5" t="str">
        <f t="shared" si="85"/>
        <v>汉族</v>
      </c>
      <c r="H125" s="5" t="str">
        <f>"中共党员"</f>
        <v>中共党员</v>
      </c>
      <c r="I125" s="5" t="str">
        <f t="shared" si="80"/>
        <v>本科</v>
      </c>
      <c r="J125" s="5" t="str">
        <f t="shared" si="81"/>
        <v>学士</v>
      </c>
    </row>
    <row r="126" s="2" customFormat="1" customHeight="1" spans="1:10">
      <c r="A126" s="5">
        <v>124</v>
      </c>
      <c r="B126" s="5" t="s">
        <v>11</v>
      </c>
      <c r="C126" s="5" t="str">
        <f>"黄小津"</f>
        <v>黄小津</v>
      </c>
      <c r="D126" s="5" t="str">
        <f t="shared" si="86"/>
        <v>女</v>
      </c>
      <c r="E126" s="5" t="str">
        <f>"1992-03-01"</f>
        <v>1992-03-01</v>
      </c>
      <c r="F126" s="5" t="s">
        <v>135</v>
      </c>
      <c r="G126" s="5" t="str">
        <f t="shared" si="85"/>
        <v>汉族</v>
      </c>
      <c r="H126" s="5" t="str">
        <f t="shared" ref="H126:H129" si="88">"群众"</f>
        <v>群众</v>
      </c>
      <c r="I126" s="5" t="str">
        <f t="shared" si="80"/>
        <v>本科</v>
      </c>
      <c r="J126" s="5" t="str">
        <f t="shared" si="81"/>
        <v>学士</v>
      </c>
    </row>
    <row r="127" s="2" customFormat="1" customHeight="1" spans="1:10">
      <c r="A127" s="5">
        <v>125</v>
      </c>
      <c r="B127" s="5" t="s">
        <v>11</v>
      </c>
      <c r="C127" s="5" t="str">
        <f>"高德"</f>
        <v>高德</v>
      </c>
      <c r="D127" s="5" t="str">
        <f t="shared" ref="D127:D134" si="89">"男"</f>
        <v>男</v>
      </c>
      <c r="E127" s="5" t="str">
        <f>"1996-06-08"</f>
        <v>1996-06-08</v>
      </c>
      <c r="F127" s="5" t="s">
        <v>136</v>
      </c>
      <c r="G127" s="5" t="str">
        <f t="shared" si="85"/>
        <v>汉族</v>
      </c>
      <c r="H127" s="5" t="str">
        <f t="shared" si="87"/>
        <v>共青团员</v>
      </c>
      <c r="I127" s="5" t="str">
        <f t="shared" si="80"/>
        <v>本科</v>
      </c>
      <c r="J127" s="5" t="str">
        <f t="shared" si="81"/>
        <v>学士</v>
      </c>
    </row>
    <row r="128" s="2" customFormat="1" customHeight="1" spans="1:10">
      <c r="A128" s="5">
        <v>126</v>
      </c>
      <c r="B128" s="5" t="s">
        <v>11</v>
      </c>
      <c r="C128" s="5" t="str">
        <f>"钟良月"</f>
        <v>钟良月</v>
      </c>
      <c r="D128" s="5" t="str">
        <f>"女"</f>
        <v>女</v>
      </c>
      <c r="E128" s="5" t="str">
        <f>"1993-02-04"</f>
        <v>1993-02-04</v>
      </c>
      <c r="F128" s="5" t="s">
        <v>137</v>
      </c>
      <c r="G128" s="5" t="str">
        <f t="shared" si="85"/>
        <v>汉族</v>
      </c>
      <c r="H128" s="5" t="str">
        <f t="shared" si="88"/>
        <v>群众</v>
      </c>
      <c r="I128" s="5" t="str">
        <f t="shared" si="80"/>
        <v>本科</v>
      </c>
      <c r="J128" s="5" t="str">
        <f t="shared" si="81"/>
        <v>学士</v>
      </c>
    </row>
    <row r="129" s="2" customFormat="1" customHeight="1" spans="1:10">
      <c r="A129" s="5">
        <v>127</v>
      </c>
      <c r="B129" s="5" t="s">
        <v>11</v>
      </c>
      <c r="C129" s="5" t="str">
        <f>"郭海燕"</f>
        <v>郭海燕</v>
      </c>
      <c r="D129" s="5" t="str">
        <f>"女"</f>
        <v>女</v>
      </c>
      <c r="E129" s="5" t="str">
        <f>"1990-02-16"</f>
        <v>1990-02-16</v>
      </c>
      <c r="F129" s="5" t="s">
        <v>138</v>
      </c>
      <c r="G129" s="5" t="str">
        <f>"土家族"</f>
        <v>土家族</v>
      </c>
      <c r="H129" s="5" t="str">
        <f t="shared" si="88"/>
        <v>群众</v>
      </c>
      <c r="I129" s="5" t="str">
        <f t="shared" si="80"/>
        <v>本科</v>
      </c>
      <c r="J129" s="5" t="str">
        <f t="shared" si="81"/>
        <v>学士</v>
      </c>
    </row>
    <row r="130" s="2" customFormat="1" customHeight="1" spans="1:10">
      <c r="A130" s="5">
        <v>128</v>
      </c>
      <c r="B130" s="5" t="s">
        <v>11</v>
      </c>
      <c r="C130" s="5" t="str">
        <f>"李金洲"</f>
        <v>李金洲</v>
      </c>
      <c r="D130" s="5" t="str">
        <f t="shared" si="89"/>
        <v>男</v>
      </c>
      <c r="E130" s="5" t="str">
        <f>"1997-05-15"</f>
        <v>1997-05-15</v>
      </c>
      <c r="F130" s="5" t="s">
        <v>139</v>
      </c>
      <c r="G130" s="5" t="str">
        <f t="shared" ref="G130:G132" si="90">"汉族"</f>
        <v>汉族</v>
      </c>
      <c r="H130" s="5" t="str">
        <f t="shared" ref="H130:H133" si="91">"共青团员"</f>
        <v>共青团员</v>
      </c>
      <c r="I130" s="5" t="str">
        <f t="shared" si="80"/>
        <v>本科</v>
      </c>
      <c r="J130" s="5" t="str">
        <f t="shared" si="81"/>
        <v>学士</v>
      </c>
    </row>
    <row r="131" s="2" customFormat="1" customHeight="1" spans="1:10">
      <c r="A131" s="5">
        <v>129</v>
      </c>
      <c r="B131" s="5" t="s">
        <v>11</v>
      </c>
      <c r="C131" s="5" t="str">
        <f>"陈宪立"</f>
        <v>陈宪立</v>
      </c>
      <c r="D131" s="5" t="str">
        <f t="shared" si="89"/>
        <v>男</v>
      </c>
      <c r="E131" s="5" t="str">
        <f>"1997-07-02"</f>
        <v>1997-07-02</v>
      </c>
      <c r="F131" s="5" t="s">
        <v>140</v>
      </c>
      <c r="G131" s="5" t="str">
        <f t="shared" si="90"/>
        <v>汉族</v>
      </c>
      <c r="H131" s="5" t="str">
        <f t="shared" si="91"/>
        <v>共青团员</v>
      </c>
      <c r="I131" s="5" t="str">
        <f t="shared" si="80"/>
        <v>本科</v>
      </c>
      <c r="J131" s="5" t="str">
        <f t="shared" si="81"/>
        <v>学士</v>
      </c>
    </row>
    <row r="132" s="2" customFormat="1" customHeight="1" spans="1:10">
      <c r="A132" s="5">
        <v>130</v>
      </c>
      <c r="B132" s="5" t="s">
        <v>11</v>
      </c>
      <c r="C132" s="5" t="str">
        <f>"王永喆"</f>
        <v>王永喆</v>
      </c>
      <c r="D132" s="5" t="str">
        <f t="shared" si="89"/>
        <v>男</v>
      </c>
      <c r="E132" s="5" t="str">
        <f>"1994-03-05"</f>
        <v>1994-03-05</v>
      </c>
      <c r="F132" s="5" t="s">
        <v>141</v>
      </c>
      <c r="G132" s="5" t="str">
        <f t="shared" si="90"/>
        <v>汉族</v>
      </c>
      <c r="H132" s="5" t="str">
        <f t="shared" ref="H132:H136" si="92">"中共党员"</f>
        <v>中共党员</v>
      </c>
      <c r="I132" s="5" t="str">
        <f t="shared" si="80"/>
        <v>本科</v>
      </c>
      <c r="J132" s="5" t="str">
        <f t="shared" si="81"/>
        <v>学士</v>
      </c>
    </row>
    <row r="133" s="2" customFormat="1" customHeight="1" spans="1:10">
      <c r="A133" s="5">
        <v>131</v>
      </c>
      <c r="B133" s="5" t="s">
        <v>11</v>
      </c>
      <c r="C133" s="5" t="str">
        <f>"张宏琪"</f>
        <v>张宏琪</v>
      </c>
      <c r="D133" s="5" t="str">
        <f t="shared" si="89"/>
        <v>男</v>
      </c>
      <c r="E133" s="5" t="str">
        <f>"1991-01-05"</f>
        <v>1991-01-05</v>
      </c>
      <c r="F133" s="5" t="s">
        <v>142</v>
      </c>
      <c r="G133" s="5" t="str">
        <f>"蒙古族"</f>
        <v>蒙古族</v>
      </c>
      <c r="H133" s="5" t="str">
        <f t="shared" si="91"/>
        <v>共青团员</v>
      </c>
      <c r="I133" s="5" t="str">
        <f t="shared" si="80"/>
        <v>本科</v>
      </c>
      <c r="J133" s="5" t="str">
        <f t="shared" si="81"/>
        <v>学士</v>
      </c>
    </row>
    <row r="134" s="2" customFormat="1" customHeight="1" spans="1:10">
      <c r="A134" s="5">
        <v>132</v>
      </c>
      <c r="B134" s="5" t="s">
        <v>11</v>
      </c>
      <c r="C134" s="5" t="str">
        <f>"陈保年"</f>
        <v>陈保年</v>
      </c>
      <c r="D134" s="5" t="str">
        <f t="shared" si="89"/>
        <v>男</v>
      </c>
      <c r="E134" s="5" t="str">
        <f>"1990-12-03"</f>
        <v>1990-12-03</v>
      </c>
      <c r="F134" s="5" t="s">
        <v>143</v>
      </c>
      <c r="G134" s="5" t="str">
        <f t="shared" ref="G134:G145" si="93">"汉族"</f>
        <v>汉族</v>
      </c>
      <c r="H134" s="5" t="str">
        <f t="shared" ref="H134:H139" si="94">"群众"</f>
        <v>群众</v>
      </c>
      <c r="I134" s="5" t="str">
        <f t="shared" ref="I134:I147" si="95">"本科"</f>
        <v>本科</v>
      </c>
      <c r="J134" s="5" t="str">
        <f t="shared" ref="J134:J147" si="96">"学士"</f>
        <v>学士</v>
      </c>
    </row>
    <row r="135" s="2" customFormat="1" customHeight="1" spans="1:10">
      <c r="A135" s="5">
        <v>133</v>
      </c>
      <c r="B135" s="5" t="s">
        <v>11</v>
      </c>
      <c r="C135" s="5" t="str">
        <f>"韩流秀"</f>
        <v>韩流秀</v>
      </c>
      <c r="D135" s="5" t="str">
        <f>"女"</f>
        <v>女</v>
      </c>
      <c r="E135" s="5" t="str">
        <f>"1985-02-27"</f>
        <v>1985-02-27</v>
      </c>
      <c r="F135" s="5" t="s">
        <v>144</v>
      </c>
      <c r="G135" s="5" t="str">
        <f t="shared" si="93"/>
        <v>汉族</v>
      </c>
      <c r="H135" s="5" t="str">
        <f t="shared" si="92"/>
        <v>中共党员</v>
      </c>
      <c r="I135" s="5" t="str">
        <f t="shared" si="95"/>
        <v>本科</v>
      </c>
      <c r="J135" s="5" t="str">
        <f t="shared" si="96"/>
        <v>学士</v>
      </c>
    </row>
    <row r="136" s="2" customFormat="1" customHeight="1" spans="1:10">
      <c r="A136" s="5">
        <v>134</v>
      </c>
      <c r="B136" s="5" t="s">
        <v>11</v>
      </c>
      <c r="C136" s="5" t="str">
        <f>"麦明锦"</f>
        <v>麦明锦</v>
      </c>
      <c r="D136" s="5" t="str">
        <f t="shared" ref="D136:D142" si="97">"男"</f>
        <v>男</v>
      </c>
      <c r="E136" s="5" t="str">
        <f>"1984-04-25"</f>
        <v>1984-04-25</v>
      </c>
      <c r="F136" s="5" t="s">
        <v>145</v>
      </c>
      <c r="G136" s="5" t="str">
        <f t="shared" si="93"/>
        <v>汉族</v>
      </c>
      <c r="H136" s="5" t="str">
        <f t="shared" si="92"/>
        <v>中共党员</v>
      </c>
      <c r="I136" s="5" t="str">
        <f t="shared" si="95"/>
        <v>本科</v>
      </c>
      <c r="J136" s="5" t="str">
        <f t="shared" si="96"/>
        <v>学士</v>
      </c>
    </row>
    <row r="137" s="2" customFormat="1" customHeight="1" spans="1:10">
      <c r="A137" s="5">
        <v>135</v>
      </c>
      <c r="B137" s="5" t="s">
        <v>11</v>
      </c>
      <c r="C137" s="5" t="str">
        <f>"王奕轩"</f>
        <v>王奕轩</v>
      </c>
      <c r="D137" s="5" t="str">
        <f t="shared" si="97"/>
        <v>男</v>
      </c>
      <c r="E137" s="5" t="str">
        <f>"1991-02-25"</f>
        <v>1991-02-25</v>
      </c>
      <c r="F137" s="5" t="s">
        <v>146</v>
      </c>
      <c r="G137" s="5" t="str">
        <f t="shared" si="93"/>
        <v>汉族</v>
      </c>
      <c r="H137" s="5" t="str">
        <f t="shared" si="94"/>
        <v>群众</v>
      </c>
      <c r="I137" s="5" t="str">
        <f t="shared" si="95"/>
        <v>本科</v>
      </c>
      <c r="J137" s="5" t="str">
        <f t="shared" si="96"/>
        <v>学士</v>
      </c>
    </row>
    <row r="138" s="2" customFormat="1" customHeight="1" spans="1:10">
      <c r="A138" s="5">
        <v>136</v>
      </c>
      <c r="B138" s="5" t="s">
        <v>11</v>
      </c>
      <c r="C138" s="5" t="str">
        <f>"李鹏"</f>
        <v>李鹏</v>
      </c>
      <c r="D138" s="5" t="str">
        <f t="shared" si="97"/>
        <v>男</v>
      </c>
      <c r="E138" s="5" t="str">
        <f>"1990-02-17"</f>
        <v>1990-02-17</v>
      </c>
      <c r="F138" s="5" t="s">
        <v>147</v>
      </c>
      <c r="G138" s="5" t="str">
        <f t="shared" si="93"/>
        <v>汉族</v>
      </c>
      <c r="H138" s="5" t="str">
        <f t="shared" si="94"/>
        <v>群众</v>
      </c>
      <c r="I138" s="5" t="str">
        <f t="shared" si="95"/>
        <v>本科</v>
      </c>
      <c r="J138" s="5" t="str">
        <f t="shared" si="96"/>
        <v>学士</v>
      </c>
    </row>
    <row r="139" s="2" customFormat="1" ht="32" customHeight="1" spans="1:10">
      <c r="A139" s="5">
        <v>137</v>
      </c>
      <c r="B139" s="5" t="s">
        <v>11</v>
      </c>
      <c r="C139" s="5" t="str">
        <f>"林禄俊"</f>
        <v>林禄俊</v>
      </c>
      <c r="D139" s="5" t="str">
        <f t="shared" si="97"/>
        <v>男</v>
      </c>
      <c r="E139" s="5" t="str">
        <f>"1991-03-04"</f>
        <v>1991-03-04</v>
      </c>
      <c r="F139" s="5" t="s">
        <v>148</v>
      </c>
      <c r="G139" s="5" t="str">
        <f t="shared" si="93"/>
        <v>汉族</v>
      </c>
      <c r="H139" s="5" t="str">
        <f t="shared" si="94"/>
        <v>群众</v>
      </c>
      <c r="I139" s="5" t="str">
        <f t="shared" si="95"/>
        <v>本科</v>
      </c>
      <c r="J139" s="5" t="str">
        <f t="shared" si="96"/>
        <v>学士</v>
      </c>
    </row>
    <row r="140" s="2" customFormat="1" ht="32" customHeight="1" spans="1:10">
      <c r="A140" s="5">
        <v>138</v>
      </c>
      <c r="B140" s="5" t="s">
        <v>11</v>
      </c>
      <c r="C140" s="5" t="str">
        <f>"王伟旭"</f>
        <v>王伟旭</v>
      </c>
      <c r="D140" s="5" t="str">
        <f t="shared" si="97"/>
        <v>男</v>
      </c>
      <c r="E140" s="5" t="str">
        <f>"1992-03-06"</f>
        <v>1992-03-06</v>
      </c>
      <c r="F140" s="5" t="s">
        <v>149</v>
      </c>
      <c r="G140" s="5" t="str">
        <f t="shared" si="93"/>
        <v>汉族</v>
      </c>
      <c r="H140" s="5" t="str">
        <f t="shared" ref="H140:H144" si="98">"共青团员"</f>
        <v>共青团员</v>
      </c>
      <c r="I140" s="5" t="str">
        <f t="shared" si="95"/>
        <v>本科</v>
      </c>
      <c r="J140" s="5" t="str">
        <f t="shared" si="96"/>
        <v>学士</v>
      </c>
    </row>
    <row r="141" s="2" customFormat="1" customHeight="1" spans="1:10">
      <c r="A141" s="5">
        <v>139</v>
      </c>
      <c r="B141" s="5" t="s">
        <v>11</v>
      </c>
      <c r="C141" s="5" t="str">
        <f>"李颖"</f>
        <v>李颖</v>
      </c>
      <c r="D141" s="5" t="str">
        <f t="shared" si="97"/>
        <v>男</v>
      </c>
      <c r="E141" s="5" t="str">
        <f>"1993-05-14"</f>
        <v>1993-05-14</v>
      </c>
      <c r="F141" s="5" t="s">
        <v>150</v>
      </c>
      <c r="G141" s="5" t="str">
        <f t="shared" si="93"/>
        <v>汉族</v>
      </c>
      <c r="H141" s="5" t="str">
        <f t="shared" si="98"/>
        <v>共青团员</v>
      </c>
      <c r="I141" s="5" t="str">
        <f t="shared" si="95"/>
        <v>本科</v>
      </c>
      <c r="J141" s="5" t="str">
        <f t="shared" si="96"/>
        <v>学士</v>
      </c>
    </row>
    <row r="142" s="2" customFormat="1" customHeight="1" spans="1:10">
      <c r="A142" s="5">
        <v>140</v>
      </c>
      <c r="B142" s="5" t="s">
        <v>11</v>
      </c>
      <c r="C142" s="5" t="str">
        <f>"黎俊泉"</f>
        <v>黎俊泉</v>
      </c>
      <c r="D142" s="5" t="str">
        <f t="shared" si="97"/>
        <v>男</v>
      </c>
      <c r="E142" s="5" t="str">
        <f>"1991-07-01"</f>
        <v>1991-07-01</v>
      </c>
      <c r="F142" s="5" t="s">
        <v>151</v>
      </c>
      <c r="G142" s="5" t="str">
        <f t="shared" si="93"/>
        <v>汉族</v>
      </c>
      <c r="H142" s="5" t="str">
        <f t="shared" ref="H142:H145" si="99">"群众"</f>
        <v>群众</v>
      </c>
      <c r="I142" s="5" t="str">
        <f t="shared" si="95"/>
        <v>本科</v>
      </c>
      <c r="J142" s="5" t="str">
        <f t="shared" si="96"/>
        <v>学士</v>
      </c>
    </row>
    <row r="143" s="2" customFormat="1" customHeight="1" spans="1:10">
      <c r="A143" s="5">
        <v>141</v>
      </c>
      <c r="B143" s="5" t="s">
        <v>11</v>
      </c>
      <c r="C143" s="5" t="str">
        <f>"冯美林"</f>
        <v>冯美林</v>
      </c>
      <c r="D143" s="5" t="str">
        <f t="shared" ref="D143:D147" si="100">"女"</f>
        <v>女</v>
      </c>
      <c r="E143" s="5" t="str">
        <f>"1995-04-10"</f>
        <v>1995-04-10</v>
      </c>
      <c r="F143" s="5" t="s">
        <v>152</v>
      </c>
      <c r="G143" s="5" t="str">
        <f t="shared" si="93"/>
        <v>汉族</v>
      </c>
      <c r="H143" s="5" t="str">
        <f t="shared" si="99"/>
        <v>群众</v>
      </c>
      <c r="I143" s="5" t="str">
        <f t="shared" si="95"/>
        <v>本科</v>
      </c>
      <c r="J143" s="5" t="str">
        <f t="shared" si="96"/>
        <v>学士</v>
      </c>
    </row>
    <row r="144" s="2" customFormat="1" customHeight="1" spans="1:10">
      <c r="A144" s="5">
        <v>142</v>
      </c>
      <c r="B144" s="5" t="s">
        <v>11</v>
      </c>
      <c r="C144" s="5" t="str">
        <f>"何垂严"</f>
        <v>何垂严</v>
      </c>
      <c r="D144" s="5" t="str">
        <f t="shared" ref="D144:D150" si="101">"男"</f>
        <v>男</v>
      </c>
      <c r="E144" s="5" t="str">
        <f>"1994-05-03"</f>
        <v>1994-05-03</v>
      </c>
      <c r="F144" s="5" t="s">
        <v>153</v>
      </c>
      <c r="G144" s="5" t="str">
        <f t="shared" si="93"/>
        <v>汉族</v>
      </c>
      <c r="H144" s="5" t="str">
        <f t="shared" si="98"/>
        <v>共青团员</v>
      </c>
      <c r="I144" s="5" t="str">
        <f t="shared" si="95"/>
        <v>本科</v>
      </c>
      <c r="J144" s="5" t="str">
        <f t="shared" si="96"/>
        <v>学士</v>
      </c>
    </row>
    <row r="145" s="2" customFormat="1" customHeight="1" spans="1:10">
      <c r="A145" s="5">
        <v>143</v>
      </c>
      <c r="B145" s="5" t="s">
        <v>11</v>
      </c>
      <c r="C145" s="5" t="str">
        <f>"陈举"</f>
        <v>陈举</v>
      </c>
      <c r="D145" s="5" t="str">
        <f t="shared" si="101"/>
        <v>男</v>
      </c>
      <c r="E145" s="5" t="str">
        <f>"1993-09-10"</f>
        <v>1993-09-10</v>
      </c>
      <c r="F145" s="5" t="s">
        <v>154</v>
      </c>
      <c r="G145" s="5" t="str">
        <f t="shared" si="93"/>
        <v>汉族</v>
      </c>
      <c r="H145" s="5" t="str">
        <f t="shared" si="99"/>
        <v>群众</v>
      </c>
      <c r="I145" s="5" t="str">
        <f t="shared" si="95"/>
        <v>本科</v>
      </c>
      <c r="J145" s="5" t="str">
        <f t="shared" si="96"/>
        <v>学士</v>
      </c>
    </row>
    <row r="146" s="2" customFormat="1" customHeight="1" spans="1:10">
      <c r="A146" s="5">
        <v>144</v>
      </c>
      <c r="B146" s="5" t="s">
        <v>11</v>
      </c>
      <c r="C146" s="5" t="str">
        <f>"王小洁"</f>
        <v>王小洁</v>
      </c>
      <c r="D146" s="5" t="str">
        <f t="shared" si="100"/>
        <v>女</v>
      </c>
      <c r="E146" s="5" t="str">
        <f>"1987-10-21"</f>
        <v>1987-10-21</v>
      </c>
      <c r="F146" s="5" t="s">
        <v>155</v>
      </c>
      <c r="G146" s="5" t="str">
        <f t="shared" ref="G146:G151" si="102">"汉族"</f>
        <v>汉族</v>
      </c>
      <c r="H146" s="5" t="str">
        <f t="shared" ref="H146:H151" si="103">"中共党员"</f>
        <v>中共党员</v>
      </c>
      <c r="I146" s="5" t="str">
        <f t="shared" si="95"/>
        <v>本科</v>
      </c>
      <c r="J146" s="5" t="str">
        <f t="shared" si="96"/>
        <v>学士</v>
      </c>
    </row>
    <row r="147" s="2" customFormat="1" customHeight="1" spans="1:10">
      <c r="A147" s="5">
        <v>145</v>
      </c>
      <c r="B147" s="5" t="s">
        <v>11</v>
      </c>
      <c r="C147" s="5" t="str">
        <f>"苏秋侠"</f>
        <v>苏秋侠</v>
      </c>
      <c r="D147" s="5" t="str">
        <f t="shared" si="100"/>
        <v>女</v>
      </c>
      <c r="E147" s="5" t="str">
        <f>"1988-08-19"</f>
        <v>1988-08-19</v>
      </c>
      <c r="F147" s="5" t="s">
        <v>156</v>
      </c>
      <c r="G147" s="5" t="str">
        <f t="shared" si="102"/>
        <v>汉族</v>
      </c>
      <c r="H147" s="5" t="str">
        <f t="shared" si="103"/>
        <v>中共党员</v>
      </c>
      <c r="I147" s="5" t="str">
        <f t="shared" si="95"/>
        <v>本科</v>
      </c>
      <c r="J147" s="5" t="str">
        <f t="shared" si="96"/>
        <v>学士</v>
      </c>
    </row>
    <row r="148" s="2" customFormat="1" customHeight="1" spans="1:10">
      <c r="A148" s="5">
        <v>146</v>
      </c>
      <c r="B148" s="5" t="s">
        <v>11</v>
      </c>
      <c r="C148" s="5" t="str">
        <f>"陈乃增"</f>
        <v>陈乃增</v>
      </c>
      <c r="D148" s="5" t="str">
        <f t="shared" si="101"/>
        <v>男</v>
      </c>
      <c r="E148" s="5" t="str">
        <f>"1997-02-07"</f>
        <v>1997-02-07</v>
      </c>
      <c r="F148" s="5" t="s">
        <v>157</v>
      </c>
      <c r="G148" s="5" t="str">
        <f t="shared" si="102"/>
        <v>汉族</v>
      </c>
      <c r="H148" s="5" t="str">
        <f t="shared" ref="H148:H153" si="104">"共青团员"</f>
        <v>共青团员</v>
      </c>
      <c r="I148" s="5" t="str">
        <f t="shared" ref="I148:I150" si="105">"本科"</f>
        <v>本科</v>
      </c>
      <c r="J148" s="5" t="str">
        <f t="shared" ref="J148:J150" si="106">"学士"</f>
        <v>学士</v>
      </c>
    </row>
    <row r="149" s="2" customFormat="1" customHeight="1" spans="1:10">
      <c r="A149" s="5">
        <v>147</v>
      </c>
      <c r="B149" s="5" t="s">
        <v>11</v>
      </c>
      <c r="C149" s="5" t="str">
        <f>"符运策"</f>
        <v>符运策</v>
      </c>
      <c r="D149" s="5" t="str">
        <f t="shared" si="101"/>
        <v>男</v>
      </c>
      <c r="E149" s="5" t="str">
        <f>"1997-03-08"</f>
        <v>1997-03-08</v>
      </c>
      <c r="F149" s="5" t="s">
        <v>158</v>
      </c>
      <c r="G149" s="5" t="str">
        <f t="shared" si="102"/>
        <v>汉族</v>
      </c>
      <c r="H149" s="5" t="str">
        <f t="shared" ref="H149:H157" si="107">"群众"</f>
        <v>群众</v>
      </c>
      <c r="I149" s="5" t="str">
        <f t="shared" si="105"/>
        <v>本科</v>
      </c>
      <c r="J149" s="5" t="str">
        <f t="shared" si="106"/>
        <v>学士</v>
      </c>
    </row>
    <row r="150" s="2" customFormat="1" customHeight="1" spans="1:10">
      <c r="A150" s="5">
        <v>148</v>
      </c>
      <c r="B150" s="5" t="s">
        <v>11</v>
      </c>
      <c r="C150" s="5" t="str">
        <f>"宋飞"</f>
        <v>宋飞</v>
      </c>
      <c r="D150" s="5" t="str">
        <f t="shared" si="101"/>
        <v>男</v>
      </c>
      <c r="E150" s="5" t="str">
        <f>"1990-04-04"</f>
        <v>1990-04-04</v>
      </c>
      <c r="F150" s="5" t="s">
        <v>159</v>
      </c>
      <c r="G150" s="5" t="str">
        <f t="shared" si="102"/>
        <v>汉族</v>
      </c>
      <c r="H150" s="5" t="str">
        <f t="shared" si="107"/>
        <v>群众</v>
      </c>
      <c r="I150" s="5" t="str">
        <f t="shared" si="105"/>
        <v>本科</v>
      </c>
      <c r="J150" s="5" t="str">
        <f t="shared" si="106"/>
        <v>学士</v>
      </c>
    </row>
    <row r="151" s="2" customFormat="1" customHeight="1" spans="1:10">
      <c r="A151" s="5">
        <v>149</v>
      </c>
      <c r="B151" s="5" t="s">
        <v>11</v>
      </c>
      <c r="C151" s="5" t="str">
        <f>"庄孝静"</f>
        <v>庄孝静</v>
      </c>
      <c r="D151" s="5" t="str">
        <f t="shared" ref="D151:D155" si="108">"女"</f>
        <v>女</v>
      </c>
      <c r="E151" s="5" t="str">
        <f>"1984-09-13"</f>
        <v>1984-09-13</v>
      </c>
      <c r="F151" s="5" t="s">
        <v>160</v>
      </c>
      <c r="G151" s="5" t="str">
        <f t="shared" si="102"/>
        <v>汉族</v>
      </c>
      <c r="H151" s="5" t="str">
        <f t="shared" si="103"/>
        <v>中共党员</v>
      </c>
      <c r="I151" s="5" t="str">
        <f>"研究生"</f>
        <v>研究生</v>
      </c>
      <c r="J151" s="5" t="str">
        <f>"硕士"</f>
        <v>硕士</v>
      </c>
    </row>
    <row r="152" s="2" customFormat="1" customHeight="1" spans="1:10">
      <c r="A152" s="5">
        <v>150</v>
      </c>
      <c r="B152" s="5" t="s">
        <v>11</v>
      </c>
      <c r="C152" s="5" t="str">
        <f>"周嘉珍"</f>
        <v>周嘉珍</v>
      </c>
      <c r="D152" s="5" t="str">
        <f t="shared" si="108"/>
        <v>女</v>
      </c>
      <c r="E152" s="5" t="str">
        <f>"1996-05-21"</f>
        <v>1996-05-21</v>
      </c>
      <c r="F152" s="5" t="s">
        <v>161</v>
      </c>
      <c r="G152" s="5" t="str">
        <f>"黎族"</f>
        <v>黎族</v>
      </c>
      <c r="H152" s="5" t="str">
        <f t="shared" si="104"/>
        <v>共青团员</v>
      </c>
      <c r="I152" s="5" t="str">
        <f t="shared" ref="I152:I159" si="109">"本科"</f>
        <v>本科</v>
      </c>
      <c r="J152" s="5" t="str">
        <f t="shared" ref="J152:J159" si="110">"学士"</f>
        <v>学士</v>
      </c>
    </row>
    <row r="153" s="2" customFormat="1" ht="32" customHeight="1" spans="1:10">
      <c r="A153" s="5">
        <v>151</v>
      </c>
      <c r="B153" s="5" t="s">
        <v>11</v>
      </c>
      <c r="C153" s="5" t="str">
        <f>"符永峰"</f>
        <v>符永峰</v>
      </c>
      <c r="D153" s="5" t="str">
        <f>"男"</f>
        <v>男</v>
      </c>
      <c r="E153" s="5" t="str">
        <f>"1995-07-06"</f>
        <v>1995-07-06</v>
      </c>
      <c r="F153" s="5" t="s">
        <v>162</v>
      </c>
      <c r="G153" s="5" t="str">
        <f t="shared" ref="G153:G157" si="111">"汉族"</f>
        <v>汉族</v>
      </c>
      <c r="H153" s="5" t="str">
        <f t="shared" si="104"/>
        <v>共青团员</v>
      </c>
      <c r="I153" s="5" t="str">
        <f t="shared" si="109"/>
        <v>本科</v>
      </c>
      <c r="J153" s="5" t="str">
        <f t="shared" si="110"/>
        <v>学士</v>
      </c>
    </row>
    <row r="154" s="2" customFormat="1" customHeight="1" spans="1:10">
      <c r="A154" s="5">
        <v>152</v>
      </c>
      <c r="B154" s="5" t="s">
        <v>11</v>
      </c>
      <c r="C154" s="5" t="str">
        <f>"孙杨帆"</f>
        <v>孙杨帆</v>
      </c>
      <c r="D154" s="5" t="str">
        <f t="shared" ref="D154:D159" si="112">"男"</f>
        <v>男</v>
      </c>
      <c r="E154" s="5" t="str">
        <f>"1997-03-28"</f>
        <v>1997-03-28</v>
      </c>
      <c r="F154" s="5" t="s">
        <v>163</v>
      </c>
      <c r="G154" s="5" t="str">
        <f t="shared" si="111"/>
        <v>汉族</v>
      </c>
      <c r="H154" s="5" t="str">
        <f t="shared" si="107"/>
        <v>群众</v>
      </c>
      <c r="I154" s="5" t="str">
        <f t="shared" si="109"/>
        <v>本科</v>
      </c>
      <c r="J154" s="5" t="str">
        <f t="shared" si="110"/>
        <v>学士</v>
      </c>
    </row>
    <row r="155" s="2" customFormat="1" customHeight="1" spans="1:10">
      <c r="A155" s="5">
        <v>153</v>
      </c>
      <c r="B155" s="5" t="s">
        <v>11</v>
      </c>
      <c r="C155" s="5" t="str">
        <f>"吴建梅"</f>
        <v>吴建梅</v>
      </c>
      <c r="D155" s="5" t="str">
        <f t="shared" si="108"/>
        <v>女</v>
      </c>
      <c r="E155" s="5" t="str">
        <f>"1987-08-01"</f>
        <v>1987-08-01</v>
      </c>
      <c r="F155" s="5" t="s">
        <v>164</v>
      </c>
      <c r="G155" s="5" t="str">
        <f t="shared" si="111"/>
        <v>汉族</v>
      </c>
      <c r="H155" s="5" t="str">
        <f t="shared" si="107"/>
        <v>群众</v>
      </c>
      <c r="I155" s="5" t="str">
        <f t="shared" si="109"/>
        <v>本科</v>
      </c>
      <c r="J155" s="5" t="str">
        <f t="shared" si="110"/>
        <v>学士</v>
      </c>
    </row>
    <row r="156" s="2" customFormat="1" customHeight="1" spans="1:10">
      <c r="A156" s="5">
        <v>154</v>
      </c>
      <c r="B156" s="5" t="s">
        <v>11</v>
      </c>
      <c r="C156" s="5" t="str">
        <f>"方宝耀"</f>
        <v>方宝耀</v>
      </c>
      <c r="D156" s="5" t="str">
        <f t="shared" si="112"/>
        <v>男</v>
      </c>
      <c r="E156" s="5" t="str">
        <f>"1985-12-10"</f>
        <v>1985-12-10</v>
      </c>
      <c r="F156" s="5" t="s">
        <v>165</v>
      </c>
      <c r="G156" s="5" t="str">
        <f t="shared" si="111"/>
        <v>汉族</v>
      </c>
      <c r="H156" s="5" t="str">
        <f t="shared" si="107"/>
        <v>群众</v>
      </c>
      <c r="I156" s="5" t="str">
        <f t="shared" si="109"/>
        <v>本科</v>
      </c>
      <c r="J156" s="5" t="str">
        <f t="shared" si="110"/>
        <v>学士</v>
      </c>
    </row>
    <row r="157" s="2" customFormat="1" customHeight="1" spans="1:10">
      <c r="A157" s="5">
        <v>155</v>
      </c>
      <c r="B157" s="5" t="s">
        <v>11</v>
      </c>
      <c r="C157" s="5" t="str">
        <f>"朱乃婉"</f>
        <v>朱乃婉</v>
      </c>
      <c r="D157" s="5" t="str">
        <f t="shared" ref="D157:D162" si="113">"女"</f>
        <v>女</v>
      </c>
      <c r="E157" s="5" t="str">
        <f>"1995-05-06"</f>
        <v>1995-05-06</v>
      </c>
      <c r="F157" s="5" t="s">
        <v>166</v>
      </c>
      <c r="G157" s="5" t="str">
        <f t="shared" si="111"/>
        <v>汉族</v>
      </c>
      <c r="H157" s="5" t="str">
        <f t="shared" si="107"/>
        <v>群众</v>
      </c>
      <c r="I157" s="5" t="str">
        <f t="shared" si="109"/>
        <v>本科</v>
      </c>
      <c r="J157" s="5" t="str">
        <f t="shared" si="110"/>
        <v>学士</v>
      </c>
    </row>
    <row r="158" s="2" customFormat="1" customHeight="1" spans="1:10">
      <c r="A158" s="5">
        <v>156</v>
      </c>
      <c r="B158" s="5" t="s">
        <v>11</v>
      </c>
      <c r="C158" s="5" t="str">
        <f>"江浩新"</f>
        <v>江浩新</v>
      </c>
      <c r="D158" s="5" t="str">
        <f t="shared" si="112"/>
        <v>男</v>
      </c>
      <c r="E158" s="5" t="str">
        <f>"1997-07-27"</f>
        <v>1997-07-27</v>
      </c>
      <c r="F158" s="5" t="s">
        <v>167</v>
      </c>
      <c r="G158" s="5" t="str">
        <f>"黎族"</f>
        <v>黎族</v>
      </c>
      <c r="H158" s="5" t="str">
        <f>"共青团员"</f>
        <v>共青团员</v>
      </c>
      <c r="I158" s="5" t="str">
        <f t="shared" si="109"/>
        <v>本科</v>
      </c>
      <c r="J158" s="5" t="str">
        <f t="shared" si="110"/>
        <v>学士</v>
      </c>
    </row>
    <row r="159" s="2" customFormat="1" customHeight="1" spans="1:10">
      <c r="A159" s="5">
        <v>157</v>
      </c>
      <c r="B159" s="5" t="s">
        <v>11</v>
      </c>
      <c r="C159" s="5" t="str">
        <f>"陈俄煌"</f>
        <v>陈俄煌</v>
      </c>
      <c r="D159" s="5" t="str">
        <f t="shared" si="112"/>
        <v>男</v>
      </c>
      <c r="E159" s="5" t="str">
        <f>"1994-06-14"</f>
        <v>1994-06-14</v>
      </c>
      <c r="F159" s="5" t="s">
        <v>168</v>
      </c>
      <c r="G159" s="5" t="str">
        <f t="shared" ref="G159:G163" si="114">"汉族"</f>
        <v>汉族</v>
      </c>
      <c r="H159" s="5" t="str">
        <f t="shared" ref="H159:H162" si="115">"群众"</f>
        <v>群众</v>
      </c>
      <c r="I159" s="5" t="str">
        <f t="shared" si="109"/>
        <v>本科</v>
      </c>
      <c r="J159" s="5" t="str">
        <f t="shared" si="110"/>
        <v>学士</v>
      </c>
    </row>
    <row r="160" s="2" customFormat="1" customHeight="1" spans="1:10">
      <c r="A160" s="5">
        <v>158</v>
      </c>
      <c r="B160" s="5" t="s">
        <v>11</v>
      </c>
      <c r="C160" s="5" t="str">
        <f>"符田秋"</f>
        <v>符田秋</v>
      </c>
      <c r="D160" s="5" t="str">
        <f t="shared" si="113"/>
        <v>女</v>
      </c>
      <c r="E160" s="5" t="str">
        <f>"1993-08-24"</f>
        <v>1993-08-24</v>
      </c>
      <c r="F160" s="5" t="s">
        <v>169</v>
      </c>
      <c r="G160" s="5" t="str">
        <f t="shared" si="114"/>
        <v>汉族</v>
      </c>
      <c r="H160" s="5" t="str">
        <f t="shared" si="115"/>
        <v>群众</v>
      </c>
      <c r="I160" s="5" t="str">
        <f t="shared" ref="I160:I165" si="116">"本科"</f>
        <v>本科</v>
      </c>
      <c r="J160" s="5" t="str">
        <f t="shared" ref="J160:J165" si="117">"学士"</f>
        <v>学士</v>
      </c>
    </row>
    <row r="161" s="2" customFormat="1" customHeight="1" spans="1:10">
      <c r="A161" s="5">
        <v>159</v>
      </c>
      <c r="B161" s="5" t="s">
        <v>11</v>
      </c>
      <c r="C161" s="5" t="str">
        <f>"冯翔"</f>
        <v>冯翔</v>
      </c>
      <c r="D161" s="5" t="str">
        <f t="shared" ref="D161:D164" si="118">"男"</f>
        <v>男</v>
      </c>
      <c r="E161" s="5" t="str">
        <f>"1997-05-21"</f>
        <v>1997-05-21</v>
      </c>
      <c r="F161" s="5" t="s">
        <v>170</v>
      </c>
      <c r="G161" s="5" t="str">
        <f t="shared" si="114"/>
        <v>汉族</v>
      </c>
      <c r="H161" s="5" t="str">
        <f t="shared" ref="H161:H165" si="119">"共青团员"</f>
        <v>共青团员</v>
      </c>
      <c r="I161" s="5" t="str">
        <f t="shared" si="116"/>
        <v>本科</v>
      </c>
      <c r="J161" s="5" t="str">
        <f t="shared" si="117"/>
        <v>学士</v>
      </c>
    </row>
    <row r="162" s="2" customFormat="1" customHeight="1" spans="1:10">
      <c r="A162" s="5">
        <v>160</v>
      </c>
      <c r="B162" s="5" t="s">
        <v>11</v>
      </c>
      <c r="C162" s="5" t="str">
        <f>"陈润华"</f>
        <v>陈润华</v>
      </c>
      <c r="D162" s="5" t="str">
        <f t="shared" si="113"/>
        <v>女</v>
      </c>
      <c r="E162" s="5" t="str">
        <f>"1995-07-25"</f>
        <v>1995-07-25</v>
      </c>
      <c r="F162" s="5" t="s">
        <v>171</v>
      </c>
      <c r="G162" s="5" t="str">
        <f t="shared" si="114"/>
        <v>汉族</v>
      </c>
      <c r="H162" s="5" t="str">
        <f t="shared" si="115"/>
        <v>群众</v>
      </c>
      <c r="I162" s="5" t="str">
        <f t="shared" si="116"/>
        <v>本科</v>
      </c>
      <c r="J162" s="5" t="str">
        <f t="shared" si="117"/>
        <v>学士</v>
      </c>
    </row>
    <row r="163" s="2" customFormat="1" customHeight="1" spans="1:10">
      <c r="A163" s="5">
        <v>161</v>
      </c>
      <c r="B163" s="5" t="s">
        <v>11</v>
      </c>
      <c r="C163" s="5" t="str">
        <f>"潘达"</f>
        <v>潘达</v>
      </c>
      <c r="D163" s="5" t="str">
        <f t="shared" si="118"/>
        <v>男</v>
      </c>
      <c r="E163" s="5" t="str">
        <f>"1996-12-27"</f>
        <v>1996-12-27</v>
      </c>
      <c r="F163" s="5" t="s">
        <v>172</v>
      </c>
      <c r="G163" s="5" t="str">
        <f t="shared" si="114"/>
        <v>汉族</v>
      </c>
      <c r="H163" s="5" t="str">
        <f>"中共党员"</f>
        <v>中共党员</v>
      </c>
      <c r="I163" s="5" t="str">
        <f t="shared" si="116"/>
        <v>本科</v>
      </c>
      <c r="J163" s="5" t="str">
        <f t="shared" si="117"/>
        <v>学士</v>
      </c>
    </row>
    <row r="164" s="2" customFormat="1" customHeight="1" spans="1:10">
      <c r="A164" s="5">
        <v>162</v>
      </c>
      <c r="B164" s="5" t="s">
        <v>11</v>
      </c>
      <c r="C164" s="5" t="str">
        <f>"陈贤龙"</f>
        <v>陈贤龙</v>
      </c>
      <c r="D164" s="5" t="str">
        <f t="shared" si="118"/>
        <v>男</v>
      </c>
      <c r="E164" s="5" t="str">
        <f>"1993-10-25"</f>
        <v>1993-10-25</v>
      </c>
      <c r="F164" s="5" t="s">
        <v>173</v>
      </c>
      <c r="G164" s="5" t="str">
        <f t="shared" ref="G164:G172" si="120">"汉族"</f>
        <v>汉族</v>
      </c>
      <c r="H164" s="5" t="str">
        <f t="shared" si="119"/>
        <v>共青团员</v>
      </c>
      <c r="I164" s="5" t="str">
        <f t="shared" si="116"/>
        <v>本科</v>
      </c>
      <c r="J164" s="5" t="str">
        <f t="shared" si="117"/>
        <v>学士</v>
      </c>
    </row>
    <row r="165" s="2" customFormat="1" ht="32" customHeight="1" spans="1:10">
      <c r="A165" s="5">
        <v>163</v>
      </c>
      <c r="B165" s="5" t="s">
        <v>11</v>
      </c>
      <c r="C165" s="5" t="str">
        <f>"陈清静"</f>
        <v>陈清静</v>
      </c>
      <c r="D165" s="5" t="str">
        <f>"女"</f>
        <v>女</v>
      </c>
      <c r="E165" s="5" t="str">
        <f>"1995-09-08"</f>
        <v>1995-09-08</v>
      </c>
      <c r="F165" s="5" t="s">
        <v>174</v>
      </c>
      <c r="G165" s="5" t="str">
        <f>"黎族"</f>
        <v>黎族</v>
      </c>
      <c r="H165" s="5" t="str">
        <f t="shared" si="119"/>
        <v>共青团员</v>
      </c>
      <c r="I165" s="5" t="str">
        <f t="shared" si="116"/>
        <v>本科</v>
      </c>
      <c r="J165" s="5" t="str">
        <f t="shared" si="117"/>
        <v>学士</v>
      </c>
    </row>
    <row r="166" s="2" customFormat="1" customHeight="1" spans="1:10">
      <c r="A166" s="5">
        <v>164</v>
      </c>
      <c r="B166" s="5" t="s">
        <v>11</v>
      </c>
      <c r="C166" s="5" t="str">
        <f>"李佳杰"</f>
        <v>李佳杰</v>
      </c>
      <c r="D166" s="5" t="str">
        <f t="shared" ref="D166:D168" si="121">"男"</f>
        <v>男</v>
      </c>
      <c r="E166" s="5" t="str">
        <f>"1995-01-17"</f>
        <v>1995-01-17</v>
      </c>
      <c r="F166" s="5" t="s">
        <v>175</v>
      </c>
      <c r="G166" s="5" t="str">
        <f t="shared" si="120"/>
        <v>汉族</v>
      </c>
      <c r="H166" s="5" t="str">
        <f t="shared" ref="H166:H170" si="122">"群众"</f>
        <v>群众</v>
      </c>
      <c r="I166" s="5" t="str">
        <f t="shared" ref="I166:I175" si="123">"本科"</f>
        <v>本科</v>
      </c>
      <c r="J166" s="5" t="str">
        <f t="shared" ref="J166:J175" si="124">"学士"</f>
        <v>学士</v>
      </c>
    </row>
    <row r="167" s="2" customFormat="1" customHeight="1" spans="1:10">
      <c r="A167" s="5">
        <v>165</v>
      </c>
      <c r="B167" s="5" t="s">
        <v>11</v>
      </c>
      <c r="C167" s="5" t="str">
        <f>"穆玉珅"</f>
        <v>穆玉珅</v>
      </c>
      <c r="D167" s="5" t="str">
        <f t="shared" si="121"/>
        <v>男</v>
      </c>
      <c r="E167" s="5" t="str">
        <f>"1992-05-24"</f>
        <v>1992-05-24</v>
      </c>
      <c r="F167" s="5" t="s">
        <v>176</v>
      </c>
      <c r="G167" s="5" t="str">
        <f t="shared" si="120"/>
        <v>汉族</v>
      </c>
      <c r="H167" s="5" t="str">
        <f t="shared" si="122"/>
        <v>群众</v>
      </c>
      <c r="I167" s="5" t="str">
        <f t="shared" si="123"/>
        <v>本科</v>
      </c>
      <c r="J167" s="5" t="str">
        <f t="shared" si="124"/>
        <v>学士</v>
      </c>
    </row>
    <row r="168" s="2" customFormat="1" customHeight="1" spans="1:10">
      <c r="A168" s="5">
        <v>166</v>
      </c>
      <c r="B168" s="5" t="s">
        <v>11</v>
      </c>
      <c r="C168" s="5" t="str">
        <f>"王学卫"</f>
        <v>王学卫</v>
      </c>
      <c r="D168" s="5" t="str">
        <f t="shared" si="121"/>
        <v>男</v>
      </c>
      <c r="E168" s="5" t="str">
        <f>"1993-07-20"</f>
        <v>1993-07-20</v>
      </c>
      <c r="F168" s="5" t="s">
        <v>177</v>
      </c>
      <c r="G168" s="5" t="str">
        <f t="shared" si="120"/>
        <v>汉族</v>
      </c>
      <c r="H168" s="5" t="str">
        <f t="shared" si="122"/>
        <v>群众</v>
      </c>
      <c r="I168" s="5" t="str">
        <f t="shared" si="123"/>
        <v>本科</v>
      </c>
      <c r="J168" s="5" t="str">
        <f t="shared" si="124"/>
        <v>学士</v>
      </c>
    </row>
    <row r="169" s="2" customFormat="1" ht="32" customHeight="1" spans="1:10">
      <c r="A169" s="5">
        <v>167</v>
      </c>
      <c r="B169" s="5" t="s">
        <v>11</v>
      </c>
      <c r="C169" s="5" t="str">
        <f>"林惠琼"</f>
        <v>林惠琼</v>
      </c>
      <c r="D169" s="5" t="str">
        <f>"女"</f>
        <v>女</v>
      </c>
      <c r="E169" s="5" t="str">
        <f>"1994-05-02"</f>
        <v>1994-05-02</v>
      </c>
      <c r="F169" s="5" t="s">
        <v>178</v>
      </c>
      <c r="G169" s="5" t="str">
        <f t="shared" si="120"/>
        <v>汉族</v>
      </c>
      <c r="H169" s="5" t="str">
        <f t="shared" si="122"/>
        <v>群众</v>
      </c>
      <c r="I169" s="5" t="str">
        <f t="shared" si="123"/>
        <v>本科</v>
      </c>
      <c r="J169" s="5" t="str">
        <f t="shared" si="124"/>
        <v>学士</v>
      </c>
    </row>
    <row r="170" s="2" customFormat="1" customHeight="1" spans="1:10">
      <c r="A170" s="5">
        <v>168</v>
      </c>
      <c r="B170" s="5" t="s">
        <v>11</v>
      </c>
      <c r="C170" s="5" t="str">
        <f>"王裕杰"</f>
        <v>王裕杰</v>
      </c>
      <c r="D170" s="5" t="str">
        <f>"男"</f>
        <v>男</v>
      </c>
      <c r="E170" s="5" t="str">
        <f>"1993-12-18"</f>
        <v>1993-12-18</v>
      </c>
      <c r="F170" s="5" t="s">
        <v>179</v>
      </c>
      <c r="G170" s="5" t="str">
        <f t="shared" si="120"/>
        <v>汉族</v>
      </c>
      <c r="H170" s="5" t="str">
        <f t="shared" si="122"/>
        <v>群众</v>
      </c>
      <c r="I170" s="5" t="str">
        <f t="shared" si="123"/>
        <v>本科</v>
      </c>
      <c r="J170" s="5" t="str">
        <f t="shared" si="124"/>
        <v>学士</v>
      </c>
    </row>
    <row r="171" s="2" customFormat="1" customHeight="1" spans="1:10">
      <c r="A171" s="5">
        <v>169</v>
      </c>
      <c r="B171" s="5" t="s">
        <v>11</v>
      </c>
      <c r="C171" s="5" t="str">
        <f>"张路明"</f>
        <v>张路明</v>
      </c>
      <c r="D171" s="5" t="str">
        <f>"女"</f>
        <v>女</v>
      </c>
      <c r="E171" s="5" t="str">
        <f>"1987-04-27"</f>
        <v>1987-04-27</v>
      </c>
      <c r="F171" s="5" t="s">
        <v>180</v>
      </c>
      <c r="G171" s="5" t="str">
        <f t="shared" si="120"/>
        <v>汉族</v>
      </c>
      <c r="H171" s="5" t="str">
        <f>"中共党员"</f>
        <v>中共党员</v>
      </c>
      <c r="I171" s="5" t="str">
        <f t="shared" si="123"/>
        <v>本科</v>
      </c>
      <c r="J171" s="5" t="str">
        <f t="shared" si="124"/>
        <v>学士</v>
      </c>
    </row>
    <row r="172" s="2" customFormat="1" customHeight="1" spans="1:10">
      <c r="A172" s="5">
        <v>170</v>
      </c>
      <c r="B172" s="5" t="s">
        <v>11</v>
      </c>
      <c r="C172" s="5" t="str">
        <f>"朱厚悦"</f>
        <v>朱厚悦</v>
      </c>
      <c r="D172" s="5" t="str">
        <f t="shared" ref="D172:D177" si="125">"男"</f>
        <v>男</v>
      </c>
      <c r="E172" s="5" t="str">
        <f>"1991-06-15"</f>
        <v>1991-06-15</v>
      </c>
      <c r="F172" s="5" t="s">
        <v>181</v>
      </c>
      <c r="G172" s="5" t="str">
        <f t="shared" si="120"/>
        <v>汉族</v>
      </c>
      <c r="H172" s="5" t="str">
        <f>"中共党员"</f>
        <v>中共党员</v>
      </c>
      <c r="I172" s="5" t="str">
        <f t="shared" si="123"/>
        <v>本科</v>
      </c>
      <c r="J172" s="5" t="str">
        <f t="shared" si="124"/>
        <v>学士</v>
      </c>
    </row>
    <row r="173" s="2" customFormat="1" customHeight="1" spans="1:10">
      <c r="A173" s="5">
        <v>171</v>
      </c>
      <c r="B173" s="5" t="s">
        <v>11</v>
      </c>
      <c r="C173" s="5" t="str">
        <f>"黄泽"</f>
        <v>黄泽</v>
      </c>
      <c r="D173" s="5" t="str">
        <f t="shared" si="125"/>
        <v>男</v>
      </c>
      <c r="E173" s="5" t="str">
        <f>"1995-02-17"</f>
        <v>1995-02-17</v>
      </c>
      <c r="F173" s="5" t="s">
        <v>182</v>
      </c>
      <c r="G173" s="5" t="str">
        <f>"黎族"</f>
        <v>黎族</v>
      </c>
      <c r="H173" s="5" t="str">
        <f t="shared" ref="H173:H178" si="126">"群众"</f>
        <v>群众</v>
      </c>
      <c r="I173" s="5" t="str">
        <f t="shared" si="123"/>
        <v>本科</v>
      </c>
      <c r="J173" s="5" t="str">
        <f t="shared" si="124"/>
        <v>学士</v>
      </c>
    </row>
    <row r="174" s="2" customFormat="1" customHeight="1" spans="1:10">
      <c r="A174" s="5">
        <v>172</v>
      </c>
      <c r="B174" s="5" t="s">
        <v>11</v>
      </c>
      <c r="C174" s="5" t="str">
        <f>"邢维江"</f>
        <v>邢维江</v>
      </c>
      <c r="D174" s="5" t="str">
        <f t="shared" si="125"/>
        <v>男</v>
      </c>
      <c r="E174" s="5" t="str">
        <f>"1990-04-12"</f>
        <v>1990-04-12</v>
      </c>
      <c r="F174" s="5" t="s">
        <v>183</v>
      </c>
      <c r="G174" s="5" t="str">
        <f>"汉族"</f>
        <v>汉族</v>
      </c>
      <c r="H174" s="5" t="str">
        <f t="shared" si="126"/>
        <v>群众</v>
      </c>
      <c r="I174" s="5" t="str">
        <f t="shared" si="123"/>
        <v>本科</v>
      </c>
      <c r="J174" s="5" t="str">
        <f t="shared" si="124"/>
        <v>学士</v>
      </c>
    </row>
    <row r="175" s="2" customFormat="1" customHeight="1" spans="1:10">
      <c r="A175" s="5">
        <v>173</v>
      </c>
      <c r="B175" s="5" t="s">
        <v>11</v>
      </c>
      <c r="C175" s="5" t="str">
        <f>"梁启丰"</f>
        <v>梁启丰</v>
      </c>
      <c r="D175" s="5" t="str">
        <f t="shared" si="125"/>
        <v>男</v>
      </c>
      <c r="E175" s="5" t="str">
        <f>"1990-05-27"</f>
        <v>1990-05-27</v>
      </c>
      <c r="F175" s="5" t="s">
        <v>184</v>
      </c>
      <c r="G175" s="5" t="str">
        <f>"汉族"</f>
        <v>汉族</v>
      </c>
      <c r="H175" s="5" t="str">
        <f t="shared" si="126"/>
        <v>群众</v>
      </c>
      <c r="I175" s="5" t="str">
        <f t="shared" si="123"/>
        <v>本科</v>
      </c>
      <c r="J175" s="5" t="str">
        <f t="shared" si="124"/>
        <v>学士</v>
      </c>
    </row>
    <row r="176" s="2" customFormat="1" customHeight="1" spans="1:10">
      <c r="A176" s="5">
        <v>174</v>
      </c>
      <c r="B176" s="5" t="s">
        <v>11</v>
      </c>
      <c r="C176" s="5" t="str">
        <f>"王世方"</f>
        <v>王世方</v>
      </c>
      <c r="D176" s="5" t="str">
        <f t="shared" si="125"/>
        <v>男</v>
      </c>
      <c r="E176" s="5" t="str">
        <f>"1992-01-15"</f>
        <v>1992-01-15</v>
      </c>
      <c r="F176" s="5" t="s">
        <v>185</v>
      </c>
      <c r="G176" s="5" t="str">
        <f t="shared" ref="G176:G184" si="127">"汉族"</f>
        <v>汉族</v>
      </c>
      <c r="H176" s="5" t="str">
        <f t="shared" si="126"/>
        <v>群众</v>
      </c>
      <c r="I176" s="5" t="str">
        <f t="shared" ref="I176:I189" si="128">"本科"</f>
        <v>本科</v>
      </c>
      <c r="J176" s="5" t="str">
        <f t="shared" ref="J176:J189" si="129">"学士"</f>
        <v>学士</v>
      </c>
    </row>
    <row r="177" s="2" customFormat="1" customHeight="1" spans="1:10">
      <c r="A177" s="5">
        <v>175</v>
      </c>
      <c r="B177" s="5" t="s">
        <v>11</v>
      </c>
      <c r="C177" s="5" t="str">
        <f>"任小刚"</f>
        <v>任小刚</v>
      </c>
      <c r="D177" s="5" t="str">
        <f t="shared" si="125"/>
        <v>男</v>
      </c>
      <c r="E177" s="5" t="str">
        <f>"1986-08-30"</f>
        <v>1986-08-30</v>
      </c>
      <c r="F177" s="5" t="s">
        <v>186</v>
      </c>
      <c r="G177" s="5" t="str">
        <f t="shared" si="127"/>
        <v>汉族</v>
      </c>
      <c r="H177" s="5" t="str">
        <f t="shared" si="126"/>
        <v>群众</v>
      </c>
      <c r="I177" s="5" t="str">
        <f t="shared" si="128"/>
        <v>本科</v>
      </c>
      <c r="J177" s="5" t="str">
        <f t="shared" si="129"/>
        <v>学士</v>
      </c>
    </row>
    <row r="178" s="2" customFormat="1" customHeight="1" spans="1:10">
      <c r="A178" s="5">
        <v>176</v>
      </c>
      <c r="B178" s="5" t="s">
        <v>11</v>
      </c>
      <c r="C178" s="5" t="str">
        <f>"邢丽媚"</f>
        <v>邢丽媚</v>
      </c>
      <c r="D178" s="5" t="str">
        <f t="shared" ref="D178:D181" si="130">"女"</f>
        <v>女</v>
      </c>
      <c r="E178" s="5" t="str">
        <f>"1991-03-27"</f>
        <v>1991-03-27</v>
      </c>
      <c r="F178" s="5" t="s">
        <v>187</v>
      </c>
      <c r="G178" s="5" t="str">
        <f t="shared" si="127"/>
        <v>汉族</v>
      </c>
      <c r="H178" s="5" t="str">
        <f t="shared" si="126"/>
        <v>群众</v>
      </c>
      <c r="I178" s="5" t="str">
        <f t="shared" si="128"/>
        <v>本科</v>
      </c>
      <c r="J178" s="5" t="str">
        <f t="shared" si="129"/>
        <v>学士</v>
      </c>
    </row>
    <row r="179" s="2" customFormat="1" customHeight="1" spans="1:10">
      <c r="A179" s="5">
        <v>177</v>
      </c>
      <c r="B179" s="5" t="s">
        <v>11</v>
      </c>
      <c r="C179" s="5" t="str">
        <f>"俞书鸯"</f>
        <v>俞书鸯</v>
      </c>
      <c r="D179" s="5" t="str">
        <f t="shared" si="130"/>
        <v>女</v>
      </c>
      <c r="E179" s="5" t="str">
        <f>"1986-11-20"</f>
        <v>1986-11-20</v>
      </c>
      <c r="F179" s="5" t="s">
        <v>188</v>
      </c>
      <c r="G179" s="5" t="str">
        <f t="shared" si="127"/>
        <v>汉族</v>
      </c>
      <c r="H179" s="5" t="str">
        <f>"中共党员"</f>
        <v>中共党员</v>
      </c>
      <c r="I179" s="5" t="str">
        <f t="shared" si="128"/>
        <v>本科</v>
      </c>
      <c r="J179" s="5" t="str">
        <f t="shared" si="129"/>
        <v>学士</v>
      </c>
    </row>
    <row r="180" s="2" customFormat="1" customHeight="1" spans="1:10">
      <c r="A180" s="5">
        <v>178</v>
      </c>
      <c r="B180" s="5" t="s">
        <v>11</v>
      </c>
      <c r="C180" s="5" t="str">
        <f>"蔡祖镪"</f>
        <v>蔡祖镪</v>
      </c>
      <c r="D180" s="5" t="str">
        <f t="shared" ref="D180:D186" si="131">"男"</f>
        <v>男</v>
      </c>
      <c r="E180" s="5" t="str">
        <f>"1989-05-02"</f>
        <v>1989-05-02</v>
      </c>
      <c r="F180" s="5" t="s">
        <v>189</v>
      </c>
      <c r="G180" s="5" t="str">
        <f t="shared" si="127"/>
        <v>汉族</v>
      </c>
      <c r="H180" s="5" t="str">
        <f t="shared" ref="H180:H184" si="132">"群众"</f>
        <v>群众</v>
      </c>
      <c r="I180" s="5" t="str">
        <f t="shared" si="128"/>
        <v>本科</v>
      </c>
      <c r="J180" s="5" t="str">
        <f t="shared" si="129"/>
        <v>学士</v>
      </c>
    </row>
    <row r="181" s="2" customFormat="1" ht="32" customHeight="1" spans="1:10">
      <c r="A181" s="5">
        <v>179</v>
      </c>
      <c r="B181" s="5" t="s">
        <v>11</v>
      </c>
      <c r="C181" s="5" t="str">
        <f>"王青利"</f>
        <v>王青利</v>
      </c>
      <c r="D181" s="5" t="str">
        <f t="shared" si="130"/>
        <v>女</v>
      </c>
      <c r="E181" s="5" t="str">
        <f>"1989-06-07"</f>
        <v>1989-06-07</v>
      </c>
      <c r="F181" s="5" t="s">
        <v>190</v>
      </c>
      <c r="G181" s="5" t="str">
        <f t="shared" si="127"/>
        <v>汉族</v>
      </c>
      <c r="H181" s="5" t="str">
        <f t="shared" si="132"/>
        <v>群众</v>
      </c>
      <c r="I181" s="5" t="str">
        <f t="shared" si="128"/>
        <v>本科</v>
      </c>
      <c r="J181" s="5" t="str">
        <f t="shared" si="129"/>
        <v>学士</v>
      </c>
    </row>
    <row r="182" s="2" customFormat="1" customHeight="1" spans="1:10">
      <c r="A182" s="5">
        <v>180</v>
      </c>
      <c r="B182" s="5" t="s">
        <v>11</v>
      </c>
      <c r="C182" s="5" t="str">
        <f>"郭颂"</f>
        <v>郭颂</v>
      </c>
      <c r="D182" s="5" t="str">
        <f t="shared" si="131"/>
        <v>男</v>
      </c>
      <c r="E182" s="5" t="str">
        <f>"1998-01-01"</f>
        <v>1998-01-01</v>
      </c>
      <c r="F182" s="5" t="s">
        <v>191</v>
      </c>
      <c r="G182" s="5" t="str">
        <f t="shared" si="127"/>
        <v>汉族</v>
      </c>
      <c r="H182" s="5" t="str">
        <f>"共青团员"</f>
        <v>共青团员</v>
      </c>
      <c r="I182" s="5" t="str">
        <f t="shared" si="128"/>
        <v>本科</v>
      </c>
      <c r="J182" s="5" t="str">
        <f t="shared" si="129"/>
        <v>学士</v>
      </c>
    </row>
    <row r="183" s="2" customFormat="1" ht="32" customHeight="1" spans="1:10">
      <c r="A183" s="5">
        <v>181</v>
      </c>
      <c r="B183" s="5" t="s">
        <v>11</v>
      </c>
      <c r="C183" s="5" t="str">
        <f>"王仁芬"</f>
        <v>王仁芬</v>
      </c>
      <c r="D183" s="5" t="str">
        <f>"女"</f>
        <v>女</v>
      </c>
      <c r="E183" s="5" t="str">
        <f>"1993-03-12"</f>
        <v>1993-03-12</v>
      </c>
      <c r="F183" s="5" t="s">
        <v>192</v>
      </c>
      <c r="G183" s="5" t="str">
        <f t="shared" si="127"/>
        <v>汉族</v>
      </c>
      <c r="H183" s="5" t="str">
        <f>"共青团员"</f>
        <v>共青团员</v>
      </c>
      <c r="I183" s="5" t="str">
        <f t="shared" si="128"/>
        <v>本科</v>
      </c>
      <c r="J183" s="5" t="str">
        <f t="shared" si="129"/>
        <v>学士</v>
      </c>
    </row>
    <row r="184" s="2" customFormat="1" ht="32" customHeight="1" spans="1:10">
      <c r="A184" s="5">
        <v>182</v>
      </c>
      <c r="B184" s="5" t="s">
        <v>11</v>
      </c>
      <c r="C184" s="5" t="str">
        <f>"李耀勋"</f>
        <v>李耀勋</v>
      </c>
      <c r="D184" s="5" t="str">
        <f t="shared" si="131"/>
        <v>男</v>
      </c>
      <c r="E184" s="5" t="str">
        <f>"1992-08-09"</f>
        <v>1992-08-09</v>
      </c>
      <c r="F184" s="5" t="s">
        <v>193</v>
      </c>
      <c r="G184" s="5" t="str">
        <f t="shared" si="127"/>
        <v>汉族</v>
      </c>
      <c r="H184" s="5" t="str">
        <f t="shared" si="132"/>
        <v>群众</v>
      </c>
      <c r="I184" s="5" t="str">
        <f t="shared" si="128"/>
        <v>本科</v>
      </c>
      <c r="J184" s="5" t="str">
        <f t="shared" si="129"/>
        <v>学士</v>
      </c>
    </row>
    <row r="185" s="2" customFormat="1" customHeight="1" spans="1:10">
      <c r="A185" s="5">
        <v>183</v>
      </c>
      <c r="B185" s="5" t="s">
        <v>11</v>
      </c>
      <c r="C185" s="5" t="str">
        <f>"向留言"</f>
        <v>向留言</v>
      </c>
      <c r="D185" s="5" t="str">
        <f t="shared" si="131"/>
        <v>男</v>
      </c>
      <c r="E185" s="5" t="str">
        <f>"1998-10-08"</f>
        <v>1998-10-08</v>
      </c>
      <c r="F185" s="5" t="s">
        <v>194</v>
      </c>
      <c r="G185" s="5" t="str">
        <f t="shared" ref="G185:G191" si="133">"汉族"</f>
        <v>汉族</v>
      </c>
      <c r="H185" s="5" t="str">
        <f t="shared" ref="H185:H192" si="134">"群众"</f>
        <v>群众</v>
      </c>
      <c r="I185" s="5" t="str">
        <f t="shared" si="128"/>
        <v>本科</v>
      </c>
      <c r="J185" s="5" t="str">
        <f t="shared" si="129"/>
        <v>学士</v>
      </c>
    </row>
    <row r="186" s="2" customFormat="1" customHeight="1" spans="1:10">
      <c r="A186" s="5">
        <v>184</v>
      </c>
      <c r="B186" s="5" t="s">
        <v>11</v>
      </c>
      <c r="C186" s="5" t="str">
        <f>"曾祥程"</f>
        <v>曾祥程</v>
      </c>
      <c r="D186" s="5" t="str">
        <f t="shared" si="131"/>
        <v>男</v>
      </c>
      <c r="E186" s="5" t="str">
        <f>"1995-04-05"</f>
        <v>1995-04-05</v>
      </c>
      <c r="F186" s="5" t="s">
        <v>195</v>
      </c>
      <c r="G186" s="5" t="str">
        <f>"黎族"</f>
        <v>黎族</v>
      </c>
      <c r="H186" s="5" t="str">
        <f t="shared" si="134"/>
        <v>群众</v>
      </c>
      <c r="I186" s="5" t="str">
        <f t="shared" si="128"/>
        <v>本科</v>
      </c>
      <c r="J186" s="5" t="str">
        <f t="shared" si="129"/>
        <v>学士</v>
      </c>
    </row>
    <row r="187" s="2" customFormat="1" customHeight="1" spans="1:10">
      <c r="A187" s="5">
        <v>185</v>
      </c>
      <c r="B187" s="5" t="s">
        <v>11</v>
      </c>
      <c r="C187" s="5" t="str">
        <f>"卓丽"</f>
        <v>卓丽</v>
      </c>
      <c r="D187" s="5" t="str">
        <f t="shared" ref="D187:D191" si="135">"女"</f>
        <v>女</v>
      </c>
      <c r="E187" s="5" t="str">
        <f>"1990-10-05"</f>
        <v>1990-10-05</v>
      </c>
      <c r="F187" s="5" t="s">
        <v>196</v>
      </c>
      <c r="G187" s="5" t="str">
        <f t="shared" si="133"/>
        <v>汉族</v>
      </c>
      <c r="H187" s="5" t="str">
        <f>"中共党员"</f>
        <v>中共党员</v>
      </c>
      <c r="I187" s="5" t="str">
        <f t="shared" si="128"/>
        <v>本科</v>
      </c>
      <c r="J187" s="5" t="str">
        <f t="shared" si="129"/>
        <v>学士</v>
      </c>
    </row>
    <row r="188" s="2" customFormat="1" customHeight="1" spans="1:10">
      <c r="A188" s="5">
        <v>186</v>
      </c>
      <c r="B188" s="5" t="s">
        <v>11</v>
      </c>
      <c r="C188" s="5" t="str">
        <f>"王奋"</f>
        <v>王奋</v>
      </c>
      <c r="D188" s="5" t="str">
        <f t="shared" ref="D188:D193" si="136">"男"</f>
        <v>男</v>
      </c>
      <c r="E188" s="5" t="str">
        <f>"1992-01-18"</f>
        <v>1992-01-18</v>
      </c>
      <c r="F188" s="5" t="s">
        <v>197</v>
      </c>
      <c r="G188" s="5" t="str">
        <f t="shared" si="133"/>
        <v>汉族</v>
      </c>
      <c r="H188" s="5" t="str">
        <f t="shared" si="134"/>
        <v>群众</v>
      </c>
      <c r="I188" s="5" t="str">
        <f t="shared" si="128"/>
        <v>本科</v>
      </c>
      <c r="J188" s="5" t="str">
        <f t="shared" si="129"/>
        <v>学士</v>
      </c>
    </row>
    <row r="189" s="2" customFormat="1" customHeight="1" spans="1:10">
      <c r="A189" s="5">
        <v>187</v>
      </c>
      <c r="B189" s="5" t="s">
        <v>11</v>
      </c>
      <c r="C189" s="5" t="str">
        <f>"唐真真"</f>
        <v>唐真真</v>
      </c>
      <c r="D189" s="5" t="str">
        <f t="shared" si="135"/>
        <v>女</v>
      </c>
      <c r="E189" s="5" t="str">
        <f>"1985-08-07"</f>
        <v>1985-08-07</v>
      </c>
      <c r="F189" s="5" t="s">
        <v>198</v>
      </c>
      <c r="G189" s="5" t="str">
        <f t="shared" si="133"/>
        <v>汉族</v>
      </c>
      <c r="H189" s="5" t="str">
        <f t="shared" si="134"/>
        <v>群众</v>
      </c>
      <c r="I189" s="5" t="str">
        <f t="shared" si="128"/>
        <v>本科</v>
      </c>
      <c r="J189" s="5" t="str">
        <f t="shared" si="129"/>
        <v>学士</v>
      </c>
    </row>
    <row r="190" s="2" customFormat="1" ht="32" customHeight="1" spans="1:10">
      <c r="A190" s="5">
        <v>188</v>
      </c>
      <c r="B190" s="5" t="s">
        <v>11</v>
      </c>
      <c r="C190" s="5" t="str">
        <f>"纪叶茗"</f>
        <v>纪叶茗</v>
      </c>
      <c r="D190" s="5" t="str">
        <f t="shared" si="135"/>
        <v>女</v>
      </c>
      <c r="E190" s="5" t="str">
        <f>"1989-10-22"</f>
        <v>1989-10-22</v>
      </c>
      <c r="F190" s="5" t="s">
        <v>199</v>
      </c>
      <c r="G190" s="5" t="str">
        <f t="shared" si="133"/>
        <v>汉族</v>
      </c>
      <c r="H190" s="5" t="str">
        <f t="shared" si="134"/>
        <v>群众</v>
      </c>
      <c r="I190" s="5" t="str">
        <f>"研究生"</f>
        <v>研究生</v>
      </c>
      <c r="J190" s="5" t="str">
        <f>"硕士"</f>
        <v>硕士</v>
      </c>
    </row>
    <row r="191" s="2" customFormat="1" customHeight="1" spans="1:10">
      <c r="A191" s="5">
        <v>189</v>
      </c>
      <c r="B191" s="5" t="s">
        <v>11</v>
      </c>
      <c r="C191" s="5" t="str">
        <f>"温妮"</f>
        <v>温妮</v>
      </c>
      <c r="D191" s="5" t="str">
        <f t="shared" si="135"/>
        <v>女</v>
      </c>
      <c r="E191" s="5" t="str">
        <f>"1994-07-04"</f>
        <v>1994-07-04</v>
      </c>
      <c r="F191" s="5" t="s">
        <v>200</v>
      </c>
      <c r="G191" s="5" t="str">
        <f t="shared" si="133"/>
        <v>汉族</v>
      </c>
      <c r="H191" s="5" t="str">
        <f t="shared" si="134"/>
        <v>群众</v>
      </c>
      <c r="I191" s="5" t="str">
        <f t="shared" ref="I191:I194" si="137">"本科"</f>
        <v>本科</v>
      </c>
      <c r="J191" s="5" t="str">
        <f t="shared" ref="J191:J194" si="138">"学士"</f>
        <v>学士</v>
      </c>
    </row>
    <row r="192" s="2" customFormat="1" customHeight="1" spans="1:10">
      <c r="A192" s="5">
        <v>190</v>
      </c>
      <c r="B192" s="5" t="s">
        <v>11</v>
      </c>
      <c r="C192" s="5" t="str">
        <f>"董书恺"</f>
        <v>董书恺</v>
      </c>
      <c r="D192" s="5" t="str">
        <f t="shared" si="136"/>
        <v>男</v>
      </c>
      <c r="E192" s="5" t="str">
        <f>"1995-12-22"</f>
        <v>1995-12-22</v>
      </c>
      <c r="F192" s="5" t="s">
        <v>201</v>
      </c>
      <c r="G192" s="5" t="str">
        <f>"黎族"</f>
        <v>黎族</v>
      </c>
      <c r="H192" s="5" t="str">
        <f t="shared" si="134"/>
        <v>群众</v>
      </c>
      <c r="I192" s="5" t="str">
        <f t="shared" si="137"/>
        <v>本科</v>
      </c>
      <c r="J192" s="5" t="str">
        <f t="shared" si="138"/>
        <v>学士</v>
      </c>
    </row>
    <row r="193" s="2" customFormat="1" customHeight="1" spans="1:10">
      <c r="A193" s="5">
        <v>191</v>
      </c>
      <c r="B193" s="5" t="s">
        <v>11</v>
      </c>
      <c r="C193" s="5" t="str">
        <f>"梁安伟"</f>
        <v>梁安伟</v>
      </c>
      <c r="D193" s="5" t="str">
        <f t="shared" si="136"/>
        <v>男</v>
      </c>
      <c r="E193" s="5" t="str">
        <f>"1987-04-06"</f>
        <v>1987-04-06</v>
      </c>
      <c r="F193" s="5" t="s">
        <v>202</v>
      </c>
      <c r="G193" s="5" t="str">
        <f>"汉族"</f>
        <v>汉族</v>
      </c>
      <c r="H193" s="5" t="str">
        <f t="shared" ref="H193:H195" si="139">"中共党员"</f>
        <v>中共党员</v>
      </c>
      <c r="I193" s="5" t="str">
        <f t="shared" si="137"/>
        <v>本科</v>
      </c>
      <c r="J193" s="5" t="str">
        <f t="shared" si="138"/>
        <v>学士</v>
      </c>
    </row>
    <row r="194" s="2" customFormat="1" customHeight="1" spans="1:10">
      <c r="A194" s="5">
        <v>192</v>
      </c>
      <c r="B194" s="5" t="s">
        <v>11</v>
      </c>
      <c r="C194" s="5" t="str">
        <f>"连想"</f>
        <v>连想</v>
      </c>
      <c r="D194" s="5" t="str">
        <f t="shared" ref="D194:D198" si="140">"女"</f>
        <v>女</v>
      </c>
      <c r="E194" s="5" t="str">
        <f>"1996-12-11"</f>
        <v>1996-12-11</v>
      </c>
      <c r="F194" s="5" t="s">
        <v>203</v>
      </c>
      <c r="G194" s="5" t="str">
        <f>"汉族"</f>
        <v>汉族</v>
      </c>
      <c r="H194" s="5" t="str">
        <f t="shared" si="139"/>
        <v>中共党员</v>
      </c>
      <c r="I194" s="5" t="str">
        <f t="shared" si="137"/>
        <v>本科</v>
      </c>
      <c r="J194" s="5" t="str">
        <f t="shared" si="138"/>
        <v>学士</v>
      </c>
    </row>
    <row r="195" s="2" customFormat="1" customHeight="1" spans="1:10">
      <c r="A195" s="5">
        <v>193</v>
      </c>
      <c r="B195" s="5" t="s">
        <v>11</v>
      </c>
      <c r="C195" s="5" t="str">
        <f>"陈杰"</f>
        <v>陈杰</v>
      </c>
      <c r="D195" s="5" t="str">
        <f t="shared" ref="D195:D200" si="141">"男"</f>
        <v>男</v>
      </c>
      <c r="E195" s="5" t="str">
        <f>"1989-02-15"</f>
        <v>1989-02-15</v>
      </c>
      <c r="F195" s="5" t="s">
        <v>204</v>
      </c>
      <c r="G195" s="5" t="str">
        <f t="shared" ref="G195:G200" si="142">"汉族"</f>
        <v>汉族</v>
      </c>
      <c r="H195" s="5" t="str">
        <f t="shared" si="139"/>
        <v>中共党员</v>
      </c>
      <c r="I195" s="5" t="str">
        <f t="shared" ref="I195:I200" si="143">"本科"</f>
        <v>本科</v>
      </c>
      <c r="J195" s="5" t="str">
        <f t="shared" ref="J195:J200" si="144">"学士"</f>
        <v>学士</v>
      </c>
    </row>
    <row r="196" s="2" customFormat="1" customHeight="1" spans="1:10">
      <c r="A196" s="5">
        <v>194</v>
      </c>
      <c r="B196" s="5" t="s">
        <v>11</v>
      </c>
      <c r="C196" s="5" t="str">
        <f>"陈昕铃"</f>
        <v>陈昕铃</v>
      </c>
      <c r="D196" s="5" t="str">
        <f t="shared" si="140"/>
        <v>女</v>
      </c>
      <c r="E196" s="5" t="str">
        <f>"1998-03-19"</f>
        <v>1998-03-19</v>
      </c>
      <c r="F196" s="5" t="s">
        <v>205</v>
      </c>
      <c r="G196" s="5" t="str">
        <f t="shared" si="142"/>
        <v>汉族</v>
      </c>
      <c r="H196" s="5" t="str">
        <f t="shared" ref="H196:H198" si="145">"群众"</f>
        <v>群众</v>
      </c>
      <c r="I196" s="5" t="str">
        <f t="shared" si="143"/>
        <v>本科</v>
      </c>
      <c r="J196" s="5" t="str">
        <f t="shared" si="144"/>
        <v>学士</v>
      </c>
    </row>
    <row r="197" s="2" customFormat="1" customHeight="1" spans="1:10">
      <c r="A197" s="5">
        <v>195</v>
      </c>
      <c r="B197" s="5" t="s">
        <v>11</v>
      </c>
      <c r="C197" s="5" t="str">
        <f>"翁连敏"</f>
        <v>翁连敏</v>
      </c>
      <c r="D197" s="5" t="str">
        <f t="shared" si="141"/>
        <v>男</v>
      </c>
      <c r="E197" s="5" t="str">
        <f>"1990-09-11"</f>
        <v>1990-09-11</v>
      </c>
      <c r="F197" s="5" t="s">
        <v>206</v>
      </c>
      <c r="G197" s="5" t="str">
        <f t="shared" si="142"/>
        <v>汉族</v>
      </c>
      <c r="H197" s="5" t="str">
        <f t="shared" si="145"/>
        <v>群众</v>
      </c>
      <c r="I197" s="5" t="str">
        <f t="shared" si="143"/>
        <v>本科</v>
      </c>
      <c r="J197" s="5" t="str">
        <f t="shared" si="144"/>
        <v>学士</v>
      </c>
    </row>
    <row r="198" s="2" customFormat="1" customHeight="1" spans="1:10">
      <c r="A198" s="5">
        <v>196</v>
      </c>
      <c r="B198" s="5" t="s">
        <v>11</v>
      </c>
      <c r="C198" s="5" t="str">
        <f>"刘维"</f>
        <v>刘维</v>
      </c>
      <c r="D198" s="5" t="str">
        <f t="shared" si="140"/>
        <v>女</v>
      </c>
      <c r="E198" s="5" t="str">
        <f>"1990-08-20"</f>
        <v>1990-08-20</v>
      </c>
      <c r="F198" s="5" t="s">
        <v>207</v>
      </c>
      <c r="G198" s="5" t="str">
        <f t="shared" si="142"/>
        <v>汉族</v>
      </c>
      <c r="H198" s="5" t="str">
        <f t="shared" si="145"/>
        <v>群众</v>
      </c>
      <c r="I198" s="5" t="str">
        <f t="shared" si="143"/>
        <v>本科</v>
      </c>
      <c r="J198" s="5" t="str">
        <f t="shared" si="144"/>
        <v>学士</v>
      </c>
    </row>
    <row r="199" s="2" customFormat="1" customHeight="1" spans="1:10">
      <c r="A199" s="5">
        <v>197</v>
      </c>
      <c r="B199" s="5" t="s">
        <v>11</v>
      </c>
      <c r="C199" s="5" t="str">
        <f>"谭嘉盛"</f>
        <v>谭嘉盛</v>
      </c>
      <c r="D199" s="5" t="str">
        <f t="shared" si="141"/>
        <v>男</v>
      </c>
      <c r="E199" s="5" t="str">
        <f>"1996-11-22"</f>
        <v>1996-11-22</v>
      </c>
      <c r="F199" s="5" t="s">
        <v>208</v>
      </c>
      <c r="G199" s="5" t="str">
        <f t="shared" si="142"/>
        <v>汉族</v>
      </c>
      <c r="H199" s="5" t="str">
        <f>"共青团员"</f>
        <v>共青团员</v>
      </c>
      <c r="I199" s="5" t="str">
        <f t="shared" si="143"/>
        <v>本科</v>
      </c>
      <c r="J199" s="5" t="str">
        <f t="shared" si="144"/>
        <v>学士</v>
      </c>
    </row>
    <row r="200" s="2" customFormat="1" ht="32" customHeight="1" spans="1:10">
      <c r="A200" s="5">
        <v>198</v>
      </c>
      <c r="B200" s="5" t="s">
        <v>11</v>
      </c>
      <c r="C200" s="5" t="str">
        <f>"郑家成"</f>
        <v>郑家成</v>
      </c>
      <c r="D200" s="5" t="str">
        <f t="shared" si="141"/>
        <v>男</v>
      </c>
      <c r="E200" s="5" t="str">
        <f>"1995-11-05"</f>
        <v>1995-11-05</v>
      </c>
      <c r="F200" s="5" t="s">
        <v>209</v>
      </c>
      <c r="G200" s="5" t="str">
        <f t="shared" si="142"/>
        <v>汉族</v>
      </c>
      <c r="H200" s="5" t="str">
        <f>"共青团员"</f>
        <v>共青团员</v>
      </c>
      <c r="I200" s="5" t="str">
        <f t="shared" si="143"/>
        <v>本科</v>
      </c>
      <c r="J200" s="5" t="str">
        <f t="shared" si="144"/>
        <v>学士</v>
      </c>
    </row>
    <row r="201" s="2" customFormat="1" customHeight="1" spans="1:10">
      <c r="A201" s="5">
        <v>199</v>
      </c>
      <c r="B201" s="5" t="s">
        <v>11</v>
      </c>
      <c r="C201" s="5" t="str">
        <f>"王鑫"</f>
        <v>王鑫</v>
      </c>
      <c r="D201" s="5" t="str">
        <f t="shared" ref="D201:D209" si="146">"男"</f>
        <v>男</v>
      </c>
      <c r="E201" s="5" t="str">
        <f>"1996-05-09"</f>
        <v>1996-05-09</v>
      </c>
      <c r="F201" s="5" t="s">
        <v>210</v>
      </c>
      <c r="G201" s="5" t="str">
        <f t="shared" ref="G201:G205" si="147">"汉族"</f>
        <v>汉族</v>
      </c>
      <c r="H201" s="5" t="str">
        <f t="shared" ref="H201:H204" si="148">"群众"</f>
        <v>群众</v>
      </c>
      <c r="I201" s="5" t="str">
        <f t="shared" ref="I201:I226" si="149">"本科"</f>
        <v>本科</v>
      </c>
      <c r="J201" s="5" t="str">
        <f t="shared" ref="J201:J226" si="150">"学士"</f>
        <v>学士</v>
      </c>
    </row>
    <row r="202" s="2" customFormat="1" customHeight="1" spans="1:10">
      <c r="A202" s="5">
        <v>200</v>
      </c>
      <c r="B202" s="5" t="s">
        <v>11</v>
      </c>
      <c r="C202" s="5" t="str">
        <f>"何雁如"</f>
        <v>何雁如</v>
      </c>
      <c r="D202" s="5" t="str">
        <f>"女"</f>
        <v>女</v>
      </c>
      <c r="E202" s="5" t="str">
        <f>"1994-02-19"</f>
        <v>1994-02-19</v>
      </c>
      <c r="F202" s="5" t="s">
        <v>211</v>
      </c>
      <c r="G202" s="5" t="str">
        <f t="shared" si="147"/>
        <v>汉族</v>
      </c>
      <c r="H202" s="5" t="str">
        <f>"中共党员"</f>
        <v>中共党员</v>
      </c>
      <c r="I202" s="5" t="str">
        <f t="shared" si="149"/>
        <v>本科</v>
      </c>
      <c r="J202" s="5" t="str">
        <f t="shared" si="150"/>
        <v>学士</v>
      </c>
    </row>
    <row r="203" s="2" customFormat="1" customHeight="1" spans="1:10">
      <c r="A203" s="5">
        <v>201</v>
      </c>
      <c r="B203" s="5" t="s">
        <v>11</v>
      </c>
      <c r="C203" s="5" t="str">
        <f>"曾绳涛"</f>
        <v>曾绳涛</v>
      </c>
      <c r="D203" s="5" t="str">
        <f t="shared" si="146"/>
        <v>男</v>
      </c>
      <c r="E203" s="5" t="str">
        <f>"1987-04-17"</f>
        <v>1987-04-17</v>
      </c>
      <c r="F203" s="5" t="s">
        <v>212</v>
      </c>
      <c r="G203" s="5" t="str">
        <f t="shared" si="147"/>
        <v>汉族</v>
      </c>
      <c r="H203" s="5" t="str">
        <f t="shared" si="148"/>
        <v>群众</v>
      </c>
      <c r="I203" s="5" t="str">
        <f>"研究生"</f>
        <v>研究生</v>
      </c>
      <c r="J203" s="5" t="str">
        <f>"硕士"</f>
        <v>硕士</v>
      </c>
    </row>
    <row r="204" s="2" customFormat="1" customHeight="1" spans="1:10">
      <c r="A204" s="5">
        <v>202</v>
      </c>
      <c r="B204" s="5" t="s">
        <v>11</v>
      </c>
      <c r="C204" s="5" t="str">
        <f>"汪德全"</f>
        <v>汪德全</v>
      </c>
      <c r="D204" s="5" t="str">
        <f t="shared" si="146"/>
        <v>男</v>
      </c>
      <c r="E204" s="5" t="str">
        <f>"1985-09-07"</f>
        <v>1985-09-07</v>
      </c>
      <c r="F204" s="5" t="s">
        <v>213</v>
      </c>
      <c r="G204" s="5" t="str">
        <f t="shared" si="147"/>
        <v>汉族</v>
      </c>
      <c r="H204" s="5" t="str">
        <f t="shared" si="148"/>
        <v>群众</v>
      </c>
      <c r="I204" s="5" t="str">
        <f t="shared" si="149"/>
        <v>本科</v>
      </c>
      <c r="J204" s="5" t="str">
        <f t="shared" si="150"/>
        <v>学士</v>
      </c>
    </row>
    <row r="205" s="2" customFormat="1" ht="32" customHeight="1" spans="1:10">
      <c r="A205" s="5">
        <v>203</v>
      </c>
      <c r="B205" s="5" t="s">
        <v>11</v>
      </c>
      <c r="C205" s="5" t="str">
        <f>"万卓浩"</f>
        <v>万卓浩</v>
      </c>
      <c r="D205" s="5" t="str">
        <f t="shared" si="146"/>
        <v>男</v>
      </c>
      <c r="E205" s="5" t="str">
        <f>"1997-02-08"</f>
        <v>1997-02-08</v>
      </c>
      <c r="F205" s="5" t="s">
        <v>214</v>
      </c>
      <c r="G205" s="5" t="str">
        <f t="shared" si="147"/>
        <v>汉族</v>
      </c>
      <c r="H205" s="5" t="str">
        <f>"共青团员"</f>
        <v>共青团员</v>
      </c>
      <c r="I205" s="5" t="str">
        <f t="shared" si="149"/>
        <v>本科</v>
      </c>
      <c r="J205" s="5" t="str">
        <f t="shared" si="150"/>
        <v>学士</v>
      </c>
    </row>
    <row r="206" s="2" customFormat="1" customHeight="1" spans="1:10">
      <c r="A206" s="5">
        <v>204</v>
      </c>
      <c r="B206" s="5" t="s">
        <v>11</v>
      </c>
      <c r="C206" s="5" t="str">
        <f>"蒲弘正"</f>
        <v>蒲弘正</v>
      </c>
      <c r="D206" s="5" t="str">
        <f t="shared" si="146"/>
        <v>男</v>
      </c>
      <c r="E206" s="5" t="str">
        <f>"1996-01-06"</f>
        <v>1996-01-06</v>
      </c>
      <c r="F206" s="5" t="s">
        <v>215</v>
      </c>
      <c r="G206" s="5" t="str">
        <f>"黎族"</f>
        <v>黎族</v>
      </c>
      <c r="H206" s="5" t="str">
        <f>"共青团员"</f>
        <v>共青团员</v>
      </c>
      <c r="I206" s="5" t="str">
        <f t="shared" si="149"/>
        <v>本科</v>
      </c>
      <c r="J206" s="5" t="str">
        <f t="shared" si="150"/>
        <v>学士</v>
      </c>
    </row>
    <row r="207" s="2" customFormat="1" customHeight="1" spans="1:10">
      <c r="A207" s="5">
        <v>205</v>
      </c>
      <c r="B207" s="5" t="s">
        <v>11</v>
      </c>
      <c r="C207" s="5" t="str">
        <f>"钟鸾凤"</f>
        <v>钟鸾凤</v>
      </c>
      <c r="D207" s="5" t="str">
        <f t="shared" si="146"/>
        <v>男</v>
      </c>
      <c r="E207" s="5" t="str">
        <f>"1988-12-01"</f>
        <v>1988-12-01</v>
      </c>
      <c r="F207" s="5" t="s">
        <v>216</v>
      </c>
      <c r="G207" s="5" t="str">
        <f t="shared" ref="G207:G211" si="151">"汉族"</f>
        <v>汉族</v>
      </c>
      <c r="H207" s="5" t="str">
        <f t="shared" ref="H207:H210" si="152">"群众"</f>
        <v>群众</v>
      </c>
      <c r="I207" s="5" t="str">
        <f t="shared" si="149"/>
        <v>本科</v>
      </c>
      <c r="J207" s="5" t="str">
        <f t="shared" si="150"/>
        <v>学士</v>
      </c>
    </row>
    <row r="208" s="2" customFormat="1" customHeight="1" spans="1:10">
      <c r="A208" s="5">
        <v>206</v>
      </c>
      <c r="B208" s="5" t="s">
        <v>11</v>
      </c>
      <c r="C208" s="5" t="str">
        <f>"杨达新"</f>
        <v>杨达新</v>
      </c>
      <c r="D208" s="5" t="str">
        <f t="shared" si="146"/>
        <v>男</v>
      </c>
      <c r="E208" s="5" t="str">
        <f>"1995-05-24"</f>
        <v>1995-05-24</v>
      </c>
      <c r="F208" s="5" t="s">
        <v>217</v>
      </c>
      <c r="G208" s="5" t="str">
        <f t="shared" si="151"/>
        <v>汉族</v>
      </c>
      <c r="H208" s="5" t="str">
        <f t="shared" si="152"/>
        <v>群众</v>
      </c>
      <c r="I208" s="5" t="str">
        <f t="shared" si="149"/>
        <v>本科</v>
      </c>
      <c r="J208" s="5" t="str">
        <f t="shared" si="150"/>
        <v>学士</v>
      </c>
    </row>
    <row r="209" s="2" customFormat="1" customHeight="1" spans="1:10">
      <c r="A209" s="5">
        <v>207</v>
      </c>
      <c r="B209" s="5" t="s">
        <v>11</v>
      </c>
      <c r="C209" s="5" t="str">
        <f>"施一星"</f>
        <v>施一星</v>
      </c>
      <c r="D209" s="5" t="str">
        <f t="shared" si="146"/>
        <v>男</v>
      </c>
      <c r="E209" s="5" t="str">
        <f>"1996-04-15"</f>
        <v>1996-04-15</v>
      </c>
      <c r="F209" s="5" t="s">
        <v>218</v>
      </c>
      <c r="G209" s="5" t="str">
        <f t="shared" si="151"/>
        <v>汉族</v>
      </c>
      <c r="H209" s="5" t="str">
        <f t="shared" si="152"/>
        <v>群众</v>
      </c>
      <c r="I209" s="5" t="str">
        <f t="shared" si="149"/>
        <v>本科</v>
      </c>
      <c r="J209" s="5" t="str">
        <f t="shared" si="150"/>
        <v>学士</v>
      </c>
    </row>
    <row r="210" s="2" customFormat="1" customHeight="1" spans="1:10">
      <c r="A210" s="5">
        <v>208</v>
      </c>
      <c r="B210" s="5" t="s">
        <v>11</v>
      </c>
      <c r="C210" s="5" t="str">
        <f>"邱阳林"</f>
        <v>邱阳林</v>
      </c>
      <c r="D210" s="5" t="str">
        <f t="shared" ref="D210:D214" si="153">"女"</f>
        <v>女</v>
      </c>
      <c r="E210" s="5" t="str">
        <f>"1994-12-02"</f>
        <v>1994-12-02</v>
      </c>
      <c r="F210" s="5" t="s">
        <v>219</v>
      </c>
      <c r="G210" s="5" t="str">
        <f t="shared" si="151"/>
        <v>汉族</v>
      </c>
      <c r="H210" s="5" t="str">
        <f t="shared" si="152"/>
        <v>群众</v>
      </c>
      <c r="I210" s="5" t="str">
        <f t="shared" si="149"/>
        <v>本科</v>
      </c>
      <c r="J210" s="5" t="str">
        <f t="shared" si="150"/>
        <v>学士</v>
      </c>
    </row>
    <row r="211" s="2" customFormat="1" customHeight="1" spans="1:10">
      <c r="A211" s="5">
        <v>209</v>
      </c>
      <c r="B211" s="5" t="s">
        <v>11</v>
      </c>
      <c r="C211" s="5" t="str">
        <f>"麦玲"</f>
        <v>麦玲</v>
      </c>
      <c r="D211" s="5" t="str">
        <f t="shared" si="153"/>
        <v>女</v>
      </c>
      <c r="E211" s="5" t="str">
        <f>"1987-07-22"</f>
        <v>1987-07-22</v>
      </c>
      <c r="F211" s="5" t="s">
        <v>220</v>
      </c>
      <c r="G211" s="5" t="str">
        <f t="shared" si="151"/>
        <v>汉族</v>
      </c>
      <c r="H211" s="5" t="str">
        <f t="shared" ref="H211:H217" si="154">"共青团员"</f>
        <v>共青团员</v>
      </c>
      <c r="I211" s="5" t="str">
        <f t="shared" si="149"/>
        <v>本科</v>
      </c>
      <c r="J211" s="5" t="str">
        <f t="shared" si="150"/>
        <v>学士</v>
      </c>
    </row>
    <row r="212" s="2" customFormat="1" customHeight="1" spans="1:10">
      <c r="A212" s="5">
        <v>210</v>
      </c>
      <c r="B212" s="5" t="s">
        <v>11</v>
      </c>
      <c r="C212" s="5" t="str">
        <f>"董秘精"</f>
        <v>董秘精</v>
      </c>
      <c r="D212" s="5" t="str">
        <f t="shared" ref="D212:D216" si="155">"男"</f>
        <v>男</v>
      </c>
      <c r="E212" s="5" t="str">
        <f>"1986-05-03"</f>
        <v>1986-05-03</v>
      </c>
      <c r="F212" s="5" t="s">
        <v>221</v>
      </c>
      <c r="G212" s="5" t="str">
        <f>"黎族"</f>
        <v>黎族</v>
      </c>
      <c r="H212" s="5" t="str">
        <f>"中共党员"</f>
        <v>中共党员</v>
      </c>
      <c r="I212" s="5" t="str">
        <f t="shared" si="149"/>
        <v>本科</v>
      </c>
      <c r="J212" s="5" t="str">
        <f t="shared" si="150"/>
        <v>学士</v>
      </c>
    </row>
    <row r="213" s="2" customFormat="1" customHeight="1" spans="1:10">
      <c r="A213" s="5">
        <v>211</v>
      </c>
      <c r="B213" s="5" t="s">
        <v>11</v>
      </c>
      <c r="C213" s="5" t="str">
        <f>"陈核"</f>
        <v>陈核</v>
      </c>
      <c r="D213" s="5" t="str">
        <f t="shared" si="153"/>
        <v>女</v>
      </c>
      <c r="E213" s="5" t="str">
        <f>"1994-03-07"</f>
        <v>1994-03-07</v>
      </c>
      <c r="F213" s="5" t="s">
        <v>222</v>
      </c>
      <c r="G213" s="5" t="str">
        <f>"汉族"</f>
        <v>汉族</v>
      </c>
      <c r="H213" s="5" t="str">
        <f t="shared" ref="H213:H221" si="156">"群众"</f>
        <v>群众</v>
      </c>
      <c r="I213" s="5" t="str">
        <f t="shared" si="149"/>
        <v>本科</v>
      </c>
      <c r="J213" s="5" t="str">
        <f t="shared" si="150"/>
        <v>学士</v>
      </c>
    </row>
    <row r="214" s="2" customFormat="1" customHeight="1" spans="1:10">
      <c r="A214" s="5">
        <v>212</v>
      </c>
      <c r="B214" s="5" t="s">
        <v>11</v>
      </c>
      <c r="C214" s="5" t="str">
        <f>"黄庄莹"</f>
        <v>黄庄莹</v>
      </c>
      <c r="D214" s="5" t="str">
        <f t="shared" si="153"/>
        <v>女</v>
      </c>
      <c r="E214" s="5" t="str">
        <f>"1995-09-20"</f>
        <v>1995-09-20</v>
      </c>
      <c r="F214" s="5" t="s">
        <v>223</v>
      </c>
      <c r="G214" s="5" t="str">
        <f>"黎族"</f>
        <v>黎族</v>
      </c>
      <c r="H214" s="5" t="str">
        <f t="shared" si="156"/>
        <v>群众</v>
      </c>
      <c r="I214" s="5" t="str">
        <f t="shared" si="149"/>
        <v>本科</v>
      </c>
      <c r="J214" s="5" t="str">
        <f t="shared" si="150"/>
        <v>学士</v>
      </c>
    </row>
    <row r="215" s="2" customFormat="1" customHeight="1" spans="1:10">
      <c r="A215" s="5">
        <v>213</v>
      </c>
      <c r="B215" s="5" t="s">
        <v>11</v>
      </c>
      <c r="C215" s="5" t="str">
        <f>"何修龙"</f>
        <v>何修龙</v>
      </c>
      <c r="D215" s="5" t="str">
        <f t="shared" si="155"/>
        <v>男</v>
      </c>
      <c r="E215" s="5" t="str">
        <f>"1992-04-10"</f>
        <v>1992-04-10</v>
      </c>
      <c r="F215" s="5" t="s">
        <v>224</v>
      </c>
      <c r="G215" s="5" t="str">
        <f t="shared" ref="G215:G225" si="157">"汉族"</f>
        <v>汉族</v>
      </c>
      <c r="H215" s="5" t="str">
        <f t="shared" si="154"/>
        <v>共青团员</v>
      </c>
      <c r="I215" s="5" t="str">
        <f t="shared" si="149"/>
        <v>本科</v>
      </c>
      <c r="J215" s="5" t="str">
        <f t="shared" si="150"/>
        <v>学士</v>
      </c>
    </row>
    <row r="216" s="2" customFormat="1" customHeight="1" spans="1:10">
      <c r="A216" s="5">
        <v>214</v>
      </c>
      <c r="B216" s="5" t="s">
        <v>11</v>
      </c>
      <c r="C216" s="5" t="str">
        <f>"蔡聪"</f>
        <v>蔡聪</v>
      </c>
      <c r="D216" s="5" t="str">
        <f t="shared" si="155"/>
        <v>男</v>
      </c>
      <c r="E216" s="5" t="str">
        <f>"1995-10-24"</f>
        <v>1995-10-24</v>
      </c>
      <c r="F216" s="5" t="s">
        <v>225</v>
      </c>
      <c r="G216" s="5" t="str">
        <f t="shared" si="157"/>
        <v>汉族</v>
      </c>
      <c r="H216" s="5" t="str">
        <f t="shared" si="154"/>
        <v>共青团员</v>
      </c>
      <c r="I216" s="5" t="str">
        <f t="shared" si="149"/>
        <v>本科</v>
      </c>
      <c r="J216" s="5" t="str">
        <f t="shared" si="150"/>
        <v>学士</v>
      </c>
    </row>
    <row r="217" s="2" customFormat="1" customHeight="1" spans="1:10">
      <c r="A217" s="5">
        <v>215</v>
      </c>
      <c r="B217" s="5" t="s">
        <v>11</v>
      </c>
      <c r="C217" s="5" t="str">
        <f>"李婉姝"</f>
        <v>李婉姝</v>
      </c>
      <c r="D217" s="5" t="str">
        <f>"女"</f>
        <v>女</v>
      </c>
      <c r="E217" s="5" t="str">
        <f>"1994-06-18"</f>
        <v>1994-06-18</v>
      </c>
      <c r="F217" s="5" t="s">
        <v>226</v>
      </c>
      <c r="G217" s="5" t="str">
        <f t="shared" si="157"/>
        <v>汉族</v>
      </c>
      <c r="H217" s="5" t="str">
        <f t="shared" si="154"/>
        <v>共青团员</v>
      </c>
      <c r="I217" s="5" t="str">
        <f t="shared" si="149"/>
        <v>本科</v>
      </c>
      <c r="J217" s="5" t="str">
        <f t="shared" si="150"/>
        <v>学士</v>
      </c>
    </row>
    <row r="218" s="2" customFormat="1" customHeight="1" spans="1:10">
      <c r="A218" s="5">
        <v>216</v>
      </c>
      <c r="B218" s="5" t="s">
        <v>11</v>
      </c>
      <c r="C218" s="5" t="str">
        <f>"黄金"</f>
        <v>黄金</v>
      </c>
      <c r="D218" s="5" t="str">
        <f t="shared" ref="D218:D228" si="158">"男"</f>
        <v>男</v>
      </c>
      <c r="E218" s="5" t="str">
        <f>"1995-11-21"</f>
        <v>1995-11-21</v>
      </c>
      <c r="F218" s="5" t="s">
        <v>227</v>
      </c>
      <c r="G218" s="5" t="str">
        <f t="shared" si="157"/>
        <v>汉族</v>
      </c>
      <c r="H218" s="5" t="str">
        <f t="shared" si="156"/>
        <v>群众</v>
      </c>
      <c r="I218" s="5" t="str">
        <f t="shared" si="149"/>
        <v>本科</v>
      </c>
      <c r="J218" s="5" t="str">
        <f t="shared" si="150"/>
        <v>学士</v>
      </c>
    </row>
    <row r="219" s="2" customFormat="1" customHeight="1" spans="1:10">
      <c r="A219" s="5">
        <v>217</v>
      </c>
      <c r="B219" s="5" t="s">
        <v>11</v>
      </c>
      <c r="C219" s="5" t="str">
        <f>"梁询"</f>
        <v>梁询</v>
      </c>
      <c r="D219" s="5" t="str">
        <f>"女"</f>
        <v>女</v>
      </c>
      <c r="E219" s="5" t="str">
        <f>"1997-12-02"</f>
        <v>1997-12-02</v>
      </c>
      <c r="F219" s="5" t="s">
        <v>228</v>
      </c>
      <c r="G219" s="5" t="str">
        <f t="shared" si="157"/>
        <v>汉族</v>
      </c>
      <c r="H219" s="5" t="str">
        <f t="shared" si="156"/>
        <v>群众</v>
      </c>
      <c r="I219" s="5" t="str">
        <f t="shared" si="149"/>
        <v>本科</v>
      </c>
      <c r="J219" s="5" t="str">
        <f t="shared" si="150"/>
        <v>学士</v>
      </c>
    </row>
    <row r="220" s="2" customFormat="1" customHeight="1" spans="1:10">
      <c r="A220" s="5">
        <v>218</v>
      </c>
      <c r="B220" s="5" t="s">
        <v>11</v>
      </c>
      <c r="C220" s="5" t="str">
        <f>"肖泽明"</f>
        <v>肖泽明</v>
      </c>
      <c r="D220" s="5" t="str">
        <f t="shared" si="158"/>
        <v>男</v>
      </c>
      <c r="E220" s="5" t="str">
        <f>"1992-08-16"</f>
        <v>1992-08-16</v>
      </c>
      <c r="F220" s="5" t="s">
        <v>229</v>
      </c>
      <c r="G220" s="5" t="str">
        <f t="shared" si="157"/>
        <v>汉族</v>
      </c>
      <c r="H220" s="5" t="str">
        <f t="shared" si="156"/>
        <v>群众</v>
      </c>
      <c r="I220" s="5" t="str">
        <f t="shared" si="149"/>
        <v>本科</v>
      </c>
      <c r="J220" s="5" t="str">
        <f t="shared" si="150"/>
        <v>学士</v>
      </c>
    </row>
    <row r="221" s="2" customFormat="1" customHeight="1" spans="1:10">
      <c r="A221" s="5">
        <v>219</v>
      </c>
      <c r="B221" s="5" t="s">
        <v>11</v>
      </c>
      <c r="C221" s="5" t="str">
        <f>"谢腾飞"</f>
        <v>谢腾飞</v>
      </c>
      <c r="D221" s="5" t="str">
        <f t="shared" si="158"/>
        <v>男</v>
      </c>
      <c r="E221" s="5" t="str">
        <f>"1992-02-09"</f>
        <v>1992-02-09</v>
      </c>
      <c r="F221" s="5" t="s">
        <v>230</v>
      </c>
      <c r="G221" s="5" t="str">
        <f t="shared" si="157"/>
        <v>汉族</v>
      </c>
      <c r="H221" s="5" t="str">
        <f t="shared" si="156"/>
        <v>群众</v>
      </c>
      <c r="I221" s="5" t="str">
        <f t="shared" si="149"/>
        <v>本科</v>
      </c>
      <c r="J221" s="5" t="str">
        <f t="shared" si="150"/>
        <v>学士</v>
      </c>
    </row>
    <row r="222" s="2" customFormat="1" customHeight="1" spans="1:10">
      <c r="A222" s="5">
        <v>220</v>
      </c>
      <c r="B222" s="5" t="s">
        <v>11</v>
      </c>
      <c r="C222" s="5" t="str">
        <f>"刘畅"</f>
        <v>刘畅</v>
      </c>
      <c r="D222" s="5" t="str">
        <f t="shared" si="158"/>
        <v>男</v>
      </c>
      <c r="E222" s="5" t="str">
        <f>"1996-03-26"</f>
        <v>1996-03-26</v>
      </c>
      <c r="F222" s="5" t="s">
        <v>231</v>
      </c>
      <c r="G222" s="5" t="str">
        <f t="shared" si="157"/>
        <v>汉族</v>
      </c>
      <c r="H222" s="5" t="str">
        <f>"共青团员"</f>
        <v>共青团员</v>
      </c>
      <c r="I222" s="5" t="str">
        <f t="shared" si="149"/>
        <v>本科</v>
      </c>
      <c r="J222" s="5" t="str">
        <f t="shared" si="150"/>
        <v>学士</v>
      </c>
    </row>
    <row r="223" s="2" customFormat="1" customHeight="1" spans="1:10">
      <c r="A223" s="5">
        <v>221</v>
      </c>
      <c r="B223" s="5" t="s">
        <v>11</v>
      </c>
      <c r="C223" s="5" t="str">
        <f>"康超"</f>
        <v>康超</v>
      </c>
      <c r="D223" s="5" t="str">
        <f t="shared" si="158"/>
        <v>男</v>
      </c>
      <c r="E223" s="5" t="str">
        <f>"1990-11-27"</f>
        <v>1990-11-27</v>
      </c>
      <c r="F223" s="5" t="s">
        <v>232</v>
      </c>
      <c r="G223" s="5" t="str">
        <f t="shared" si="157"/>
        <v>汉族</v>
      </c>
      <c r="H223" s="5" t="str">
        <f>"群众"</f>
        <v>群众</v>
      </c>
      <c r="I223" s="5" t="str">
        <f t="shared" si="149"/>
        <v>本科</v>
      </c>
      <c r="J223" s="5" t="str">
        <f t="shared" si="150"/>
        <v>学士</v>
      </c>
    </row>
    <row r="224" s="2" customFormat="1" customHeight="1" spans="1:10">
      <c r="A224" s="5">
        <v>222</v>
      </c>
      <c r="B224" s="5" t="s">
        <v>11</v>
      </c>
      <c r="C224" s="5" t="str">
        <f>"刘峰峰"</f>
        <v>刘峰峰</v>
      </c>
      <c r="D224" s="5" t="str">
        <f t="shared" si="158"/>
        <v>男</v>
      </c>
      <c r="E224" s="5" t="str">
        <f>"1991-11-08"</f>
        <v>1991-11-08</v>
      </c>
      <c r="F224" s="5" t="s">
        <v>233</v>
      </c>
      <c r="G224" s="5" t="str">
        <f t="shared" si="157"/>
        <v>汉族</v>
      </c>
      <c r="H224" s="5" t="str">
        <f t="shared" ref="H224:H229" si="159">"中共党员"</f>
        <v>中共党员</v>
      </c>
      <c r="I224" s="5" t="str">
        <f t="shared" si="149"/>
        <v>本科</v>
      </c>
      <c r="J224" s="5" t="str">
        <f t="shared" si="150"/>
        <v>学士</v>
      </c>
    </row>
    <row r="225" s="2" customFormat="1" customHeight="1" spans="1:10">
      <c r="A225" s="5">
        <v>223</v>
      </c>
      <c r="B225" s="5" t="s">
        <v>11</v>
      </c>
      <c r="C225" s="5" t="str">
        <f>"姚东流"</f>
        <v>姚东流</v>
      </c>
      <c r="D225" s="5" t="str">
        <f t="shared" si="158"/>
        <v>男</v>
      </c>
      <c r="E225" s="5" t="str">
        <f>"1997-05-07"</f>
        <v>1997-05-07</v>
      </c>
      <c r="F225" s="5" t="s">
        <v>234</v>
      </c>
      <c r="G225" s="5" t="str">
        <f t="shared" si="157"/>
        <v>汉族</v>
      </c>
      <c r="H225" s="5" t="str">
        <f>"共青团员"</f>
        <v>共青团员</v>
      </c>
      <c r="I225" s="5" t="str">
        <f t="shared" si="149"/>
        <v>本科</v>
      </c>
      <c r="J225" s="5" t="str">
        <f t="shared" si="150"/>
        <v>学士</v>
      </c>
    </row>
    <row r="226" s="2" customFormat="1" customHeight="1" spans="1:10">
      <c r="A226" s="5">
        <v>224</v>
      </c>
      <c r="B226" s="5" t="s">
        <v>11</v>
      </c>
      <c r="C226" s="5" t="str">
        <f>"刘维民"</f>
        <v>刘维民</v>
      </c>
      <c r="D226" s="5" t="str">
        <f t="shared" si="158"/>
        <v>男</v>
      </c>
      <c r="E226" s="5" t="str">
        <f>"1991-05-10"</f>
        <v>1991-05-10</v>
      </c>
      <c r="F226" s="5" t="s">
        <v>235</v>
      </c>
      <c r="G226" s="5" t="str">
        <f>"满族"</f>
        <v>满族</v>
      </c>
      <c r="H226" s="5" t="str">
        <f t="shared" si="159"/>
        <v>中共党员</v>
      </c>
      <c r="I226" s="5" t="str">
        <f t="shared" si="149"/>
        <v>本科</v>
      </c>
      <c r="J226" s="5" t="str">
        <f t="shared" si="150"/>
        <v>学士</v>
      </c>
    </row>
    <row r="227" s="2" customFormat="1" customHeight="1" spans="1:10">
      <c r="A227" s="5">
        <v>225</v>
      </c>
      <c r="B227" s="5" t="s">
        <v>11</v>
      </c>
      <c r="C227" s="5" t="str">
        <f>"郑童遥"</f>
        <v>郑童遥</v>
      </c>
      <c r="D227" s="5" t="str">
        <f t="shared" si="158"/>
        <v>男</v>
      </c>
      <c r="E227" s="5" t="str">
        <f>"1994-09-05"</f>
        <v>1994-09-05</v>
      </c>
      <c r="F227" s="5" t="s">
        <v>236</v>
      </c>
      <c r="G227" s="5" t="str">
        <f t="shared" ref="G227:G233" si="160">"汉族"</f>
        <v>汉族</v>
      </c>
      <c r="H227" s="5" t="str">
        <f>"群众"</f>
        <v>群众</v>
      </c>
      <c r="I227" s="5" t="str">
        <f t="shared" ref="I227:I234" si="161">"本科"</f>
        <v>本科</v>
      </c>
      <c r="J227" s="5" t="str">
        <f t="shared" ref="J227:J234" si="162">"学士"</f>
        <v>学士</v>
      </c>
    </row>
    <row r="228" s="2" customFormat="1" customHeight="1" spans="1:10">
      <c r="A228" s="5">
        <v>226</v>
      </c>
      <c r="B228" s="5" t="s">
        <v>11</v>
      </c>
      <c r="C228" s="5" t="str">
        <f>"丰小山"</f>
        <v>丰小山</v>
      </c>
      <c r="D228" s="5" t="str">
        <f t="shared" si="158"/>
        <v>男</v>
      </c>
      <c r="E228" s="5" t="str">
        <f>"1991-03-05"</f>
        <v>1991-03-05</v>
      </c>
      <c r="F228" s="5" t="s">
        <v>237</v>
      </c>
      <c r="G228" s="5" t="str">
        <f t="shared" si="160"/>
        <v>汉族</v>
      </c>
      <c r="H228" s="5" t="str">
        <f t="shared" si="159"/>
        <v>中共党员</v>
      </c>
      <c r="I228" s="5" t="str">
        <f t="shared" si="161"/>
        <v>本科</v>
      </c>
      <c r="J228" s="5" t="str">
        <f t="shared" si="162"/>
        <v>学士</v>
      </c>
    </row>
    <row r="229" s="2" customFormat="1" customHeight="1" spans="1:10">
      <c r="A229" s="5">
        <v>227</v>
      </c>
      <c r="B229" s="5" t="s">
        <v>11</v>
      </c>
      <c r="C229" s="5" t="str">
        <f>"吴蔓璟"</f>
        <v>吴蔓璟</v>
      </c>
      <c r="D229" s="5" t="str">
        <f t="shared" ref="D229:D234" si="163">"女"</f>
        <v>女</v>
      </c>
      <c r="E229" s="5" t="str">
        <f>"1992-06-17"</f>
        <v>1992-06-17</v>
      </c>
      <c r="F229" s="5" t="s">
        <v>238</v>
      </c>
      <c r="G229" s="5" t="str">
        <f t="shared" si="160"/>
        <v>汉族</v>
      </c>
      <c r="H229" s="5" t="str">
        <f t="shared" si="159"/>
        <v>中共党员</v>
      </c>
      <c r="I229" s="5" t="str">
        <f t="shared" si="161"/>
        <v>本科</v>
      </c>
      <c r="J229" s="5" t="str">
        <f t="shared" si="162"/>
        <v>学士</v>
      </c>
    </row>
    <row r="230" s="2" customFormat="1" customHeight="1" spans="1:10">
      <c r="A230" s="5">
        <v>228</v>
      </c>
      <c r="B230" s="5" t="s">
        <v>11</v>
      </c>
      <c r="C230" s="5" t="str">
        <f>"刘博"</f>
        <v>刘博</v>
      </c>
      <c r="D230" s="5" t="str">
        <f t="shared" ref="D230:D233" si="164">"男"</f>
        <v>男</v>
      </c>
      <c r="E230" s="5" t="str">
        <f>"1990-03-03"</f>
        <v>1990-03-03</v>
      </c>
      <c r="F230" s="5" t="s">
        <v>239</v>
      </c>
      <c r="G230" s="5" t="str">
        <f t="shared" si="160"/>
        <v>汉族</v>
      </c>
      <c r="H230" s="5" t="str">
        <f t="shared" ref="H230:H234" si="165">"群众"</f>
        <v>群众</v>
      </c>
      <c r="I230" s="5" t="str">
        <f t="shared" si="161"/>
        <v>本科</v>
      </c>
      <c r="J230" s="5" t="str">
        <f t="shared" si="162"/>
        <v>学士</v>
      </c>
    </row>
    <row r="231" s="2" customFormat="1" customHeight="1" spans="1:10">
      <c r="A231" s="5">
        <v>229</v>
      </c>
      <c r="B231" s="5" t="s">
        <v>11</v>
      </c>
      <c r="C231" s="5" t="str">
        <f>"张乐豪"</f>
        <v>张乐豪</v>
      </c>
      <c r="D231" s="5" t="str">
        <f t="shared" si="164"/>
        <v>男</v>
      </c>
      <c r="E231" s="5" t="str">
        <f>"1993-06-17"</f>
        <v>1993-06-17</v>
      </c>
      <c r="F231" s="5" t="s">
        <v>240</v>
      </c>
      <c r="G231" s="5" t="str">
        <f t="shared" si="160"/>
        <v>汉族</v>
      </c>
      <c r="H231" s="5" t="str">
        <f t="shared" ref="H231:H235" si="166">"共青团员"</f>
        <v>共青团员</v>
      </c>
      <c r="I231" s="5" t="str">
        <f t="shared" si="161"/>
        <v>本科</v>
      </c>
      <c r="J231" s="5" t="str">
        <f t="shared" si="162"/>
        <v>学士</v>
      </c>
    </row>
    <row r="232" s="2" customFormat="1" ht="32" customHeight="1" spans="1:10">
      <c r="A232" s="5">
        <v>230</v>
      </c>
      <c r="B232" s="5" t="s">
        <v>11</v>
      </c>
      <c r="C232" s="5" t="str">
        <f>"龚毓瑶"</f>
        <v>龚毓瑶</v>
      </c>
      <c r="D232" s="5" t="str">
        <f t="shared" si="163"/>
        <v>女</v>
      </c>
      <c r="E232" s="5" t="str">
        <f>"1993-01-04"</f>
        <v>1993-01-04</v>
      </c>
      <c r="F232" s="5" t="s">
        <v>241</v>
      </c>
      <c r="G232" s="5" t="str">
        <f t="shared" si="160"/>
        <v>汉族</v>
      </c>
      <c r="H232" s="5" t="str">
        <f t="shared" si="166"/>
        <v>共青团员</v>
      </c>
      <c r="I232" s="5" t="str">
        <f t="shared" si="161"/>
        <v>本科</v>
      </c>
      <c r="J232" s="5" t="str">
        <f t="shared" si="162"/>
        <v>学士</v>
      </c>
    </row>
    <row r="233" s="2" customFormat="1" customHeight="1" spans="1:10">
      <c r="A233" s="5">
        <v>231</v>
      </c>
      <c r="B233" s="5" t="s">
        <v>11</v>
      </c>
      <c r="C233" s="5" t="str">
        <f>"邢益伟"</f>
        <v>邢益伟</v>
      </c>
      <c r="D233" s="5" t="str">
        <f t="shared" si="164"/>
        <v>男</v>
      </c>
      <c r="E233" s="5" t="str">
        <f>"1986-01-06"</f>
        <v>1986-01-06</v>
      </c>
      <c r="F233" s="5" t="s">
        <v>242</v>
      </c>
      <c r="G233" s="5" t="str">
        <f t="shared" si="160"/>
        <v>汉族</v>
      </c>
      <c r="H233" s="5" t="str">
        <f t="shared" si="165"/>
        <v>群众</v>
      </c>
      <c r="I233" s="5" t="str">
        <f t="shared" si="161"/>
        <v>本科</v>
      </c>
      <c r="J233" s="5" t="str">
        <f t="shared" si="162"/>
        <v>学士</v>
      </c>
    </row>
    <row r="234" s="2" customFormat="1" customHeight="1" spans="1:10">
      <c r="A234" s="5">
        <v>232</v>
      </c>
      <c r="B234" s="5" t="s">
        <v>11</v>
      </c>
      <c r="C234" s="5" t="str">
        <f>"陈莹"</f>
        <v>陈莹</v>
      </c>
      <c r="D234" s="5" t="str">
        <f t="shared" si="163"/>
        <v>女</v>
      </c>
      <c r="E234" s="5" t="str">
        <f>"1995-04-09"</f>
        <v>1995-04-09</v>
      </c>
      <c r="F234" s="5" t="s">
        <v>243</v>
      </c>
      <c r="G234" s="5" t="str">
        <f>"黎族"</f>
        <v>黎族</v>
      </c>
      <c r="H234" s="5" t="str">
        <f t="shared" si="165"/>
        <v>群众</v>
      </c>
      <c r="I234" s="5" t="str">
        <f t="shared" si="161"/>
        <v>本科</v>
      </c>
      <c r="J234" s="5" t="str">
        <f t="shared" si="162"/>
        <v>学士</v>
      </c>
    </row>
    <row r="235" s="2" customFormat="1" customHeight="1" spans="1:10">
      <c r="A235" s="5">
        <v>233</v>
      </c>
      <c r="B235" s="5" t="s">
        <v>11</v>
      </c>
      <c r="C235" s="5" t="str">
        <f>"吉家俊"</f>
        <v>吉家俊</v>
      </c>
      <c r="D235" s="5" t="str">
        <f t="shared" ref="D235:D242" si="167">"男"</f>
        <v>男</v>
      </c>
      <c r="E235" s="5" t="str">
        <f>"1993-08-13"</f>
        <v>1993-08-13</v>
      </c>
      <c r="F235" s="5" t="s">
        <v>244</v>
      </c>
      <c r="G235" s="5" t="str">
        <f t="shared" ref="G235:G242" si="168">"汉族"</f>
        <v>汉族</v>
      </c>
      <c r="H235" s="5" t="str">
        <f t="shared" si="166"/>
        <v>共青团员</v>
      </c>
      <c r="I235" s="5" t="str">
        <f t="shared" ref="I235:I245" si="169">"本科"</f>
        <v>本科</v>
      </c>
      <c r="J235" s="5" t="str">
        <f t="shared" ref="J235:J245" si="170">"学士"</f>
        <v>学士</v>
      </c>
    </row>
    <row r="236" s="2" customFormat="1" customHeight="1" spans="1:10">
      <c r="A236" s="5">
        <v>234</v>
      </c>
      <c r="B236" s="5" t="s">
        <v>11</v>
      </c>
      <c r="C236" s="5" t="str">
        <f>"王仁军"</f>
        <v>王仁军</v>
      </c>
      <c r="D236" s="5" t="str">
        <f t="shared" si="167"/>
        <v>男</v>
      </c>
      <c r="E236" s="5" t="str">
        <f>"1985-08-01"</f>
        <v>1985-08-01</v>
      </c>
      <c r="F236" s="5" t="s">
        <v>245</v>
      </c>
      <c r="G236" s="5" t="str">
        <f t="shared" si="168"/>
        <v>汉族</v>
      </c>
      <c r="H236" s="5" t="str">
        <f t="shared" ref="H236:H238" si="171">"群众"</f>
        <v>群众</v>
      </c>
      <c r="I236" s="5" t="str">
        <f t="shared" si="169"/>
        <v>本科</v>
      </c>
      <c r="J236" s="5" t="str">
        <f t="shared" si="170"/>
        <v>学士</v>
      </c>
    </row>
    <row r="237" s="2" customFormat="1" customHeight="1" spans="1:10">
      <c r="A237" s="5">
        <v>235</v>
      </c>
      <c r="B237" s="5" t="s">
        <v>11</v>
      </c>
      <c r="C237" s="5" t="str">
        <f>"梁琼露"</f>
        <v>梁琼露</v>
      </c>
      <c r="D237" s="5" t="str">
        <f>"女"</f>
        <v>女</v>
      </c>
      <c r="E237" s="5" t="str">
        <f>"1988-05-28"</f>
        <v>1988-05-28</v>
      </c>
      <c r="F237" s="5" t="s">
        <v>246</v>
      </c>
      <c r="G237" s="5" t="str">
        <f t="shared" si="168"/>
        <v>汉族</v>
      </c>
      <c r="H237" s="5" t="str">
        <f t="shared" si="171"/>
        <v>群众</v>
      </c>
      <c r="I237" s="5" t="str">
        <f t="shared" si="169"/>
        <v>本科</v>
      </c>
      <c r="J237" s="5" t="str">
        <f t="shared" si="170"/>
        <v>学士</v>
      </c>
    </row>
    <row r="238" s="2" customFormat="1" customHeight="1" spans="1:10">
      <c r="A238" s="5">
        <v>236</v>
      </c>
      <c r="B238" s="5" t="s">
        <v>11</v>
      </c>
      <c r="C238" s="5" t="str">
        <f>"林华重"</f>
        <v>林华重</v>
      </c>
      <c r="D238" s="5" t="str">
        <f t="shared" si="167"/>
        <v>男</v>
      </c>
      <c r="E238" s="5" t="str">
        <f>"1988-08-05"</f>
        <v>1988-08-05</v>
      </c>
      <c r="F238" s="5" t="s">
        <v>247</v>
      </c>
      <c r="G238" s="5" t="str">
        <f t="shared" si="168"/>
        <v>汉族</v>
      </c>
      <c r="H238" s="5" t="str">
        <f t="shared" si="171"/>
        <v>群众</v>
      </c>
      <c r="I238" s="5" t="str">
        <f t="shared" si="169"/>
        <v>本科</v>
      </c>
      <c r="J238" s="5" t="str">
        <f t="shared" si="170"/>
        <v>学士</v>
      </c>
    </row>
    <row r="239" s="2" customFormat="1" customHeight="1" spans="1:10">
      <c r="A239" s="5">
        <v>237</v>
      </c>
      <c r="B239" s="5" t="s">
        <v>11</v>
      </c>
      <c r="C239" s="5" t="str">
        <f>"王丕适"</f>
        <v>王丕适</v>
      </c>
      <c r="D239" s="5" t="str">
        <f t="shared" si="167"/>
        <v>男</v>
      </c>
      <c r="E239" s="5" t="str">
        <f>"1989-10-05"</f>
        <v>1989-10-05</v>
      </c>
      <c r="F239" s="5" t="s">
        <v>248</v>
      </c>
      <c r="G239" s="5" t="str">
        <f t="shared" si="168"/>
        <v>汉族</v>
      </c>
      <c r="H239" s="5" t="str">
        <f>"中共党员"</f>
        <v>中共党员</v>
      </c>
      <c r="I239" s="5" t="str">
        <f t="shared" si="169"/>
        <v>本科</v>
      </c>
      <c r="J239" s="5" t="str">
        <f t="shared" si="170"/>
        <v>学士</v>
      </c>
    </row>
    <row r="240" s="2" customFormat="1" ht="32" customHeight="1" spans="1:10">
      <c r="A240" s="5">
        <v>238</v>
      </c>
      <c r="B240" s="5" t="s">
        <v>11</v>
      </c>
      <c r="C240" s="5" t="str">
        <f>"蒙钟弟"</f>
        <v>蒙钟弟</v>
      </c>
      <c r="D240" s="5" t="str">
        <f t="shared" si="167"/>
        <v>男</v>
      </c>
      <c r="E240" s="5" t="str">
        <f>"1991-05-13"</f>
        <v>1991-05-13</v>
      </c>
      <c r="F240" s="5" t="s">
        <v>249</v>
      </c>
      <c r="G240" s="5" t="str">
        <f t="shared" si="168"/>
        <v>汉族</v>
      </c>
      <c r="H240" s="5" t="str">
        <f>"共青团员"</f>
        <v>共青团员</v>
      </c>
      <c r="I240" s="5" t="str">
        <f t="shared" si="169"/>
        <v>本科</v>
      </c>
      <c r="J240" s="5" t="str">
        <f t="shared" si="170"/>
        <v>学士</v>
      </c>
    </row>
    <row r="241" s="2" customFormat="1" customHeight="1" spans="1:10">
      <c r="A241" s="5">
        <v>239</v>
      </c>
      <c r="B241" s="5" t="s">
        <v>11</v>
      </c>
      <c r="C241" s="5" t="str">
        <f>"吴多存"</f>
        <v>吴多存</v>
      </c>
      <c r="D241" s="5" t="str">
        <f t="shared" si="167"/>
        <v>男</v>
      </c>
      <c r="E241" s="5" t="str">
        <f>"1988-05-17"</f>
        <v>1988-05-17</v>
      </c>
      <c r="F241" s="5" t="s">
        <v>250</v>
      </c>
      <c r="G241" s="5" t="str">
        <f t="shared" si="168"/>
        <v>汉族</v>
      </c>
      <c r="H241" s="5" t="str">
        <f>"中共党员"</f>
        <v>中共党员</v>
      </c>
      <c r="I241" s="5" t="str">
        <f t="shared" si="169"/>
        <v>本科</v>
      </c>
      <c r="J241" s="5" t="str">
        <f t="shared" si="170"/>
        <v>学士</v>
      </c>
    </row>
    <row r="242" s="2" customFormat="1" customHeight="1" spans="1:10">
      <c r="A242" s="5">
        <v>240</v>
      </c>
      <c r="B242" s="5" t="s">
        <v>11</v>
      </c>
      <c r="C242" s="5" t="str">
        <f>"何艺东"</f>
        <v>何艺东</v>
      </c>
      <c r="D242" s="5" t="str">
        <f t="shared" si="167"/>
        <v>男</v>
      </c>
      <c r="E242" s="5" t="str">
        <f>"1995-02-21"</f>
        <v>1995-02-21</v>
      </c>
      <c r="F242" s="5" t="s">
        <v>251</v>
      </c>
      <c r="G242" s="5" t="str">
        <f t="shared" si="168"/>
        <v>汉族</v>
      </c>
      <c r="H242" s="5" t="str">
        <f t="shared" ref="H242:H244" si="172">"共青团员"</f>
        <v>共青团员</v>
      </c>
      <c r="I242" s="5" t="str">
        <f t="shared" si="169"/>
        <v>本科</v>
      </c>
      <c r="J242" s="5" t="str">
        <f t="shared" si="170"/>
        <v>学士</v>
      </c>
    </row>
    <row r="243" s="2" customFormat="1" customHeight="1" spans="1:10">
      <c r="A243" s="5">
        <v>241</v>
      </c>
      <c r="B243" s="5" t="s">
        <v>11</v>
      </c>
      <c r="C243" s="5" t="str">
        <f>"朱颖捷"</f>
        <v>朱颖捷</v>
      </c>
      <c r="D243" s="5" t="str">
        <f t="shared" ref="D243:D248" si="173">"女"</f>
        <v>女</v>
      </c>
      <c r="E243" s="5" t="str">
        <f>"1994-11-21"</f>
        <v>1994-11-21</v>
      </c>
      <c r="F243" s="5" t="s">
        <v>252</v>
      </c>
      <c r="G243" s="5" t="str">
        <f>"黎族"</f>
        <v>黎族</v>
      </c>
      <c r="H243" s="5" t="str">
        <f t="shared" si="172"/>
        <v>共青团员</v>
      </c>
      <c r="I243" s="5" t="str">
        <f t="shared" si="169"/>
        <v>本科</v>
      </c>
      <c r="J243" s="5" t="str">
        <f t="shared" si="170"/>
        <v>学士</v>
      </c>
    </row>
    <row r="244" s="2" customFormat="1" customHeight="1" spans="1:10">
      <c r="A244" s="5">
        <v>242</v>
      </c>
      <c r="B244" s="5" t="s">
        <v>11</v>
      </c>
      <c r="C244" s="5" t="str">
        <f>"陈秋雨"</f>
        <v>陈秋雨</v>
      </c>
      <c r="D244" s="5" t="str">
        <f t="shared" si="173"/>
        <v>女</v>
      </c>
      <c r="E244" s="5" t="str">
        <f>"1997-08-29"</f>
        <v>1997-08-29</v>
      </c>
      <c r="F244" s="5" t="s">
        <v>253</v>
      </c>
      <c r="G244" s="5" t="str">
        <f>"汉族"</f>
        <v>汉族</v>
      </c>
      <c r="H244" s="5" t="str">
        <f t="shared" si="172"/>
        <v>共青团员</v>
      </c>
      <c r="I244" s="5" t="str">
        <f t="shared" si="169"/>
        <v>本科</v>
      </c>
      <c r="J244" s="5" t="str">
        <f t="shared" si="170"/>
        <v>学士</v>
      </c>
    </row>
    <row r="245" s="2" customFormat="1" customHeight="1" spans="1:10">
      <c r="A245" s="5">
        <v>243</v>
      </c>
      <c r="B245" s="5" t="s">
        <v>11</v>
      </c>
      <c r="C245" s="5" t="str">
        <f>"陈冠岳"</f>
        <v>陈冠岳</v>
      </c>
      <c r="D245" s="5" t="str">
        <f>"男"</f>
        <v>男</v>
      </c>
      <c r="E245" s="5" t="str">
        <f>"1993-12-18"</f>
        <v>1993-12-18</v>
      </c>
      <c r="F245" s="5" t="s">
        <v>254</v>
      </c>
      <c r="G245" s="5" t="str">
        <f>"汉族"</f>
        <v>汉族</v>
      </c>
      <c r="H245" s="5" t="str">
        <f t="shared" ref="H245:H247" si="174">"群众"</f>
        <v>群众</v>
      </c>
      <c r="I245" s="5" t="str">
        <f t="shared" si="169"/>
        <v>本科</v>
      </c>
      <c r="J245" s="5" t="str">
        <f t="shared" si="170"/>
        <v>学士</v>
      </c>
    </row>
    <row r="246" s="2" customFormat="1" customHeight="1" spans="1:10">
      <c r="A246" s="5">
        <v>244</v>
      </c>
      <c r="B246" s="5" t="s">
        <v>11</v>
      </c>
      <c r="C246" s="5" t="str">
        <f>"王辉武"</f>
        <v>王辉武</v>
      </c>
      <c r="D246" s="5" t="str">
        <f>"男"</f>
        <v>男</v>
      </c>
      <c r="E246" s="5" t="str">
        <f>"1992-04-23"</f>
        <v>1992-04-23</v>
      </c>
      <c r="F246" s="5" t="s">
        <v>255</v>
      </c>
      <c r="G246" s="5" t="str">
        <f t="shared" ref="G246:G251" si="175">"汉族"</f>
        <v>汉族</v>
      </c>
      <c r="H246" s="5" t="str">
        <f t="shared" si="174"/>
        <v>群众</v>
      </c>
      <c r="I246" s="5" t="str">
        <f t="shared" ref="I246:I251" si="176">"本科"</f>
        <v>本科</v>
      </c>
      <c r="J246" s="5" t="str">
        <f t="shared" ref="J246:J251" si="177">"学士"</f>
        <v>学士</v>
      </c>
    </row>
    <row r="247" s="2" customFormat="1" customHeight="1" spans="1:10">
      <c r="A247" s="5">
        <v>245</v>
      </c>
      <c r="B247" s="5" t="s">
        <v>11</v>
      </c>
      <c r="C247" s="5" t="str">
        <f>"高春"</f>
        <v>高春</v>
      </c>
      <c r="D247" s="5" t="str">
        <f t="shared" si="173"/>
        <v>女</v>
      </c>
      <c r="E247" s="5" t="str">
        <f>"1988-02-22"</f>
        <v>1988-02-22</v>
      </c>
      <c r="F247" s="5" t="s">
        <v>256</v>
      </c>
      <c r="G247" s="5" t="str">
        <f t="shared" si="175"/>
        <v>汉族</v>
      </c>
      <c r="H247" s="5" t="str">
        <f t="shared" si="174"/>
        <v>群众</v>
      </c>
      <c r="I247" s="5" t="str">
        <f t="shared" si="176"/>
        <v>本科</v>
      </c>
      <c r="J247" s="5" t="str">
        <f t="shared" si="177"/>
        <v>学士</v>
      </c>
    </row>
    <row r="248" s="2" customFormat="1" customHeight="1" spans="1:10">
      <c r="A248" s="5">
        <v>246</v>
      </c>
      <c r="B248" s="5" t="s">
        <v>11</v>
      </c>
      <c r="C248" s="5" t="str">
        <f>"余慧婷"</f>
        <v>余慧婷</v>
      </c>
      <c r="D248" s="5" t="str">
        <f t="shared" si="173"/>
        <v>女</v>
      </c>
      <c r="E248" s="5" t="str">
        <f>"1996-04-15"</f>
        <v>1996-04-15</v>
      </c>
      <c r="F248" s="5" t="s">
        <v>257</v>
      </c>
      <c r="G248" s="5" t="str">
        <f t="shared" si="175"/>
        <v>汉族</v>
      </c>
      <c r="H248" s="5" t="str">
        <f>"中共党员"</f>
        <v>中共党员</v>
      </c>
      <c r="I248" s="5" t="str">
        <f t="shared" si="176"/>
        <v>本科</v>
      </c>
      <c r="J248" s="5" t="str">
        <f t="shared" si="177"/>
        <v>学士</v>
      </c>
    </row>
    <row r="249" s="2" customFormat="1" customHeight="1" spans="1:10">
      <c r="A249" s="5">
        <v>247</v>
      </c>
      <c r="B249" s="5" t="s">
        <v>11</v>
      </c>
      <c r="C249" s="5" t="str">
        <f>"杜小金"</f>
        <v>杜小金</v>
      </c>
      <c r="D249" s="5" t="str">
        <f t="shared" ref="D249:D255" si="178">"男"</f>
        <v>男</v>
      </c>
      <c r="E249" s="5" t="str">
        <f>"1987-06-04"</f>
        <v>1987-06-04</v>
      </c>
      <c r="F249" s="5" t="s">
        <v>258</v>
      </c>
      <c r="G249" s="5" t="str">
        <f t="shared" si="175"/>
        <v>汉族</v>
      </c>
      <c r="H249" s="5" t="str">
        <f t="shared" ref="H249:H252" si="179">"共青团员"</f>
        <v>共青团员</v>
      </c>
      <c r="I249" s="5" t="str">
        <f t="shared" si="176"/>
        <v>本科</v>
      </c>
      <c r="J249" s="5" t="str">
        <f t="shared" si="177"/>
        <v>学士</v>
      </c>
    </row>
    <row r="250" s="2" customFormat="1" customHeight="1" spans="1:10">
      <c r="A250" s="5">
        <v>248</v>
      </c>
      <c r="B250" s="5" t="s">
        <v>11</v>
      </c>
      <c r="C250" s="5" t="str">
        <f>"林武"</f>
        <v>林武</v>
      </c>
      <c r="D250" s="5" t="str">
        <f t="shared" si="178"/>
        <v>男</v>
      </c>
      <c r="E250" s="5" t="str">
        <f>"1997-07-05"</f>
        <v>1997-07-05</v>
      </c>
      <c r="F250" s="5" t="s">
        <v>259</v>
      </c>
      <c r="G250" s="5" t="str">
        <f t="shared" si="175"/>
        <v>汉族</v>
      </c>
      <c r="H250" s="5" t="str">
        <f t="shared" si="179"/>
        <v>共青团员</v>
      </c>
      <c r="I250" s="5" t="str">
        <f t="shared" si="176"/>
        <v>本科</v>
      </c>
      <c r="J250" s="5" t="str">
        <f t="shared" si="177"/>
        <v>学士</v>
      </c>
    </row>
    <row r="251" s="2" customFormat="1" ht="32" customHeight="1" spans="1:10">
      <c r="A251" s="5">
        <v>249</v>
      </c>
      <c r="B251" s="5" t="s">
        <v>11</v>
      </c>
      <c r="C251" s="5" t="str">
        <f>"冯拂晓"</f>
        <v>冯拂晓</v>
      </c>
      <c r="D251" s="5" t="str">
        <f>"女"</f>
        <v>女</v>
      </c>
      <c r="E251" s="5" t="str">
        <f>"1995-08-07"</f>
        <v>1995-08-07</v>
      </c>
      <c r="F251" s="5" t="s">
        <v>260</v>
      </c>
      <c r="G251" s="5" t="str">
        <f t="shared" si="175"/>
        <v>汉族</v>
      </c>
      <c r="H251" s="5" t="str">
        <f t="shared" si="179"/>
        <v>共青团员</v>
      </c>
      <c r="I251" s="5" t="str">
        <f t="shared" si="176"/>
        <v>本科</v>
      </c>
      <c r="J251" s="5" t="str">
        <f t="shared" si="177"/>
        <v>学士</v>
      </c>
    </row>
    <row r="252" s="2" customFormat="1" customHeight="1" spans="1:10">
      <c r="A252" s="5">
        <v>250</v>
      </c>
      <c r="B252" s="5" t="s">
        <v>11</v>
      </c>
      <c r="C252" s="5" t="str">
        <f>"吴奇勇"</f>
        <v>吴奇勇</v>
      </c>
      <c r="D252" s="5" t="str">
        <f t="shared" si="178"/>
        <v>男</v>
      </c>
      <c r="E252" s="5" t="str">
        <f>"1994-02-08"</f>
        <v>1994-02-08</v>
      </c>
      <c r="F252" s="5" t="s">
        <v>261</v>
      </c>
      <c r="G252" s="5" t="str">
        <f t="shared" ref="G252:G255" si="180">"汉族"</f>
        <v>汉族</v>
      </c>
      <c r="H252" s="5" t="str">
        <f t="shared" si="179"/>
        <v>共青团员</v>
      </c>
      <c r="I252" s="5" t="str">
        <f t="shared" ref="I252:I255" si="181">"本科"</f>
        <v>本科</v>
      </c>
      <c r="J252" s="5" t="str">
        <f t="shared" ref="J252:J255" si="182">"学士"</f>
        <v>学士</v>
      </c>
    </row>
    <row r="253" s="2" customFormat="1" customHeight="1" spans="1:10">
      <c r="A253" s="5">
        <v>251</v>
      </c>
      <c r="B253" s="5" t="s">
        <v>11</v>
      </c>
      <c r="C253" s="5" t="str">
        <f>"谢小英"</f>
        <v>谢小英</v>
      </c>
      <c r="D253" s="5" t="str">
        <f>"女"</f>
        <v>女</v>
      </c>
      <c r="E253" s="5" t="str">
        <f>"1990-08-21"</f>
        <v>1990-08-21</v>
      </c>
      <c r="F253" s="5" t="s">
        <v>262</v>
      </c>
      <c r="G253" s="5" t="str">
        <f t="shared" si="180"/>
        <v>汉族</v>
      </c>
      <c r="H253" s="5" t="str">
        <f t="shared" ref="H253:H255" si="183">"群众"</f>
        <v>群众</v>
      </c>
      <c r="I253" s="5" t="str">
        <f t="shared" si="181"/>
        <v>本科</v>
      </c>
      <c r="J253" s="5" t="str">
        <f t="shared" si="182"/>
        <v>学士</v>
      </c>
    </row>
    <row r="254" s="2" customFormat="1" ht="32" customHeight="1" spans="1:10">
      <c r="A254" s="5">
        <v>252</v>
      </c>
      <c r="B254" s="5" t="s">
        <v>11</v>
      </c>
      <c r="C254" s="5" t="str">
        <f>"张海洋"</f>
        <v>张海洋</v>
      </c>
      <c r="D254" s="5" t="str">
        <f t="shared" si="178"/>
        <v>男</v>
      </c>
      <c r="E254" s="5" t="str">
        <f>"1991-04-17"</f>
        <v>1991-04-17</v>
      </c>
      <c r="F254" s="5" t="s">
        <v>263</v>
      </c>
      <c r="G254" s="5" t="str">
        <f t="shared" si="180"/>
        <v>汉族</v>
      </c>
      <c r="H254" s="5" t="str">
        <f t="shared" si="183"/>
        <v>群众</v>
      </c>
      <c r="I254" s="5" t="str">
        <f t="shared" si="181"/>
        <v>本科</v>
      </c>
      <c r="J254" s="5" t="str">
        <f t="shared" si="182"/>
        <v>学士</v>
      </c>
    </row>
    <row r="255" s="2" customFormat="1" customHeight="1" spans="1:10">
      <c r="A255" s="5">
        <v>253</v>
      </c>
      <c r="B255" s="5" t="s">
        <v>11</v>
      </c>
      <c r="C255" s="5" t="str">
        <f>"郑铭豪"</f>
        <v>郑铭豪</v>
      </c>
      <c r="D255" s="5" t="str">
        <f t="shared" si="178"/>
        <v>男</v>
      </c>
      <c r="E255" s="5" t="str">
        <f>"1992-04-01"</f>
        <v>1992-04-01</v>
      </c>
      <c r="F255" s="5" t="s">
        <v>264</v>
      </c>
      <c r="G255" s="5" t="str">
        <f t="shared" si="180"/>
        <v>汉族</v>
      </c>
      <c r="H255" s="5" t="str">
        <f t="shared" si="183"/>
        <v>群众</v>
      </c>
      <c r="I255" s="5" t="str">
        <f t="shared" si="181"/>
        <v>本科</v>
      </c>
      <c r="J255" s="5" t="str">
        <f t="shared" si="182"/>
        <v>学士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合格-三亚市科技工业信息化局2020年公开公开招聘下属事业单位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2020-04-21T09:39:00Z</dcterms:created>
  <dcterms:modified xsi:type="dcterms:W3CDTF">2020-05-09T03:56:47Z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