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中学教师（1574人）" sheetId="1" r:id="rId1"/>
  </sheets>
  <definedNames>
    <definedName name="_xlnm._FilterDatabase" localSheetId="0" hidden="1">'中学教师（1574人）'!$A$3:$H$1577</definedName>
  </definedNames>
  <calcPr calcId="144525"/>
</workbook>
</file>

<file path=xl/sharedStrings.xml><?xml version="1.0" encoding="utf-8"?>
<sst xmlns="http://schemas.openxmlformats.org/spreadsheetml/2006/main" count="4732" uniqueCount="1596">
  <si>
    <t>附件2：</t>
  </si>
  <si>
    <t>东方市2020年招聘中学教师资格审查合格人员名单</t>
  </si>
  <si>
    <t>序号</t>
  </si>
  <si>
    <t>报考号</t>
  </si>
  <si>
    <t>报考岗位</t>
  </si>
  <si>
    <t>姓名</t>
  </si>
  <si>
    <t>性别</t>
  </si>
  <si>
    <t>身份证号码</t>
  </si>
  <si>
    <t>资格审查结果</t>
  </si>
  <si>
    <t>备注</t>
  </si>
  <si>
    <t>0901_语文老师</t>
  </si>
  <si>
    <t>460030*******55429</t>
  </si>
  <si>
    <t>合格</t>
  </si>
  <si>
    <t>460028*******32468</t>
  </si>
  <si>
    <t>362202*******25923</t>
  </si>
  <si>
    <t>220502*******00620</t>
  </si>
  <si>
    <t>469007*******00866</t>
  </si>
  <si>
    <t>460031*******86829</t>
  </si>
  <si>
    <t>460027*******34785</t>
  </si>
  <si>
    <t>460033*******7322X</t>
  </si>
  <si>
    <t>460026*******2062X</t>
  </si>
  <si>
    <t>469005*******27728</t>
  </si>
  <si>
    <t>460007*******57223</t>
  </si>
  <si>
    <t>460200*******03362</t>
  </si>
  <si>
    <t>460025*******02718</t>
  </si>
  <si>
    <t>469027*******15380</t>
  </si>
  <si>
    <t>0902_数学老师</t>
  </si>
  <si>
    <t>460028*******72458</t>
  </si>
  <si>
    <t>460006*******24423</t>
  </si>
  <si>
    <t>469007*******87252</t>
  </si>
  <si>
    <t>460003*******83879</t>
  </si>
  <si>
    <t>460031*******60021</t>
  </si>
  <si>
    <t>460007*******64367</t>
  </si>
  <si>
    <t>460003*******33826</t>
  </si>
  <si>
    <t>460007*******37220</t>
  </si>
  <si>
    <t>460006*******48721</t>
  </si>
  <si>
    <t>530422*******60349</t>
  </si>
  <si>
    <t>421127*******10879</t>
  </si>
  <si>
    <t>460033*******44834</t>
  </si>
  <si>
    <t>620402*******92719</t>
  </si>
  <si>
    <t>460007*******17623</t>
  </si>
  <si>
    <t>370305*******83425</t>
  </si>
  <si>
    <t>0910_地理老师</t>
  </si>
  <si>
    <t>460033*******07808</t>
  </si>
  <si>
    <t>460007*******64978</t>
  </si>
  <si>
    <t>460007*******65367</t>
  </si>
  <si>
    <t>460007*******07225</t>
  </si>
  <si>
    <t>460007*******74988</t>
  </si>
  <si>
    <t>460006*******61621</t>
  </si>
  <si>
    <t>460200*******52306</t>
  </si>
  <si>
    <t>460003*******35426</t>
  </si>
  <si>
    <t>460007*******60039</t>
  </si>
  <si>
    <t>460003*******16628</t>
  </si>
  <si>
    <t>411329*******45324</t>
  </si>
  <si>
    <t>460006*******4164X</t>
  </si>
  <si>
    <t>460027*******31327</t>
  </si>
  <si>
    <t>460033*******54528</t>
  </si>
  <si>
    <t>460200*******5318X</t>
  </si>
  <si>
    <t>460006*******02340</t>
  </si>
  <si>
    <t>460007*******64964</t>
  </si>
  <si>
    <t>460021*******04428</t>
  </si>
  <si>
    <t>460026*******22727</t>
  </si>
  <si>
    <t>460004*******90428</t>
  </si>
  <si>
    <t>460033*******50011</t>
  </si>
  <si>
    <t>460026*******54526</t>
  </si>
  <si>
    <t>460033*******43249</t>
  </si>
  <si>
    <t>460032*******24379</t>
  </si>
  <si>
    <t>460200*******14726</t>
  </si>
  <si>
    <t>410322*******42859</t>
  </si>
  <si>
    <t>460007*******8726X</t>
  </si>
  <si>
    <t>469007*******96163</t>
  </si>
  <si>
    <t>460004*******26418</t>
  </si>
  <si>
    <t>460033*******94820</t>
  </si>
  <si>
    <t>460026*******65141</t>
  </si>
  <si>
    <t>460007*******55765</t>
  </si>
  <si>
    <t>460033*******73570</t>
  </si>
  <si>
    <t>469027*******94480</t>
  </si>
  <si>
    <t>460007*******80880</t>
  </si>
  <si>
    <t>460033*******73878</t>
  </si>
  <si>
    <t>460003*******6226X</t>
  </si>
  <si>
    <t>460006*******91641</t>
  </si>
  <si>
    <t>460007*******74992</t>
  </si>
  <si>
    <t>460030*******55420</t>
  </si>
  <si>
    <t>460030*******1512X</t>
  </si>
  <si>
    <t>460028*******70022</t>
  </si>
  <si>
    <t>460003*******23027</t>
  </si>
  <si>
    <t>460007*******34982</t>
  </si>
  <si>
    <t>460007*******75385</t>
  </si>
  <si>
    <t>460006*******52322</t>
  </si>
  <si>
    <t>452131*******41822</t>
  </si>
  <si>
    <t>460007*******0436X</t>
  </si>
  <si>
    <t>460027*******60026</t>
  </si>
  <si>
    <t>610622*******10227</t>
  </si>
  <si>
    <t>460004*******23026</t>
  </si>
  <si>
    <t>460200*******84699</t>
  </si>
  <si>
    <t>460033*******33281</t>
  </si>
  <si>
    <t>460300*******50628</t>
  </si>
  <si>
    <t>460027*******41742</t>
  </si>
  <si>
    <t>460027*******52980</t>
  </si>
  <si>
    <t>460028*******05228</t>
  </si>
  <si>
    <t>460032*******57680</t>
  </si>
  <si>
    <t>460032*******87620</t>
  </si>
  <si>
    <t>460033*******03225</t>
  </si>
  <si>
    <t>460103*******53620</t>
  </si>
  <si>
    <t>460028*******80023</t>
  </si>
  <si>
    <t>460003*******82429</t>
  </si>
  <si>
    <t>460004*******25069</t>
  </si>
  <si>
    <t>460006*******41639</t>
  </si>
  <si>
    <t>460033*******83587</t>
  </si>
  <si>
    <t>460007*******04962</t>
  </si>
  <si>
    <t>460004*******35249</t>
  </si>
  <si>
    <t>460007*******87629</t>
  </si>
  <si>
    <t>460028*******72423</t>
  </si>
  <si>
    <t>460004*******60647</t>
  </si>
  <si>
    <t>460035*******32322</t>
  </si>
  <si>
    <t>460026*******34527</t>
  </si>
  <si>
    <t>460027*******53744</t>
  </si>
  <si>
    <t>460031*******95224</t>
  </si>
  <si>
    <t>460007*******20024</t>
  </si>
  <si>
    <t>460200*******85125</t>
  </si>
  <si>
    <t>460033*******03245</t>
  </si>
  <si>
    <t>469002*******15423</t>
  </si>
  <si>
    <t>460028*******00427</t>
  </si>
  <si>
    <t>460102*******60323</t>
  </si>
  <si>
    <t>460033*******77484</t>
  </si>
  <si>
    <t>460006*******91621</t>
  </si>
  <si>
    <t>460033*******83243</t>
  </si>
  <si>
    <t>460007*******3722X</t>
  </si>
  <si>
    <t>430321*******98744</t>
  </si>
  <si>
    <t>460003*******62816</t>
  </si>
  <si>
    <t>460002*******7468X</t>
  </si>
  <si>
    <t>460200*******01429</t>
  </si>
  <si>
    <t>460031*******16415</t>
  </si>
  <si>
    <t>460003*******3002X</t>
  </si>
  <si>
    <t>460007*******47241</t>
  </si>
  <si>
    <t>460003*******40426</t>
  </si>
  <si>
    <t>460033*******41787</t>
  </si>
  <si>
    <t>460003*******41452</t>
  </si>
  <si>
    <t>460006*******27827</t>
  </si>
  <si>
    <t>460102*******70329</t>
  </si>
  <si>
    <t>460028*******32469</t>
  </si>
  <si>
    <t>469026*******80027</t>
  </si>
  <si>
    <t>469024*******02025</t>
  </si>
  <si>
    <t>460025*******51223</t>
  </si>
  <si>
    <t>460003*******92875</t>
  </si>
  <si>
    <t>0911_历史老师</t>
  </si>
  <si>
    <t>460007*******30038</t>
  </si>
  <si>
    <t>460007*******27622</t>
  </si>
  <si>
    <t>460200*******2449X</t>
  </si>
  <si>
    <t>460033*******88343</t>
  </si>
  <si>
    <t>460032*******77666</t>
  </si>
  <si>
    <t>460200*******94722</t>
  </si>
  <si>
    <t>460003*******82864</t>
  </si>
  <si>
    <t>460026*******44249</t>
  </si>
  <si>
    <t>460006*******44427</t>
  </si>
  <si>
    <t>460007*******70012</t>
  </si>
  <si>
    <t>460022*******96223</t>
  </si>
  <si>
    <t>460007*******60440</t>
  </si>
  <si>
    <t>460007*******26209</t>
  </si>
  <si>
    <t>460007*******84662</t>
  </si>
  <si>
    <t>460007*******17220</t>
  </si>
  <si>
    <t>460026*******8332X</t>
  </si>
  <si>
    <t>460027*******82022</t>
  </si>
  <si>
    <t>460007*******80888</t>
  </si>
  <si>
    <t>460102*******32724</t>
  </si>
  <si>
    <t>460004*******50646</t>
  </si>
  <si>
    <t>460033*******63247</t>
  </si>
  <si>
    <t>460031*******45225</t>
  </si>
  <si>
    <t>460035*******52120</t>
  </si>
  <si>
    <t>460033*******13880</t>
  </si>
  <si>
    <t>460007*******30046</t>
  </si>
  <si>
    <t>460102*******23022</t>
  </si>
  <si>
    <t>460006*******30645</t>
  </si>
  <si>
    <t>460006*******87846</t>
  </si>
  <si>
    <t>460031*******75215</t>
  </si>
  <si>
    <t>460004*******70654</t>
  </si>
  <si>
    <t>460003*******34424</t>
  </si>
  <si>
    <t>460003*******54107</t>
  </si>
  <si>
    <t>460004*******73226</t>
  </si>
  <si>
    <t>460003*******80424</t>
  </si>
  <si>
    <t>460006*******80239</t>
  </si>
  <si>
    <t>460007*******05386</t>
  </si>
  <si>
    <t>622722*******82417</t>
  </si>
  <si>
    <t>460007*******05360</t>
  </si>
  <si>
    <t>460007*******85367</t>
  </si>
  <si>
    <t>460033*******40022</t>
  </si>
  <si>
    <t>460003*******05627</t>
  </si>
  <si>
    <t>460006*******62024</t>
  </si>
  <si>
    <t>460005*******6453X</t>
  </si>
  <si>
    <t>460032*******57646</t>
  </si>
  <si>
    <t>469007*******45267</t>
  </si>
  <si>
    <t>460026*******70023</t>
  </si>
  <si>
    <t>460034*******51226</t>
  </si>
  <si>
    <t>460035*******20025</t>
  </si>
  <si>
    <t>460031*******2562X</t>
  </si>
  <si>
    <t>460003*******82424</t>
  </si>
  <si>
    <t>460036*******15517</t>
  </si>
  <si>
    <t>460033*******53877</t>
  </si>
  <si>
    <t>460007*******20821</t>
  </si>
  <si>
    <t>460003*******65842</t>
  </si>
  <si>
    <t>460033*******33947</t>
  </si>
  <si>
    <t>460003*******42847</t>
  </si>
  <si>
    <t>460003*******81620</t>
  </si>
  <si>
    <t>460027*******27930</t>
  </si>
  <si>
    <t>469003*******20328</t>
  </si>
  <si>
    <t>460025*******50625</t>
  </si>
  <si>
    <t>460027*******57946</t>
  </si>
  <si>
    <t>460027*******8063X</t>
  </si>
  <si>
    <t>460034*******50428</t>
  </si>
  <si>
    <t>460030*******45725</t>
  </si>
  <si>
    <t>460102*******31228</t>
  </si>
  <si>
    <t>460003*******74221</t>
  </si>
  <si>
    <t>460003*******17820</t>
  </si>
  <si>
    <t>460028*******20021</t>
  </si>
  <si>
    <t>460033*******18339</t>
  </si>
  <si>
    <t>460200*******83160</t>
  </si>
  <si>
    <t>460028*******40023</t>
  </si>
  <si>
    <t>469003*******75643</t>
  </si>
  <si>
    <t>460007*******60048</t>
  </si>
  <si>
    <t>460034*******30431</t>
  </si>
  <si>
    <t>460033*******83220</t>
  </si>
  <si>
    <t>460025*******52127</t>
  </si>
  <si>
    <t>230603*******51324</t>
  </si>
  <si>
    <t>460003*******83868</t>
  </si>
  <si>
    <t>460022*******20764</t>
  </si>
  <si>
    <t>460006*******55923</t>
  </si>
  <si>
    <t>460003*******87429</t>
  </si>
  <si>
    <t>460007*******63629</t>
  </si>
  <si>
    <t>460026*******43335</t>
  </si>
  <si>
    <t>460007*******34986</t>
  </si>
  <si>
    <t>460001*******30720</t>
  </si>
  <si>
    <t>460035*******40625</t>
  </si>
  <si>
    <t>460031*******64843</t>
  </si>
  <si>
    <t>1001_语文老师</t>
  </si>
  <si>
    <t>460035*******81323</t>
  </si>
  <si>
    <t>460003*******5342X</t>
  </si>
  <si>
    <t>469003*******85029</t>
  </si>
  <si>
    <t>469007*******76160</t>
  </si>
  <si>
    <t>460007*******94970</t>
  </si>
  <si>
    <t>460007*******55763</t>
  </si>
  <si>
    <t>460032*******57669</t>
  </si>
  <si>
    <t>460007*******85009</t>
  </si>
  <si>
    <t>469029*******13024</t>
  </si>
  <si>
    <t>231025*******95539</t>
  </si>
  <si>
    <t>469021*******72142</t>
  </si>
  <si>
    <t>460030*******83911</t>
  </si>
  <si>
    <t>460007*******10421</t>
  </si>
  <si>
    <t>460007*******67249</t>
  </si>
  <si>
    <t>460030*******02420</t>
  </si>
  <si>
    <t>460007*******67222</t>
  </si>
  <si>
    <t>460032*******36221</t>
  </si>
  <si>
    <t>460033*******94183</t>
  </si>
  <si>
    <t>460028*******86823</t>
  </si>
  <si>
    <t>460036*******56228</t>
  </si>
  <si>
    <t>460033*******83267</t>
  </si>
  <si>
    <t>460003*******82238</t>
  </si>
  <si>
    <t>460007*******06220</t>
  </si>
  <si>
    <t>460007*******75762</t>
  </si>
  <si>
    <t>460003*******34041</t>
  </si>
  <si>
    <t>460027*******02624</t>
  </si>
  <si>
    <t>460003*******82365</t>
  </si>
  <si>
    <t>460031*******05221</t>
  </si>
  <si>
    <t>230403*******40023</t>
  </si>
  <si>
    <t>460006*******10426</t>
  </si>
  <si>
    <t>460007*******87624</t>
  </si>
  <si>
    <t>460007*******82028</t>
  </si>
  <si>
    <t>469007*******0582X</t>
  </si>
  <si>
    <t>460027*******17045</t>
  </si>
  <si>
    <t>460007*******85761</t>
  </si>
  <si>
    <t>460028*******7282X</t>
  </si>
  <si>
    <t>460003*******72663</t>
  </si>
  <si>
    <t>460033*******31186</t>
  </si>
  <si>
    <t>469003*******56787</t>
  </si>
  <si>
    <t>460031*******80042</t>
  </si>
  <si>
    <t>469003*******55029</t>
  </si>
  <si>
    <t>469024*******40448</t>
  </si>
  <si>
    <t>460003*******8462X</t>
  </si>
  <si>
    <t>460003*******30229</t>
  </si>
  <si>
    <t>460030*******87227</t>
  </si>
  <si>
    <t>460033*******57504</t>
  </si>
  <si>
    <t>469007*******80469</t>
  </si>
  <si>
    <t>460033*******13328</t>
  </si>
  <si>
    <t>460007*******35008</t>
  </si>
  <si>
    <t>460007*******8498X</t>
  </si>
  <si>
    <t>410781*******17527</t>
  </si>
  <si>
    <t>1003_英语老师</t>
  </si>
  <si>
    <t>131123*******54213</t>
  </si>
  <si>
    <t>460003*******9262X</t>
  </si>
  <si>
    <t>460027*******90428</t>
  </si>
  <si>
    <t>230822*******07328</t>
  </si>
  <si>
    <t>460007*******05764</t>
  </si>
  <si>
    <t>460007*******87625</t>
  </si>
  <si>
    <t>460004*******83424</t>
  </si>
  <si>
    <t>460003*******80220</t>
  </si>
  <si>
    <t>460027*******68224</t>
  </si>
  <si>
    <t>460007*******00421</t>
  </si>
  <si>
    <t>460033*******54840</t>
  </si>
  <si>
    <t>460003*******42628</t>
  </si>
  <si>
    <t>460031*******04829</t>
  </si>
  <si>
    <t>460026*******10921</t>
  </si>
  <si>
    <t>620105*******91047</t>
  </si>
  <si>
    <t>460003*******74020</t>
  </si>
  <si>
    <t>460027*******63725</t>
  </si>
  <si>
    <t>460007*******87240</t>
  </si>
  <si>
    <t>460007*******03369</t>
  </si>
  <si>
    <t>460003*******34242</t>
  </si>
  <si>
    <t>460300*******50049</t>
  </si>
  <si>
    <t>460026*******91246</t>
  </si>
  <si>
    <t>469007*******85366</t>
  </si>
  <si>
    <t>460028*******42426</t>
  </si>
  <si>
    <t>460006*******18125</t>
  </si>
  <si>
    <t>460032*******26228</t>
  </si>
  <si>
    <t>460200*******95124</t>
  </si>
  <si>
    <t>460033*******64199</t>
  </si>
  <si>
    <t>460033*******26008</t>
  </si>
  <si>
    <t>469007*******50421</t>
  </si>
  <si>
    <t>460033*******03246</t>
  </si>
  <si>
    <t>460006*******87820</t>
  </si>
  <si>
    <t>460104*******71261</t>
  </si>
  <si>
    <t>460007*******55004</t>
  </si>
  <si>
    <t>460007*******3498X</t>
  </si>
  <si>
    <t>460007*******80828</t>
  </si>
  <si>
    <t>460007*******83360</t>
  </si>
  <si>
    <t>362525*******60065</t>
  </si>
  <si>
    <t>460004*******43821</t>
  </si>
  <si>
    <t>460007*******53621</t>
  </si>
  <si>
    <t>460006*******62326</t>
  </si>
  <si>
    <t>460028*******53226</t>
  </si>
  <si>
    <t>230231*******43526</t>
  </si>
  <si>
    <t>460007*******60027</t>
  </si>
  <si>
    <t>231083*******11822</t>
  </si>
  <si>
    <t>469003*******76128</t>
  </si>
  <si>
    <t>469024*******70027</t>
  </si>
  <si>
    <t>460200*******54448</t>
  </si>
  <si>
    <t>341225*******36420</t>
  </si>
  <si>
    <t>460007*******64362</t>
  </si>
  <si>
    <t>460033*******85422</t>
  </si>
  <si>
    <t>460003*******57224</t>
  </si>
  <si>
    <t>460025*******01229</t>
  </si>
  <si>
    <t>460028*******47229</t>
  </si>
  <si>
    <t>460003*******56620</t>
  </si>
  <si>
    <t>460003*******54624</t>
  </si>
  <si>
    <t>460006*******01707</t>
  </si>
  <si>
    <t>460004*******92022</t>
  </si>
  <si>
    <t>460200*******65348</t>
  </si>
  <si>
    <t>460200*******44024</t>
  </si>
  <si>
    <t>460033*******63343</t>
  </si>
  <si>
    <t>460003*******24447</t>
  </si>
  <si>
    <t>460003*******82447</t>
  </si>
  <si>
    <t>460033*******14904</t>
  </si>
  <si>
    <t>460033*******03220</t>
  </si>
  <si>
    <t>460007*******74121</t>
  </si>
  <si>
    <t>460007*******10039</t>
  </si>
  <si>
    <t>450881*******46216</t>
  </si>
  <si>
    <t>460007*******65366</t>
  </si>
  <si>
    <t>460003*******42820</t>
  </si>
  <si>
    <t>460007*******20429</t>
  </si>
  <si>
    <t>460034*******30922</t>
  </si>
  <si>
    <t>1009_生物老师</t>
  </si>
  <si>
    <t>460007*******60016</t>
  </si>
  <si>
    <t>460007*******30829</t>
  </si>
  <si>
    <t>460026*******10089</t>
  </si>
  <si>
    <t>460006*******84643</t>
  </si>
  <si>
    <t>460007*******20860</t>
  </si>
  <si>
    <t>460200*******6336X</t>
  </si>
  <si>
    <t>469023*******52628</t>
  </si>
  <si>
    <t>460200*******84707</t>
  </si>
  <si>
    <t>460033*******64542</t>
  </si>
  <si>
    <t>460028*******27224</t>
  </si>
  <si>
    <t>232700*******10847</t>
  </si>
  <si>
    <t>460007*******34663</t>
  </si>
  <si>
    <t>469007*******14365</t>
  </si>
  <si>
    <t>460031*******86484</t>
  </si>
  <si>
    <t>469007*******27249</t>
  </si>
  <si>
    <t>460005*******43224</t>
  </si>
  <si>
    <t>460035*******22924</t>
  </si>
  <si>
    <t>460003*******22421</t>
  </si>
  <si>
    <t>460033*******53923</t>
  </si>
  <si>
    <t>469024*******00825</t>
  </si>
  <si>
    <t>460033*******1452X</t>
  </si>
  <si>
    <t>460033*******93900</t>
  </si>
  <si>
    <t>460007*******54366</t>
  </si>
  <si>
    <t>460026*******8006X</t>
  </si>
  <si>
    <t>460003*******86827</t>
  </si>
  <si>
    <t>460004*******13666</t>
  </si>
  <si>
    <t>469024*******15623</t>
  </si>
  <si>
    <t>460003*******3602X</t>
  </si>
  <si>
    <t>1010_地理老师</t>
  </si>
  <si>
    <t>460007*******02281</t>
  </si>
  <si>
    <t>460033*******90682</t>
  </si>
  <si>
    <t>460007*******37222</t>
  </si>
  <si>
    <t>460007*******17218</t>
  </si>
  <si>
    <t>460007*******00027</t>
  </si>
  <si>
    <t>460007*******94369</t>
  </si>
  <si>
    <t>460033*******25671</t>
  </si>
  <si>
    <t>460027*******53767</t>
  </si>
  <si>
    <t>460200*******35137</t>
  </si>
  <si>
    <t>460033*******03258</t>
  </si>
  <si>
    <t>460003*******63224</t>
  </si>
  <si>
    <t>460027*******12321</t>
  </si>
  <si>
    <t>469007*******87623</t>
  </si>
  <si>
    <t>460031*******45291</t>
  </si>
  <si>
    <t>460007*******44408</t>
  </si>
  <si>
    <t>460003*******83442</t>
  </si>
  <si>
    <t>460033*******23267</t>
  </si>
  <si>
    <t>460003*******07622</t>
  </si>
  <si>
    <t>460034*******12745</t>
  </si>
  <si>
    <t>460007*******0082X</t>
  </si>
  <si>
    <t>460033*******34528</t>
  </si>
  <si>
    <t>460026*******20026</t>
  </si>
  <si>
    <t>460003*******27624</t>
  </si>
  <si>
    <t>460003*******52817</t>
  </si>
  <si>
    <t>460007*******00043</t>
  </si>
  <si>
    <t>469007*******64962</t>
  </si>
  <si>
    <t>460003*******02142</t>
  </si>
  <si>
    <t>1104_舞蹈老师</t>
  </si>
  <si>
    <t>460003*******6026X</t>
  </si>
  <si>
    <t>460006*******63121</t>
  </si>
  <si>
    <t>460005*******54841</t>
  </si>
  <si>
    <t>460004*******90423</t>
  </si>
  <si>
    <t>460031*******40029</t>
  </si>
  <si>
    <t>460028*******60021</t>
  </si>
  <si>
    <t>460027*******10411</t>
  </si>
  <si>
    <t>460300*******00347</t>
  </si>
  <si>
    <t>1108_化学老师</t>
  </si>
  <si>
    <t>460007*******9498X</t>
  </si>
  <si>
    <t>460027*******81024</t>
  </si>
  <si>
    <t>460103*******02741</t>
  </si>
  <si>
    <t>460003*******82620</t>
  </si>
  <si>
    <t>460033*******24885</t>
  </si>
  <si>
    <t>460007*******20027</t>
  </si>
  <si>
    <t>469007*******85782</t>
  </si>
  <si>
    <t>460003*******77666</t>
  </si>
  <si>
    <t>460006*******54029</t>
  </si>
  <si>
    <t>460103*******23320</t>
  </si>
  <si>
    <t>460027*******34124</t>
  </si>
  <si>
    <t>232301*******36629</t>
  </si>
  <si>
    <t>460006*******0166X</t>
  </si>
  <si>
    <t>460031*******95231</t>
  </si>
  <si>
    <t>460007*******04968</t>
  </si>
  <si>
    <t>460003*******92822</t>
  </si>
  <si>
    <t>460034*******05042</t>
  </si>
  <si>
    <t>460300*******4002X</t>
  </si>
  <si>
    <t>460007*******64388</t>
  </si>
  <si>
    <t>460033*******85082</t>
  </si>
  <si>
    <t>460036*******93226</t>
  </si>
  <si>
    <t>460028*******62448</t>
  </si>
  <si>
    <t>510725*******07189</t>
  </si>
  <si>
    <t>460033*******14862</t>
  </si>
  <si>
    <t>460007*******85001</t>
  </si>
  <si>
    <t>460007*******47245</t>
  </si>
  <si>
    <t>460007*******10865</t>
  </si>
  <si>
    <t>460028*******86023</t>
  </si>
  <si>
    <t>460028*******52442</t>
  </si>
  <si>
    <t>429006*******72712</t>
  </si>
  <si>
    <t>460026*******85143</t>
  </si>
  <si>
    <t>460003*******52629</t>
  </si>
  <si>
    <t>460033*******45104</t>
  </si>
  <si>
    <t>460007*******75820</t>
  </si>
  <si>
    <t>460007*******47220</t>
  </si>
  <si>
    <t>469007*******87669</t>
  </si>
  <si>
    <t>622827*******5456X</t>
  </si>
  <si>
    <t>469023*******83723</t>
  </si>
  <si>
    <t>469007*******46168</t>
  </si>
  <si>
    <t>469007*******07625</t>
  </si>
  <si>
    <t>460007*******15373</t>
  </si>
  <si>
    <t>469027*******2448X</t>
  </si>
  <si>
    <t>460032*******20821</t>
  </si>
  <si>
    <t>460007*******36367</t>
  </si>
  <si>
    <t>460006*******01728</t>
  </si>
  <si>
    <t>460007*******07611</t>
  </si>
  <si>
    <t>460007*******24962</t>
  </si>
  <si>
    <t>460007*******94963</t>
  </si>
  <si>
    <t>460007*******04965</t>
  </si>
  <si>
    <t>460004*******90024</t>
  </si>
  <si>
    <t>460104*******61223</t>
  </si>
  <si>
    <t>469007*******04981</t>
  </si>
  <si>
    <t>211103*******72522</t>
  </si>
  <si>
    <t>460027*******16628</t>
  </si>
  <si>
    <t>460026*******5003X</t>
  </si>
  <si>
    <t>460033*******28343</t>
  </si>
  <si>
    <t>659001*******90621</t>
  </si>
  <si>
    <t>460007*******57663</t>
  </si>
  <si>
    <t>460031*******5122X</t>
  </si>
  <si>
    <t>460003*******12909</t>
  </si>
  <si>
    <t>522426*******07759</t>
  </si>
  <si>
    <t>460033*******84900</t>
  </si>
  <si>
    <t>460007*******30022</t>
  </si>
  <si>
    <t>522725*******93029</t>
  </si>
  <si>
    <t>460003*******96427</t>
  </si>
  <si>
    <t>460007*******84668</t>
  </si>
  <si>
    <t>460003*******13020</t>
  </si>
  <si>
    <t>460200*******70027</t>
  </si>
  <si>
    <t>460031*******45245</t>
  </si>
  <si>
    <t>460028*******00068</t>
  </si>
  <si>
    <t>460028*******7684X</t>
  </si>
  <si>
    <t>460003*******82828</t>
  </si>
  <si>
    <t>460028*******00423</t>
  </si>
  <si>
    <t>362531*******10610</t>
  </si>
  <si>
    <t>460004*******73064</t>
  </si>
  <si>
    <t>460200*******24706</t>
  </si>
  <si>
    <t>452626*******61622</t>
  </si>
  <si>
    <t>460007*******15389</t>
  </si>
  <si>
    <t>410425*******5314X</t>
  </si>
  <si>
    <t>460003*******84645</t>
  </si>
  <si>
    <t>460003*******7182X</t>
  </si>
  <si>
    <t>460002*******85621</t>
  </si>
  <si>
    <t>460007*******35436</t>
  </si>
  <si>
    <t>460032*******17680</t>
  </si>
  <si>
    <t>460032*******87624</t>
  </si>
  <si>
    <t>460006*******88426</t>
  </si>
  <si>
    <t>460002*******73822</t>
  </si>
  <si>
    <t>460006*******88115</t>
  </si>
  <si>
    <t>460006*******72729</t>
  </si>
  <si>
    <t>460028*******80844</t>
  </si>
  <si>
    <t>460036*******07525</t>
  </si>
  <si>
    <t>460007*******90426</t>
  </si>
  <si>
    <t>460027*******44126</t>
  </si>
  <si>
    <t>460007*******55366</t>
  </si>
  <si>
    <t>460033*******13901</t>
  </si>
  <si>
    <t>469003*******76729</t>
  </si>
  <si>
    <t>460028*******20921</t>
  </si>
  <si>
    <t>460003*******42421</t>
  </si>
  <si>
    <t>460007*******04964</t>
  </si>
  <si>
    <t>460027*******75913</t>
  </si>
  <si>
    <t>460033*******33887</t>
  </si>
  <si>
    <t>460003*******92622</t>
  </si>
  <si>
    <t>460033*******03221</t>
  </si>
  <si>
    <t>460031*******3644X</t>
  </si>
  <si>
    <t>460032*******34389</t>
  </si>
  <si>
    <t>460003*******54613</t>
  </si>
  <si>
    <t>460027*******11345</t>
  </si>
  <si>
    <t>500101*******39551</t>
  </si>
  <si>
    <t>460200*******00520</t>
  </si>
  <si>
    <t>460027*******85725</t>
  </si>
  <si>
    <t>430406*******30520</t>
  </si>
  <si>
    <t>460006*******22748</t>
  </si>
  <si>
    <t>460025*******33925</t>
  </si>
  <si>
    <t>1109_生物老师</t>
  </si>
  <si>
    <t>460007*******60843</t>
  </si>
  <si>
    <t>460026*******95112</t>
  </si>
  <si>
    <t>460007*******07224</t>
  </si>
  <si>
    <t>460027*******02980</t>
  </si>
  <si>
    <t>460007*******87627</t>
  </si>
  <si>
    <t>469027*******74483</t>
  </si>
  <si>
    <t>460028*******07248</t>
  </si>
  <si>
    <t>460007*******4586X</t>
  </si>
  <si>
    <t>460003*******42417</t>
  </si>
  <si>
    <t>460004*******10627</t>
  </si>
  <si>
    <t>469002*******90312</t>
  </si>
  <si>
    <t>460028*******54444</t>
  </si>
  <si>
    <t>460031*******06451</t>
  </si>
  <si>
    <t>460027*******80663</t>
  </si>
  <si>
    <t>460007*******70825</t>
  </si>
  <si>
    <t>460007*******84987</t>
  </si>
  <si>
    <t>460031*******00027</t>
  </si>
  <si>
    <t>460003*******52212</t>
  </si>
  <si>
    <t>460006*******92320</t>
  </si>
  <si>
    <t>460003*******54618</t>
  </si>
  <si>
    <t>513822*******57269</t>
  </si>
  <si>
    <t>460033*******2394X</t>
  </si>
  <si>
    <t>460103*******63029</t>
  </si>
  <si>
    <t>460028*******90420</t>
  </si>
  <si>
    <t>460104*******80969</t>
  </si>
  <si>
    <t>460033*******8322X</t>
  </si>
  <si>
    <t>522732*******10086</t>
  </si>
  <si>
    <t>460033*******04920</t>
  </si>
  <si>
    <t>460033*******83888</t>
  </si>
  <si>
    <t>460003*******13224</t>
  </si>
  <si>
    <t>460026*******82423</t>
  </si>
  <si>
    <t>460035*******31323</t>
  </si>
  <si>
    <t>460006*******65225</t>
  </si>
  <si>
    <t>460027*******74722</t>
  </si>
  <si>
    <t>230624*******01388</t>
  </si>
  <si>
    <t>460028*******80042</t>
  </si>
  <si>
    <t>460003*******22241</t>
  </si>
  <si>
    <t>460003*******53067</t>
  </si>
  <si>
    <t>460028*******20442</t>
  </si>
  <si>
    <t>460028*******5568X</t>
  </si>
  <si>
    <t>511322*******28180</t>
  </si>
  <si>
    <t>460026*******10021</t>
  </si>
  <si>
    <t>460200*******34724</t>
  </si>
  <si>
    <t>460028*******85220</t>
  </si>
  <si>
    <t>1201_语文老师</t>
  </si>
  <si>
    <t>460003*******34427</t>
  </si>
  <si>
    <t>460003*******43847</t>
  </si>
  <si>
    <t>460001*******40022</t>
  </si>
  <si>
    <t>460001*******42231</t>
  </si>
  <si>
    <t>231102*******10424</t>
  </si>
  <si>
    <t>460003*******54668</t>
  </si>
  <si>
    <t>460027*******82946</t>
  </si>
  <si>
    <t>460103*******00048</t>
  </si>
  <si>
    <t>460007*******54367</t>
  </si>
  <si>
    <t>460022*******41716</t>
  </si>
  <si>
    <t>460103*******40622</t>
  </si>
  <si>
    <t>460033*******34247</t>
  </si>
  <si>
    <t>469007*******60025</t>
  </si>
  <si>
    <t>460028*******80045</t>
  </si>
  <si>
    <t>460006*******42726</t>
  </si>
  <si>
    <t>460026*******32428</t>
  </si>
  <si>
    <t>460034*******15830</t>
  </si>
  <si>
    <t>460003*******00226</t>
  </si>
  <si>
    <t>460007*******90827</t>
  </si>
  <si>
    <t>460007*******74366</t>
  </si>
  <si>
    <t>460103*******02742</t>
  </si>
  <si>
    <t>460102*******5031X</t>
  </si>
  <si>
    <t>460034*******23620</t>
  </si>
  <si>
    <t>152223*******00047</t>
  </si>
  <si>
    <t>460200*******63149</t>
  </si>
  <si>
    <t>460200*******00287</t>
  </si>
  <si>
    <t>460003*******45424</t>
  </si>
  <si>
    <t>460004*******95222</t>
  </si>
  <si>
    <t>460033*******31784</t>
  </si>
  <si>
    <t>460007*******84965</t>
  </si>
  <si>
    <t>460033*******44508</t>
  </si>
  <si>
    <t>460033*******64861</t>
  </si>
  <si>
    <t>460032*******40820</t>
  </si>
  <si>
    <t>460003*******34221</t>
  </si>
  <si>
    <t>460028*******00042</t>
  </si>
  <si>
    <t>460003*******4022X</t>
  </si>
  <si>
    <t>460003*******40226</t>
  </si>
  <si>
    <t>460033*******01789</t>
  </si>
  <si>
    <t>460007*******50428</t>
  </si>
  <si>
    <t>460003*******82249</t>
  </si>
  <si>
    <t>460033*******66890</t>
  </si>
  <si>
    <t>460028*******05640</t>
  </si>
  <si>
    <t>460004*******30027</t>
  </si>
  <si>
    <t>460007*******24989</t>
  </si>
  <si>
    <t>460033*******83281</t>
  </si>
  <si>
    <t>460004*******60823</t>
  </si>
  <si>
    <t>460032*******54360</t>
  </si>
  <si>
    <t>460007*******50024</t>
  </si>
  <si>
    <t>460006*******40226</t>
  </si>
  <si>
    <t>460028*******74429</t>
  </si>
  <si>
    <t>460003*******43045</t>
  </si>
  <si>
    <t>460003*******54215</t>
  </si>
  <si>
    <t>460031*******5202X</t>
  </si>
  <si>
    <t>460004*******05220</t>
  </si>
  <si>
    <t>460030*******1332X</t>
  </si>
  <si>
    <t>460031*******94827</t>
  </si>
  <si>
    <t>460003*******21845</t>
  </si>
  <si>
    <t>460004*******40029</t>
  </si>
  <si>
    <t>460036*******83521</t>
  </si>
  <si>
    <t>231024*******53720</t>
  </si>
  <si>
    <t>469023*******05923</t>
  </si>
  <si>
    <t>460033*******23578</t>
  </si>
  <si>
    <t>460025*******42422</t>
  </si>
  <si>
    <t>460004*******80424</t>
  </si>
  <si>
    <t>460003*******22847</t>
  </si>
  <si>
    <t>460001*******10727</t>
  </si>
  <si>
    <t>460033*******23889</t>
  </si>
  <si>
    <t>460033*******4268X</t>
  </si>
  <si>
    <t>460027*******00624</t>
  </si>
  <si>
    <t>1203_英语老师</t>
  </si>
  <si>
    <t>469003*******45049</t>
  </si>
  <si>
    <t>460003*******24840</t>
  </si>
  <si>
    <t>460006*******50647</t>
  </si>
  <si>
    <t>460007*******27624</t>
  </si>
  <si>
    <t>450481*******00425</t>
  </si>
  <si>
    <t>460001*******5074X</t>
  </si>
  <si>
    <t>460006*******02024</t>
  </si>
  <si>
    <t>460025*******72421</t>
  </si>
  <si>
    <t>469007*******53644</t>
  </si>
  <si>
    <t>460033*******94844</t>
  </si>
  <si>
    <t>460003*******33048</t>
  </si>
  <si>
    <t>469021*******60023</t>
  </si>
  <si>
    <t>460033*******44865</t>
  </si>
  <si>
    <t>460033*******64706</t>
  </si>
  <si>
    <t>460028*******75622</t>
  </si>
  <si>
    <t>460200*******30982</t>
  </si>
  <si>
    <t>460006*******62729</t>
  </si>
  <si>
    <t>460031*******53626</t>
  </si>
  <si>
    <t>460033*******84524</t>
  </si>
  <si>
    <t>460007*******05363</t>
  </si>
  <si>
    <t>230125*******53167</t>
  </si>
  <si>
    <t>460003*******71420</t>
  </si>
  <si>
    <t>460200*******10529</t>
  </si>
  <si>
    <t>460102*******11547</t>
  </si>
  <si>
    <t>460028*******40881</t>
  </si>
  <si>
    <t>460004*******96425</t>
  </si>
  <si>
    <t>460200*******34469</t>
  </si>
  <si>
    <t>410521*******55021</t>
  </si>
  <si>
    <t>1205_美术老师</t>
  </si>
  <si>
    <t>522627*******95216</t>
  </si>
  <si>
    <t>460200*******04029</t>
  </si>
  <si>
    <t>230502*******80725</t>
  </si>
  <si>
    <t>211002*******34814</t>
  </si>
  <si>
    <t>460003*******42258</t>
  </si>
  <si>
    <t>211282*******22221</t>
  </si>
  <si>
    <t>340826*******50810</t>
  </si>
  <si>
    <t>622801*******42034</t>
  </si>
  <si>
    <t>220722*******16871</t>
  </si>
  <si>
    <t>230502*******80018</t>
  </si>
  <si>
    <t>140202*******51524</t>
  </si>
  <si>
    <t>210422*******4252X</t>
  </si>
  <si>
    <t>140109*******35149</t>
  </si>
  <si>
    <t>460030*******0062X</t>
  </si>
  <si>
    <t>1209_生物老师</t>
  </si>
  <si>
    <t>460033*******75080</t>
  </si>
  <si>
    <t>460027*******0472X</t>
  </si>
  <si>
    <t>460007*******85788</t>
  </si>
  <si>
    <t>460034*******93028</t>
  </si>
  <si>
    <t>460003*******62107</t>
  </si>
  <si>
    <t>460025*******70022</t>
  </si>
  <si>
    <t>460003*******72821</t>
  </si>
  <si>
    <t>460200*******20286</t>
  </si>
  <si>
    <t>460003*******14620</t>
  </si>
  <si>
    <t>460007*******57240</t>
  </si>
  <si>
    <t>460027*******75927</t>
  </si>
  <si>
    <t>460025*******02167</t>
  </si>
  <si>
    <t>460028*******54428</t>
  </si>
  <si>
    <t>460027*******85927</t>
  </si>
  <si>
    <t>460006*******90629</t>
  </si>
  <si>
    <t>460007*******04140</t>
  </si>
  <si>
    <t>469007*******24963</t>
  </si>
  <si>
    <t>460028*******11225</t>
  </si>
  <si>
    <t>460033*******6418X</t>
  </si>
  <si>
    <t>460028*******32423</t>
  </si>
  <si>
    <t>460003*******84228</t>
  </si>
  <si>
    <t>460007*******07629</t>
  </si>
  <si>
    <t>460027*******22926</t>
  </si>
  <si>
    <t>460007*******95008</t>
  </si>
  <si>
    <t>460006*******35922</t>
  </si>
  <si>
    <t>460007*******44985</t>
  </si>
  <si>
    <t>460001*******20726</t>
  </si>
  <si>
    <t>460026*******50622</t>
  </si>
  <si>
    <t>460026*******30321</t>
  </si>
  <si>
    <t>460028*******21224</t>
  </si>
  <si>
    <t>460007*******75769</t>
  </si>
  <si>
    <t>460028*******36820</t>
  </si>
  <si>
    <t>460031*******56085</t>
  </si>
  <si>
    <t>460028*******42824</t>
  </si>
  <si>
    <t>460032*******57644</t>
  </si>
  <si>
    <t>460003*******84669</t>
  </si>
  <si>
    <t>460003*******06821</t>
  </si>
  <si>
    <t>460200*******14720</t>
  </si>
  <si>
    <t>1302_数学老师</t>
  </si>
  <si>
    <t>460003*******24237</t>
  </si>
  <si>
    <t>460200*******55526</t>
  </si>
  <si>
    <t>460033*******23243</t>
  </si>
  <si>
    <t>460003*******1418X</t>
  </si>
  <si>
    <t>460007*******95768</t>
  </si>
  <si>
    <t>460007*******53365</t>
  </si>
  <si>
    <t>460003*******8322X</t>
  </si>
  <si>
    <t>460300*******90014</t>
  </si>
  <si>
    <t>460007*******50420</t>
  </si>
  <si>
    <t>460003*******74043</t>
  </si>
  <si>
    <t>140421*******51613</t>
  </si>
  <si>
    <t>460033*******53880</t>
  </si>
  <si>
    <t>469007*******24960</t>
  </si>
  <si>
    <t>460031*******85222</t>
  </si>
  <si>
    <t>469007*******84999</t>
  </si>
  <si>
    <t>469007*******54965</t>
  </si>
  <si>
    <t>460003*******62441</t>
  </si>
  <si>
    <t>460028*******96438</t>
  </si>
  <si>
    <t>460003*******12642</t>
  </si>
  <si>
    <t>460007*******05436</t>
  </si>
  <si>
    <t>460007*******67227</t>
  </si>
  <si>
    <t>460026*******00928</t>
  </si>
  <si>
    <t>460003*******73223</t>
  </si>
  <si>
    <t>460033*******0484X</t>
  </si>
  <si>
    <t>469007*******14360</t>
  </si>
  <si>
    <t>460007*******8005X</t>
  </si>
  <si>
    <t>460003*******24865</t>
  </si>
  <si>
    <t>460003*******67424</t>
  </si>
  <si>
    <t>460003*******81417</t>
  </si>
  <si>
    <t>460027*******31715</t>
  </si>
  <si>
    <t>460022*******62123</t>
  </si>
  <si>
    <t>460007*******67225</t>
  </si>
  <si>
    <t>469027*******43227</t>
  </si>
  <si>
    <t>469027*******73224</t>
  </si>
  <si>
    <t>460300*******20621</t>
  </si>
  <si>
    <t>460033*******73242</t>
  </si>
  <si>
    <t>460032*******76246</t>
  </si>
  <si>
    <t>460028*******00442</t>
  </si>
  <si>
    <t>460200*******14466</t>
  </si>
  <si>
    <t>460007*******80049</t>
  </si>
  <si>
    <t>460033*******73286</t>
  </si>
  <si>
    <t>460033*******34185</t>
  </si>
  <si>
    <t>460028*******56078</t>
  </si>
  <si>
    <t>460007*******40021</t>
  </si>
  <si>
    <t>460200*******90522</t>
  </si>
  <si>
    <t>460003*******66640</t>
  </si>
  <si>
    <t>460200*******80048</t>
  </si>
  <si>
    <t>460007*******65023</t>
  </si>
  <si>
    <t>460031*******20063</t>
  </si>
  <si>
    <t>220102*******44243</t>
  </si>
  <si>
    <t>460007*******87249</t>
  </si>
  <si>
    <t>460007*******55771</t>
  </si>
  <si>
    <t>460028*******84438</t>
  </si>
  <si>
    <t>460003*******33240</t>
  </si>
  <si>
    <t>460007*******65776</t>
  </si>
  <si>
    <t>460028*******70844</t>
  </si>
  <si>
    <t>460007*******85380</t>
  </si>
  <si>
    <t>460007*******14142</t>
  </si>
  <si>
    <t>460033*******03883</t>
  </si>
  <si>
    <t>420116*******53026</t>
  </si>
  <si>
    <t>460007*******0762X</t>
  </si>
  <si>
    <t>460003*******44421</t>
  </si>
  <si>
    <t>622425*******63547</t>
  </si>
  <si>
    <t>460028*******20064</t>
  </si>
  <si>
    <t>460004*******82627</t>
  </si>
  <si>
    <t>460006*******14467</t>
  </si>
  <si>
    <t>460006*******53439</t>
  </si>
  <si>
    <t>460001*******50720</t>
  </si>
  <si>
    <t>460028*******54028</t>
  </si>
  <si>
    <t>1307_物理老师</t>
  </si>
  <si>
    <t>460028*******66423</t>
  </si>
  <si>
    <t>460003*******74658</t>
  </si>
  <si>
    <t>460026*******75121</t>
  </si>
  <si>
    <t>460033*******04485</t>
  </si>
  <si>
    <t>460007*******94964</t>
  </si>
  <si>
    <t>460007*******24997</t>
  </si>
  <si>
    <t>460028*******7725X</t>
  </si>
  <si>
    <t>460007*******8496X</t>
  </si>
  <si>
    <t>460033*******9332X</t>
  </si>
  <si>
    <t>460033*******16579</t>
  </si>
  <si>
    <t>460028*******80046</t>
  </si>
  <si>
    <t>460028*******43629</t>
  </si>
  <si>
    <t>460033*******14839</t>
  </si>
  <si>
    <t>460033*******83211</t>
  </si>
  <si>
    <t>460031*******80826</t>
  </si>
  <si>
    <t>460007*******35015</t>
  </si>
  <si>
    <t>460007*******00022</t>
  </si>
  <si>
    <t>460003*******54218</t>
  </si>
  <si>
    <t>469003*******06428</t>
  </si>
  <si>
    <t>460033*******83241</t>
  </si>
  <si>
    <t>460028*******40825</t>
  </si>
  <si>
    <t>460200*******51651</t>
  </si>
  <si>
    <t>460025*******23317</t>
  </si>
  <si>
    <t>460003*******14623</t>
  </si>
  <si>
    <t>460003*******02423</t>
  </si>
  <si>
    <t>370281*******80046</t>
  </si>
  <si>
    <t>460004*******65245</t>
  </si>
  <si>
    <t>460004*******72210</t>
  </si>
  <si>
    <t>460028*******46066</t>
  </si>
  <si>
    <t>460007*******02021</t>
  </si>
  <si>
    <t>460006*******65241</t>
  </si>
  <si>
    <t>460034*******92716</t>
  </si>
  <si>
    <t>460027*******94118</t>
  </si>
  <si>
    <t>460003*******42619</t>
  </si>
  <si>
    <t>460006*******04821</t>
  </si>
  <si>
    <t>460007*******55856</t>
  </si>
  <si>
    <t>460028*******53642</t>
  </si>
  <si>
    <t>460003*******62036</t>
  </si>
  <si>
    <t>460033*******53245</t>
  </si>
  <si>
    <t>460003*******83843</t>
  </si>
  <si>
    <t>460028*******0042X</t>
  </si>
  <si>
    <t>460102*******8182X</t>
  </si>
  <si>
    <t>469003*******85928</t>
  </si>
  <si>
    <t>460003*******77633</t>
  </si>
  <si>
    <t>469003*******52229</t>
  </si>
  <si>
    <t>460028*******4722X</t>
  </si>
  <si>
    <t>460007*******24968</t>
  </si>
  <si>
    <t>460027*******73729</t>
  </si>
  <si>
    <t>460003*******66612</t>
  </si>
  <si>
    <t>460007*******50025</t>
  </si>
  <si>
    <t>360782*******20012</t>
  </si>
  <si>
    <t>460007*******95009</t>
  </si>
  <si>
    <t>460007*******94694</t>
  </si>
  <si>
    <t>460033*******86877</t>
  </si>
  <si>
    <t>460026*******53044</t>
  </si>
  <si>
    <t>460200*******94696</t>
  </si>
  <si>
    <t>460200*******50515</t>
  </si>
  <si>
    <t>460003*******1482X</t>
  </si>
  <si>
    <t>469003*******25642</t>
  </si>
  <si>
    <t>460006*******54648</t>
  </si>
  <si>
    <t>460028*******50073</t>
  </si>
  <si>
    <t>460007*******17287</t>
  </si>
  <si>
    <t>630121*******20217</t>
  </si>
  <si>
    <t>469024*******05621</t>
  </si>
  <si>
    <t>460003*******97621</t>
  </si>
  <si>
    <t>460006*******22311</t>
  </si>
  <si>
    <t>460003*******73228</t>
  </si>
  <si>
    <t>460025*******72716</t>
  </si>
  <si>
    <t>460027*******72981</t>
  </si>
  <si>
    <t>460032*******87689</t>
  </si>
  <si>
    <t>460031*******65622</t>
  </si>
  <si>
    <t>460007*******64974</t>
  </si>
  <si>
    <t>460028*******28022</t>
  </si>
  <si>
    <t>460003*******81825</t>
  </si>
  <si>
    <t>460007*******75033</t>
  </si>
  <si>
    <t>460006*******98749</t>
  </si>
  <si>
    <t>460033*******25976</t>
  </si>
  <si>
    <t>430722*******44517</t>
  </si>
  <si>
    <t>460003*******42612</t>
  </si>
  <si>
    <t>460004*******70827</t>
  </si>
  <si>
    <t>460033*******63236</t>
  </si>
  <si>
    <t>460004*******15820</t>
  </si>
  <si>
    <t>469003*******06713</t>
  </si>
  <si>
    <t>460003*******11839</t>
  </si>
  <si>
    <t>460004*******3524X</t>
  </si>
  <si>
    <t>460033*******78340</t>
  </si>
  <si>
    <t>460033*******63260</t>
  </si>
  <si>
    <t>460003*******94026</t>
  </si>
  <si>
    <t>460104*******80029</t>
  </si>
  <si>
    <t>469007*******25785</t>
  </si>
  <si>
    <t>460003*******12820</t>
  </si>
  <si>
    <t>150103*******0061X</t>
  </si>
  <si>
    <t>460033*******63240</t>
  </si>
  <si>
    <t>460006*******24840</t>
  </si>
  <si>
    <t>460003*******50812</t>
  </si>
  <si>
    <t>460033*******96884</t>
  </si>
  <si>
    <t>469003*******53026</t>
  </si>
  <si>
    <t>460026*******5511X</t>
  </si>
  <si>
    <t>460032*******0763X</t>
  </si>
  <si>
    <t>460003*******74683</t>
  </si>
  <si>
    <t>460003*******5742X</t>
  </si>
  <si>
    <t>230804*******10018</t>
  </si>
  <si>
    <t>460006*******72748</t>
  </si>
  <si>
    <t>460007*******55038</t>
  </si>
  <si>
    <t>232126*******40020</t>
  </si>
  <si>
    <t>460003*******22061</t>
  </si>
  <si>
    <t>460033*******44504</t>
  </si>
  <si>
    <t>460031*******66442</t>
  </si>
  <si>
    <t>460006*******52026</t>
  </si>
  <si>
    <t>460034*******30425</t>
  </si>
  <si>
    <t>460006*******10465</t>
  </si>
  <si>
    <t>460007*******35874</t>
  </si>
  <si>
    <t>460027*******02924</t>
  </si>
  <si>
    <t>230182*******30028</t>
  </si>
  <si>
    <t>460026*******6124X</t>
  </si>
  <si>
    <t>460200*******3002X</t>
  </si>
  <si>
    <t>460028*******42428</t>
  </si>
  <si>
    <t>460028*******44824</t>
  </si>
  <si>
    <t>460026*******50014</t>
  </si>
  <si>
    <t>430481*******1339X</t>
  </si>
  <si>
    <t>460007*******10423</t>
  </si>
  <si>
    <t>460007*******47233</t>
  </si>
  <si>
    <t>510125*******53512</t>
  </si>
  <si>
    <t>210726*******26728</t>
  </si>
  <si>
    <t>460003*******11422</t>
  </si>
  <si>
    <t>460025*******51226</t>
  </si>
  <si>
    <t>460028*******72838</t>
  </si>
  <si>
    <t>460033*******14587</t>
  </si>
  <si>
    <t>460025*******54822</t>
  </si>
  <si>
    <t>460300*******4063X</t>
  </si>
  <si>
    <t>1308_化学老师</t>
  </si>
  <si>
    <t>460007*******20041</t>
  </si>
  <si>
    <t>460006*******54010</t>
  </si>
  <si>
    <t>460031*******7524X</t>
  </si>
  <si>
    <t>460028*******96828</t>
  </si>
  <si>
    <t>460007*******1764X</t>
  </si>
  <si>
    <t>460003*******72633</t>
  </si>
  <si>
    <t>460026*******23326</t>
  </si>
  <si>
    <t>460028*******80019</t>
  </si>
  <si>
    <t>460003*******72825</t>
  </si>
  <si>
    <t>460027*******31346</t>
  </si>
  <si>
    <t>469003*******57623</t>
  </si>
  <si>
    <t>460007*******10023</t>
  </si>
  <si>
    <t>460031*******94812</t>
  </si>
  <si>
    <t>460200*******84483</t>
  </si>
  <si>
    <t>469003*******52218</t>
  </si>
  <si>
    <t>460003*******12844</t>
  </si>
  <si>
    <t>460006*******41632</t>
  </si>
  <si>
    <t>460028*******97628</t>
  </si>
  <si>
    <t>460031*******57264</t>
  </si>
  <si>
    <t>460003*******64828</t>
  </si>
  <si>
    <t>460003*******22824</t>
  </si>
  <si>
    <t>469007*******27244</t>
  </si>
  <si>
    <t>460003*******43041</t>
  </si>
  <si>
    <t>460003*******14223</t>
  </si>
  <si>
    <t>460003*******03242</t>
  </si>
  <si>
    <t>460006*******84024</t>
  </si>
  <si>
    <t>460007*******07620</t>
  </si>
  <si>
    <t>460032*******6762X</t>
  </si>
  <si>
    <t>350784*******01516</t>
  </si>
  <si>
    <t>450923*******52027</t>
  </si>
  <si>
    <t>460007*******34687</t>
  </si>
  <si>
    <t>460028*******62420</t>
  </si>
  <si>
    <t>460007*******64120</t>
  </si>
  <si>
    <t>460033*******64829</t>
  </si>
  <si>
    <t>460006*******54033</t>
  </si>
  <si>
    <t>460028*******80064</t>
  </si>
  <si>
    <t>460028*******23240</t>
  </si>
  <si>
    <t>460200*******53140</t>
  </si>
  <si>
    <t>460033*******84540</t>
  </si>
  <si>
    <t>460003*******72448</t>
  </si>
  <si>
    <t>460007*******04985</t>
  </si>
  <si>
    <t>460004*******35657</t>
  </si>
  <si>
    <t>460007*******34668</t>
  </si>
  <si>
    <t>460006*******64028</t>
  </si>
  <si>
    <t>460027*******42921</t>
  </si>
  <si>
    <t>460006*******46228</t>
  </si>
  <si>
    <t>460006*******62723</t>
  </si>
  <si>
    <t>460003*******72628</t>
  </si>
  <si>
    <t>460003*******77660</t>
  </si>
  <si>
    <t>460033*******55085</t>
  </si>
  <si>
    <t>460028*******00046</t>
  </si>
  <si>
    <t>460004*******25229</t>
  </si>
  <si>
    <t>460033*******44847</t>
  </si>
  <si>
    <t>460033*******64485</t>
  </si>
  <si>
    <t>460003*******54228</t>
  </si>
  <si>
    <t>460007*******9536X</t>
  </si>
  <si>
    <t>460033*******30028</t>
  </si>
  <si>
    <t>460006*******40025</t>
  </si>
  <si>
    <t>460007*******50045</t>
  </si>
  <si>
    <t>460028*******26027</t>
  </si>
  <si>
    <t>460033*******13226</t>
  </si>
  <si>
    <t>460028*******66023</t>
  </si>
  <si>
    <t>460025*******02751</t>
  </si>
  <si>
    <t>460007*******27242</t>
  </si>
  <si>
    <t>460028*******54417</t>
  </si>
  <si>
    <t>460033*******43228</t>
  </si>
  <si>
    <t>460028*******20446</t>
  </si>
  <si>
    <t>460006*******52326</t>
  </si>
  <si>
    <t>460003*******17629</t>
  </si>
  <si>
    <t>460006*******87515</t>
  </si>
  <si>
    <t>460003*******82421</t>
  </si>
  <si>
    <t>460028*******05646</t>
  </si>
  <si>
    <t>469003*******85626</t>
  </si>
  <si>
    <t>460007*******04990</t>
  </si>
  <si>
    <t>460200*******1470X</t>
  </si>
  <si>
    <t>460033*******03585</t>
  </si>
  <si>
    <t>460004*******64048</t>
  </si>
  <si>
    <t>460027*******05941</t>
  </si>
  <si>
    <t>460028*******46082</t>
  </si>
  <si>
    <t>460200*******24447</t>
  </si>
  <si>
    <t>460006*******14825</t>
  </si>
  <si>
    <t>469026*******05226</t>
  </si>
  <si>
    <t>469007*******95363</t>
  </si>
  <si>
    <t>460006*******50627</t>
  </si>
  <si>
    <t>460102*******5155X</t>
  </si>
  <si>
    <t>460003*******00620</t>
  </si>
  <si>
    <t>460028*******25620</t>
  </si>
  <si>
    <t>460003*******22843</t>
  </si>
  <si>
    <t>460007*******25762</t>
  </si>
  <si>
    <t>460006*******43422</t>
  </si>
  <si>
    <t>460028*******35245</t>
  </si>
  <si>
    <t>460034*******45010</t>
  </si>
  <si>
    <t>460007*******80429</t>
  </si>
  <si>
    <t>460003*******52241</t>
  </si>
  <si>
    <t>460007*******57222</t>
  </si>
  <si>
    <t>460003*******91824</t>
  </si>
  <si>
    <t>460003*******14210</t>
  </si>
  <si>
    <t>460034*******54131</t>
  </si>
  <si>
    <t>460006*******42029</t>
  </si>
  <si>
    <t>460006*******38423</t>
  </si>
  <si>
    <t>1310_地理老师</t>
  </si>
  <si>
    <t>469027*******1718X</t>
  </si>
  <si>
    <t>460103*******22729</t>
  </si>
  <si>
    <t>460003*******63100</t>
  </si>
  <si>
    <t>460004*******95266</t>
  </si>
  <si>
    <t>469007*******57626</t>
  </si>
  <si>
    <t>460007*******00029</t>
  </si>
  <si>
    <t>460102*******02727</t>
  </si>
  <si>
    <t>460004*******56024</t>
  </si>
  <si>
    <t>460031*******76423</t>
  </si>
  <si>
    <t>460033*******53221</t>
  </si>
  <si>
    <t>460002*******44621</t>
  </si>
  <si>
    <t>460032*******06249</t>
  </si>
  <si>
    <t>460027*******44441</t>
  </si>
  <si>
    <t>460006*******73142</t>
  </si>
  <si>
    <t>460003*******24667</t>
  </si>
  <si>
    <t>460033*******63885</t>
  </si>
  <si>
    <t>460030*******70029</t>
  </si>
  <si>
    <t>460007*******8580X</t>
  </si>
  <si>
    <t>460032*******07681</t>
  </si>
  <si>
    <t>469007*******07645</t>
  </si>
  <si>
    <t>460004*******71240</t>
  </si>
  <si>
    <t>460104*******30921</t>
  </si>
  <si>
    <t>460103*******02729</t>
  </si>
  <si>
    <t>460003*******20026</t>
  </si>
  <si>
    <t>1311_历史老师</t>
  </si>
  <si>
    <t>460003*******82649</t>
  </si>
  <si>
    <t>460027*******92922</t>
  </si>
  <si>
    <t>460007*******1008X</t>
  </si>
  <si>
    <t>460003*******23823</t>
  </si>
  <si>
    <t>460003*******43822</t>
  </si>
  <si>
    <t>460025*******52454</t>
  </si>
  <si>
    <t>460200*******34449</t>
  </si>
  <si>
    <t>460200*******64700</t>
  </si>
  <si>
    <t>469007*******75760</t>
  </si>
  <si>
    <t>460003*******26041</t>
  </si>
  <si>
    <t>460028*******53232</t>
  </si>
  <si>
    <t>220402*******60029</t>
  </si>
  <si>
    <t>460003*******34682</t>
  </si>
  <si>
    <t>460003*******04042</t>
  </si>
  <si>
    <t>460033*******24841</t>
  </si>
  <si>
    <t>460033*******60400</t>
  </si>
  <si>
    <t>460030*******83329</t>
  </si>
  <si>
    <t>469005*******32725</t>
  </si>
  <si>
    <t>460003*******33481</t>
  </si>
  <si>
    <t>460006*******5402X</t>
  </si>
  <si>
    <t>460033*******84860</t>
  </si>
  <si>
    <t>1312_政治老师</t>
  </si>
  <si>
    <t>460033*******23902</t>
  </si>
  <si>
    <t>460104*******60012</t>
  </si>
  <si>
    <t>460027*******1413X</t>
  </si>
  <si>
    <t>460200*******24444</t>
  </si>
  <si>
    <t>460003*******35429</t>
  </si>
  <si>
    <t>460004*******70429</t>
  </si>
  <si>
    <t>460004*******60020</t>
  </si>
  <si>
    <t>460003*******56668</t>
  </si>
  <si>
    <t>460026*******50946</t>
  </si>
  <si>
    <t>460300*******60324</t>
  </si>
  <si>
    <t>460003*******51020</t>
  </si>
  <si>
    <t>460006*******33424</t>
  </si>
  <si>
    <t>460006*******82345</t>
  </si>
  <si>
    <t>460003*******88827</t>
  </si>
  <si>
    <t>460102*******81849</t>
  </si>
  <si>
    <t>460031*******66440</t>
  </si>
  <si>
    <t>460030*******0422X</t>
  </si>
  <si>
    <t>460200*******20028</t>
  </si>
  <si>
    <t>469007*******37252</t>
  </si>
  <si>
    <t>469003*******22223</t>
  </si>
  <si>
    <t>460003*******55449</t>
  </si>
  <si>
    <t>460007*******37227</t>
  </si>
  <si>
    <t>460034*******80483</t>
  </si>
  <si>
    <t>460006*******28121</t>
  </si>
  <si>
    <t>460028*******90847</t>
  </si>
  <si>
    <t>460028*******8282X</t>
  </si>
  <si>
    <t>460003*******86047</t>
  </si>
  <si>
    <t>460007*******10025</t>
  </si>
  <si>
    <t>460007*******13366</t>
  </si>
  <si>
    <t>460027*******37329</t>
  </si>
  <si>
    <t>460033*******14474</t>
  </si>
  <si>
    <t>469026*******55228</t>
  </si>
  <si>
    <t>460003*******75823</t>
  </si>
  <si>
    <t>460007*******07294</t>
  </si>
  <si>
    <t>460007*******85766</t>
  </si>
  <si>
    <t>460003*******56224</t>
  </si>
  <si>
    <t>460003*******34621</t>
  </si>
  <si>
    <t>460003*******53429</t>
  </si>
  <si>
    <t>460022*******65827</t>
  </si>
  <si>
    <t>460028*******06865</t>
  </si>
  <si>
    <t>460033*******66282</t>
  </si>
  <si>
    <t>460104*******40941</t>
  </si>
  <si>
    <t>460102*******01848</t>
  </si>
  <si>
    <t>460200*******14444</t>
  </si>
  <si>
    <t>460007*******60841</t>
  </si>
  <si>
    <t>460003*******3764X</t>
  </si>
  <si>
    <t>460200*******84460</t>
  </si>
  <si>
    <t>469023*******82920</t>
  </si>
  <si>
    <t>460004*******66041</t>
  </si>
  <si>
    <t>460003*******11828</t>
  </si>
  <si>
    <t>522427*******62100</t>
  </si>
  <si>
    <t>460036*******56822</t>
  </si>
  <si>
    <t>460003*******04629</t>
  </si>
  <si>
    <t>460007*******96821</t>
  </si>
  <si>
    <t>460200*******4188X</t>
  </si>
  <si>
    <t>460031*******93629</t>
  </si>
  <si>
    <t>445221*******71224</t>
  </si>
  <si>
    <t>460003*******82925</t>
  </si>
  <si>
    <t>460003*******14640</t>
  </si>
  <si>
    <t>460026*******20047</t>
  </si>
  <si>
    <t>460200*******25722</t>
  </si>
  <si>
    <t>460007*******66814</t>
  </si>
  <si>
    <t>460003*******65448</t>
  </si>
  <si>
    <t>460200*******54700</t>
  </si>
  <si>
    <t>460007*******74660</t>
  </si>
  <si>
    <t>460026*******50023</t>
  </si>
  <si>
    <t>460036*******60426</t>
  </si>
  <si>
    <t>460033*******4328X</t>
  </si>
  <si>
    <t>460003*******76627</t>
  </si>
  <si>
    <t>460104*******70924</t>
  </si>
  <si>
    <t>460007*******24969</t>
  </si>
  <si>
    <t>460007*******20025</t>
  </si>
  <si>
    <t>460003*******96029</t>
  </si>
  <si>
    <t>460003*******82829</t>
  </si>
  <si>
    <t>460007*******4496X</t>
  </si>
  <si>
    <t>460003*******42228</t>
  </si>
  <si>
    <t>469027*******81783</t>
  </si>
  <si>
    <t>460031*******36427</t>
  </si>
  <si>
    <t>460033*******90047</t>
  </si>
  <si>
    <t>460007*******05760</t>
  </si>
  <si>
    <t>460003*******67709</t>
  </si>
  <si>
    <t>460031*******05623</t>
  </si>
  <si>
    <t>460200*******94445</t>
  </si>
  <si>
    <t>460033*******63587</t>
  </si>
  <si>
    <t>460028*******00507</t>
  </si>
  <si>
    <t>440881*******15740</t>
  </si>
  <si>
    <t>460033*******23582</t>
  </si>
  <si>
    <t>460022*******83520</t>
  </si>
  <si>
    <t>460034*******20023</t>
  </si>
  <si>
    <t>460032*******57649</t>
  </si>
  <si>
    <t>469024*******80024</t>
  </si>
  <si>
    <t>460007*******25360</t>
  </si>
  <si>
    <t>460027*******50620</t>
  </si>
  <si>
    <t>469003*******15027</t>
  </si>
  <si>
    <t>469003*******16128</t>
  </si>
  <si>
    <t>460003*******83048</t>
  </si>
  <si>
    <t>460003*******14286</t>
  </si>
  <si>
    <t>469003*******66720</t>
  </si>
  <si>
    <t>460003*******20827</t>
  </si>
  <si>
    <t>460032*******76206</t>
  </si>
  <si>
    <t>460003*******4382X</t>
  </si>
  <si>
    <t>460003*******87229</t>
  </si>
  <si>
    <t>460033*******86582</t>
  </si>
  <si>
    <t>460003*******32027</t>
  </si>
  <si>
    <t>460034*******31829</t>
  </si>
  <si>
    <t>460200*******0446X</t>
  </si>
  <si>
    <t>460003*******20625</t>
  </si>
  <si>
    <t>460003*******83224</t>
  </si>
  <si>
    <t>469003*******82224</t>
  </si>
  <si>
    <t>460003*******13446</t>
  </si>
  <si>
    <t>460200*******54709</t>
  </si>
  <si>
    <t>460007*******97225</t>
  </si>
  <si>
    <t>460007*******34969</t>
  </si>
  <si>
    <t>460033*******93267</t>
  </si>
  <si>
    <t>460028*******70446</t>
  </si>
  <si>
    <t>460005*******53921</t>
  </si>
  <si>
    <t>460007*******95767</t>
  </si>
  <si>
    <t>460003*******24463</t>
  </si>
  <si>
    <t>460003*******91628</t>
  </si>
  <si>
    <t>460032*******7902X</t>
  </si>
  <si>
    <t>460032*******06160</t>
  </si>
  <si>
    <t>460003*******64226</t>
  </si>
  <si>
    <t>460200*******14702</t>
  </si>
  <si>
    <t>460104*******41525</t>
  </si>
  <si>
    <t>460028*******46828</t>
  </si>
  <si>
    <t>460002*******46625</t>
  </si>
  <si>
    <t>460003*******66627</t>
  </si>
  <si>
    <t>460003*******87620</t>
  </si>
  <si>
    <t>460033*******71482</t>
  </si>
  <si>
    <t>460034*******10028</t>
  </si>
  <si>
    <t>460031*******74826</t>
  </si>
  <si>
    <t>460003*******87640</t>
  </si>
  <si>
    <t>460033*******51520</t>
  </si>
  <si>
    <t>460007*******10022</t>
  </si>
  <si>
    <t>460003*******27625</t>
  </si>
  <si>
    <t>460031*******60824</t>
  </si>
  <si>
    <t>460004*******81822</t>
  </si>
  <si>
    <t>460004*******13820</t>
  </si>
  <si>
    <t>460033*******53287</t>
  </si>
  <si>
    <t>460003*******13841</t>
  </si>
  <si>
    <t>460027*******72329</t>
  </si>
  <si>
    <t>460004*******93422</t>
  </si>
  <si>
    <t>460200*******14224</t>
  </si>
  <si>
    <t>460003*******50826</t>
  </si>
  <si>
    <t>460003*******33427</t>
  </si>
  <si>
    <t>460007*******80845</t>
  </si>
  <si>
    <t>460033*******83246</t>
  </si>
  <si>
    <t>469003*******55620</t>
  </si>
  <si>
    <t>460003*******84066</t>
  </si>
  <si>
    <t>460003*******9386X</t>
  </si>
  <si>
    <t>460033*******14860</t>
  </si>
  <si>
    <t>460033*******90023</t>
  </si>
  <si>
    <t>460031*******54028</t>
  </si>
  <si>
    <t>460007*******40041</t>
  </si>
  <si>
    <t>460007*******20029</t>
  </si>
  <si>
    <t>460006*******01648</t>
  </si>
  <si>
    <t>460003*******52228</t>
  </si>
  <si>
    <t>1409_生物老师</t>
  </si>
  <si>
    <t>460031*******05243</t>
  </si>
  <si>
    <t>460033*******94489</t>
  </si>
  <si>
    <t>460300*******10627</t>
  </si>
  <si>
    <t>150425*******51466</t>
  </si>
  <si>
    <t>460026*******63041</t>
  </si>
  <si>
    <t>460007*******20866</t>
  </si>
  <si>
    <t>460006*******44629</t>
  </si>
  <si>
    <t>460007*******44987</t>
  </si>
  <si>
    <t>460200*******34727</t>
  </si>
  <si>
    <t>460007*******65001</t>
  </si>
  <si>
    <t>460030*******85428</t>
  </si>
  <si>
    <t>460007*******25888</t>
  </si>
  <si>
    <t>460027*******86223</t>
  </si>
  <si>
    <t>460033*******33226</t>
  </si>
  <si>
    <t>460027*******13421</t>
  </si>
  <si>
    <t>460007*******52084</t>
  </si>
  <si>
    <t>469007*******97223</t>
  </si>
  <si>
    <t>460028*******66842</t>
  </si>
  <si>
    <t>460036*******56823</t>
  </si>
  <si>
    <t>341227*******24041</t>
  </si>
  <si>
    <t>469003*******12221</t>
  </si>
  <si>
    <t>460007*******20020</t>
  </si>
  <si>
    <t>460007*******04368</t>
  </si>
  <si>
    <t>460003*******57649</t>
  </si>
  <si>
    <t>522124*******62883</t>
  </si>
  <si>
    <t>460031*******56813</t>
  </si>
  <si>
    <t>460007*******00024</t>
  </si>
  <si>
    <t>460004*******90622</t>
  </si>
  <si>
    <t>460007*******3536X</t>
  </si>
  <si>
    <t>460031*******11227</t>
  </si>
  <si>
    <t>460200*******5444X</t>
  </si>
  <si>
    <t>460028*******67620</t>
  </si>
  <si>
    <t>460028*******24446</t>
  </si>
  <si>
    <t>460031*******35646</t>
  </si>
  <si>
    <t>230381*******52026</t>
  </si>
  <si>
    <t>460007*******97224</t>
  </si>
  <si>
    <t>460031*******17213</t>
  </si>
  <si>
    <t>654301*******45529</t>
  </si>
  <si>
    <t>460004*******64844</t>
  </si>
  <si>
    <t>220381*******41421</t>
  </si>
  <si>
    <t>460033*******94485</t>
  </si>
  <si>
    <t>460007*******60037</t>
  </si>
  <si>
    <t>460006*******04062</t>
  </si>
  <si>
    <t>513002*******59824</t>
  </si>
  <si>
    <t>460007*******00840</t>
  </si>
  <si>
    <t>460004*******44061</t>
  </si>
  <si>
    <t>460027*******06226</t>
  </si>
  <si>
    <t>460003*******87661</t>
  </si>
  <si>
    <t>460028*******46026</t>
  </si>
  <si>
    <t>460004*******1094X</t>
  </si>
  <si>
    <t>460104*******30960</t>
  </si>
  <si>
    <t>460027*******7472X</t>
  </si>
  <si>
    <t>460007*******05780</t>
  </si>
  <si>
    <t>460003*******62648</t>
  </si>
  <si>
    <t>230302*******25323</t>
  </si>
  <si>
    <t>460003*******82623</t>
  </si>
  <si>
    <t>460026*******73043</t>
  </si>
  <si>
    <t>460027*******0474X</t>
  </si>
  <si>
    <t>460027*******22921</t>
  </si>
  <si>
    <t>460003*******14227</t>
  </si>
  <si>
    <t>460028*******87227</t>
  </si>
  <si>
    <t>460032*******24365</t>
  </si>
  <si>
    <t>460033*******43222</t>
  </si>
  <si>
    <t>632126*******10063</t>
  </si>
  <si>
    <t>460007*******7729X</t>
  </si>
  <si>
    <t>460030*******20017</t>
  </si>
  <si>
    <t>1410_地理老师</t>
  </si>
  <si>
    <t>460030*******41827</t>
  </si>
  <si>
    <t>460003*******62229</t>
  </si>
  <si>
    <t>460028*******36836</t>
  </si>
  <si>
    <t>469007*******34977</t>
  </si>
  <si>
    <t>460032*******10823</t>
  </si>
  <si>
    <t>460032*******0764X</t>
  </si>
  <si>
    <t>460007*******64991</t>
  </si>
  <si>
    <t>460001*******70716</t>
  </si>
  <si>
    <t>460007*******8578X</t>
  </si>
  <si>
    <t>460028*******00041</t>
  </si>
  <si>
    <t>469007*******6496X</t>
  </si>
  <si>
    <t>460006*******02727</t>
  </si>
  <si>
    <t>460007*******87233</t>
  </si>
  <si>
    <t>460027*******10407</t>
  </si>
  <si>
    <t>460003*******24224</t>
  </si>
  <si>
    <t>460007*******65004</t>
  </si>
  <si>
    <t>460003*******24822</t>
  </si>
  <si>
    <t>460034*******40441</t>
  </si>
  <si>
    <t>460007*******0721X</t>
  </si>
  <si>
    <t>460028*******50901</t>
  </si>
  <si>
    <t>460033*******84708</t>
  </si>
  <si>
    <t>1505_美术老师</t>
  </si>
  <si>
    <t>460003*******62430</t>
  </si>
  <si>
    <t>620423*******51013</t>
  </si>
  <si>
    <t>460032*******66186</t>
  </si>
  <si>
    <t>230623*******10237</t>
  </si>
  <si>
    <t>420704*******70064</t>
  </si>
  <si>
    <t>412821*******11520</t>
  </si>
  <si>
    <t>460004*******33017</t>
  </si>
  <si>
    <t>460006*******15921</t>
  </si>
  <si>
    <t>460033*******2484X</t>
  </si>
  <si>
    <t>460034*******45823</t>
  </si>
  <si>
    <t>420111*******74022</t>
  </si>
  <si>
    <t>460200*******24466</t>
  </si>
  <si>
    <t>460003*******67612</t>
  </si>
  <si>
    <t>460004*******14272</t>
  </si>
  <si>
    <t>420202*******01222</t>
  </si>
  <si>
    <t>130828*******84420</t>
  </si>
  <si>
    <t>1506_音乐老师</t>
  </si>
  <si>
    <t>460025*******10028</t>
  </si>
  <si>
    <t>460027*******42624</t>
  </si>
  <si>
    <t>460033*******13888</t>
  </si>
  <si>
    <t>460001*******10744</t>
  </si>
  <si>
    <t>460022*******40016</t>
  </si>
  <si>
    <t>460006*******47829</t>
  </si>
  <si>
    <t>430722*******00020</t>
  </si>
  <si>
    <t>653125*******73641</t>
  </si>
  <si>
    <t>231084*******11521</t>
  </si>
  <si>
    <t>130502*******30028</t>
  </si>
  <si>
    <t>620105*******32021</t>
  </si>
  <si>
    <t>230903*******71128</t>
  </si>
  <si>
    <t>230828*******50024</t>
  </si>
  <si>
    <t>1509_生物老师</t>
  </si>
  <si>
    <t>460007*******04661</t>
  </si>
  <si>
    <t>460034*******23663</t>
  </si>
  <si>
    <t>460026*******1002X</t>
  </si>
  <si>
    <t>460007*******24966</t>
  </si>
  <si>
    <t>460026*******00621</t>
  </si>
  <si>
    <t>460033*******53884</t>
  </si>
  <si>
    <t>460025*******43329</t>
  </si>
  <si>
    <t>460026*******80028</t>
  </si>
  <si>
    <t>460007*******70059</t>
  </si>
  <si>
    <t>460007*******47240</t>
  </si>
  <si>
    <t>460003*******84082</t>
  </si>
  <si>
    <t>460200*******53363</t>
  </si>
  <si>
    <t>460032*******77668</t>
  </si>
  <si>
    <t>460103*******42726</t>
  </si>
  <si>
    <t>460033*******94481</t>
  </si>
  <si>
    <t>460033*******63583</t>
  </si>
  <si>
    <t>460007*******20047</t>
  </si>
  <si>
    <t>460007*******57226</t>
  </si>
  <si>
    <t>460007*******6624X</t>
  </si>
  <si>
    <t>460027*******96611</t>
  </si>
  <si>
    <t>460033*******43908</t>
  </si>
  <si>
    <t>460033*******84845</t>
  </si>
  <si>
    <t>460007*******35007</t>
  </si>
  <si>
    <t>460026*******61523</t>
  </si>
  <si>
    <t>460027*******34180</t>
  </si>
  <si>
    <t>460033*******75089</t>
  </si>
  <si>
    <t>440825*******73461</t>
  </si>
  <si>
    <t>460007*******46161</t>
  </si>
  <si>
    <t>469007*******85001</t>
  </si>
  <si>
    <t>460007*******70028</t>
  </si>
  <si>
    <t>460028*******45225</t>
  </si>
  <si>
    <t>1510_地理老师</t>
  </si>
  <si>
    <t>460004*******45626</t>
  </si>
  <si>
    <t>460026*******72725</t>
  </si>
  <si>
    <t>460007*******50026</t>
  </si>
  <si>
    <t>460033*******64500</t>
  </si>
  <si>
    <t>460035*******62524</t>
  </si>
  <si>
    <t>460003*******82423</t>
  </si>
  <si>
    <t>460007*******04664</t>
  </si>
  <si>
    <t>469007*******24391</t>
  </si>
  <si>
    <t>460200*******23824</t>
  </si>
  <si>
    <t>460030*******66029</t>
  </si>
  <si>
    <t>460030*******21523</t>
  </si>
  <si>
    <t>460007*******1682X</t>
  </si>
  <si>
    <t>460028*******33624</t>
  </si>
  <si>
    <t>460007*******07241</t>
  </si>
  <si>
    <t>460104*******00987</t>
  </si>
  <si>
    <t>460027*******96627</t>
  </si>
  <si>
    <t>460007*******07244</t>
  </si>
  <si>
    <t>460033*******23224</t>
  </si>
  <si>
    <t>460033*******91783</t>
  </si>
  <si>
    <t>460032*******97617</t>
  </si>
  <si>
    <t>460033*******04540</t>
  </si>
  <si>
    <t>1609_生物老师</t>
  </si>
  <si>
    <t>460007*******27612</t>
  </si>
  <si>
    <t>460007*******77225</t>
  </si>
  <si>
    <t>460003*******5702X</t>
  </si>
  <si>
    <t>460003*******77411</t>
  </si>
  <si>
    <t>460033*******53223</t>
  </si>
  <si>
    <t>460033*******87188</t>
  </si>
  <si>
    <t>460002*******31224</t>
  </si>
  <si>
    <t>460006*******42323</t>
  </si>
  <si>
    <t>460200*******73422</t>
  </si>
  <si>
    <t>460033*******23884</t>
  </si>
  <si>
    <t>460007*******07243</t>
  </si>
  <si>
    <t>460026*******80325</t>
  </si>
  <si>
    <t>469023*******10023</t>
  </si>
  <si>
    <t>460025*******32743</t>
  </si>
  <si>
    <t>460007*******04384</t>
  </si>
  <si>
    <t>460007*******60010</t>
  </si>
  <si>
    <t>460200*******73821</t>
  </si>
  <si>
    <t>460003*******10214</t>
  </si>
  <si>
    <t>232321*******10933</t>
  </si>
  <si>
    <t>460033*******04549</t>
  </si>
  <si>
    <t>460033*******25083</t>
  </si>
  <si>
    <t>460003*******72627</t>
  </si>
  <si>
    <t>460003*******1462X</t>
  </si>
  <si>
    <t>460006*******51500</t>
  </si>
  <si>
    <t>460028*******96022</t>
  </si>
  <si>
    <t>460028*******3522X</t>
  </si>
  <si>
    <t>460007*******84380</t>
  </si>
  <si>
    <t>460026*******43069</t>
  </si>
  <si>
    <t>460026*******9512X</t>
  </si>
  <si>
    <t>1611_历史老师</t>
  </si>
  <si>
    <t>460006*******52328</t>
  </si>
  <si>
    <t>460003*******72621</t>
  </si>
  <si>
    <t>460003*******52467</t>
  </si>
  <si>
    <t>460003*******54149</t>
  </si>
  <si>
    <t>460027*******55945</t>
  </si>
  <si>
    <t>460007*******99020</t>
  </si>
  <si>
    <t>460004*******54887</t>
  </si>
  <si>
    <t>460007*******34667</t>
  </si>
  <si>
    <t>460007*******97219</t>
  </si>
  <si>
    <t>460200*******30015</t>
  </si>
  <si>
    <t>460033*******83909</t>
  </si>
  <si>
    <t>460003*******67638</t>
  </si>
  <si>
    <t>460033*******57167</t>
  </si>
  <si>
    <t>460003*******17421</t>
  </si>
  <si>
    <t>460200*******11666</t>
  </si>
  <si>
    <t>460007*******24977</t>
  </si>
  <si>
    <t>460028*******46020</t>
  </si>
  <si>
    <t>460001*******01022</t>
  </si>
  <si>
    <t>460003*******96066</t>
  </si>
  <si>
    <t>460007*******97226</t>
  </si>
  <si>
    <t>460200*******45714</t>
  </si>
  <si>
    <t>460007*******14974</t>
  </si>
  <si>
    <t>460032*******8082X</t>
  </si>
  <si>
    <t>460007*******85015</t>
  </si>
  <si>
    <t>1703_英语老师</t>
  </si>
  <si>
    <t>460027*******12915</t>
  </si>
  <si>
    <t>460003*******1262X</t>
  </si>
  <si>
    <t>620121*******13144</t>
  </si>
  <si>
    <t>460033*******8332X</t>
  </si>
  <si>
    <t>460033*******24801</t>
  </si>
  <si>
    <t>460007*******57243</t>
  </si>
  <si>
    <t>460200*******7446X</t>
  </si>
  <si>
    <t>460033*******43265</t>
  </si>
  <si>
    <t>460004*******20022</t>
  </si>
  <si>
    <t>460003*******94040</t>
  </si>
  <si>
    <t>460104*******7124X</t>
  </si>
  <si>
    <t>460007*******97227</t>
  </si>
  <si>
    <t>460003*******04268</t>
  </si>
  <si>
    <t>469026*******8524X</t>
  </si>
  <si>
    <t>460006*******14664</t>
  </si>
  <si>
    <t>652923*******50029</t>
  </si>
  <si>
    <t>1708_化学老师</t>
  </si>
  <si>
    <t>460007*******94987</t>
  </si>
  <si>
    <t>460028*******80846</t>
  </si>
  <si>
    <t>431127*******01526</t>
  </si>
  <si>
    <t>469007*******67265</t>
  </si>
  <si>
    <t>460007*******44366</t>
  </si>
  <si>
    <t>460007*******95801</t>
  </si>
  <si>
    <t>460007*******05805</t>
  </si>
  <si>
    <t>460032*******66179</t>
  </si>
  <si>
    <t>460007*******03360</t>
  </si>
  <si>
    <t>460028*******87284</t>
  </si>
  <si>
    <t>460003*******62249</t>
  </si>
  <si>
    <t>460007*******50023</t>
  </si>
  <si>
    <t>460007*******80825</t>
  </si>
  <si>
    <t>460003*******97624</t>
  </si>
  <si>
    <t>460028*******40021</t>
  </si>
  <si>
    <t>460006*******24826</t>
  </si>
  <si>
    <t>460003*******24657</t>
  </si>
  <si>
    <t>460007*******07249</t>
  </si>
  <si>
    <t>441581*******02661</t>
  </si>
  <si>
    <t>460007*******64989</t>
  </si>
  <si>
    <t>469003*******5672X</t>
  </si>
  <si>
    <t>460031*******74820</t>
  </si>
  <si>
    <t>460007*******45823</t>
  </si>
  <si>
    <t>460027*******00420</t>
  </si>
  <si>
    <t>460004*******82422</t>
  </si>
  <si>
    <t>460028*******02427</t>
  </si>
  <si>
    <t>460003*******77702</t>
  </si>
  <si>
    <t>469026*******85210</t>
  </si>
  <si>
    <t>460028*******86845</t>
  </si>
  <si>
    <t>460007*******57261</t>
  </si>
  <si>
    <t>460007*******45371</t>
  </si>
  <si>
    <t>460200*******43828</t>
  </si>
  <si>
    <t>460027*******66622</t>
  </si>
  <si>
    <t>460006*******02342</t>
  </si>
  <si>
    <t>460003*******62882</t>
  </si>
  <si>
    <t>460007*******84961</t>
  </si>
  <si>
    <t>460003*******44624</t>
  </si>
  <si>
    <t>460028*******87622</t>
  </si>
  <si>
    <t>460031*******75621</t>
  </si>
  <si>
    <t>460033*******04901</t>
  </si>
  <si>
    <t>460005*******54128</t>
  </si>
  <si>
    <t>460003*******02870</t>
  </si>
  <si>
    <t>460033*******94194</t>
  </si>
  <si>
    <t>460032*******67649</t>
  </si>
  <si>
    <t>460102*******62420</t>
  </si>
  <si>
    <t>460007*******25784</t>
  </si>
  <si>
    <t>460003*******52423</t>
  </si>
  <si>
    <t>469003*******26427</t>
  </si>
  <si>
    <t>341322*******66822</t>
  </si>
  <si>
    <t>460003*******03043</t>
  </si>
  <si>
    <t>460029*******97624</t>
  </si>
  <si>
    <t>460033*******4597X</t>
  </si>
  <si>
    <t>1804_舞蹈老师</t>
  </si>
  <si>
    <t>460025*******50021</t>
  </si>
  <si>
    <t>460003*******51817</t>
  </si>
  <si>
    <t>460003*******73019</t>
  </si>
  <si>
    <t>500221*******30623</t>
  </si>
  <si>
    <t>460025*******3122X</t>
  </si>
  <si>
    <t>460034*******12740</t>
  </si>
  <si>
    <t>610103*******7282X</t>
  </si>
  <si>
    <t>460200*******4142X</t>
  </si>
  <si>
    <t>460025*******40037</t>
  </si>
  <si>
    <t>460031*******3522X</t>
  </si>
  <si>
    <t>460022*******70326</t>
  </si>
  <si>
    <t>460003*******20826</t>
  </si>
  <si>
    <t>1812_政治老师</t>
  </si>
  <si>
    <t>460033*******23247</t>
  </si>
  <si>
    <t>460007*******44960</t>
  </si>
  <si>
    <t>460003*******53069</t>
  </si>
  <si>
    <t>469025*******25425</t>
  </si>
  <si>
    <t>460033*******75980</t>
  </si>
  <si>
    <t>460036*******20020</t>
  </si>
  <si>
    <t>460007*******40421</t>
  </si>
  <si>
    <t>460007*******55762</t>
  </si>
  <si>
    <t>460300*******80026</t>
  </si>
  <si>
    <t>460003*******44088</t>
  </si>
  <si>
    <t>460103*******52721</t>
  </si>
  <si>
    <t>460004*******64045</t>
  </si>
  <si>
    <t>460003*******32221</t>
  </si>
  <si>
    <t>469007*******34963</t>
  </si>
  <si>
    <t>460200*******51660</t>
  </si>
  <si>
    <t>460007*******34128</t>
  </si>
  <si>
    <t>460027*******54425</t>
  </si>
  <si>
    <t>460033*******64783</t>
  </si>
  <si>
    <t>460022*******40327</t>
  </si>
  <si>
    <t>460007*******85809</t>
  </si>
  <si>
    <t>460007*******72043</t>
  </si>
  <si>
    <t>460003*******82269</t>
  </si>
  <si>
    <t>460003*******74247</t>
  </si>
  <si>
    <t>460006*******57829</t>
  </si>
  <si>
    <t>460003*******22740</t>
  </si>
  <si>
    <t>460006*******10940</t>
  </si>
  <si>
    <t>460007*******40022</t>
  </si>
  <si>
    <t>460003*******66224</t>
  </si>
  <si>
    <t>469007*******00021</t>
  </si>
  <si>
    <t>460007*******25369</t>
  </si>
  <si>
    <t>460033*******57806</t>
  </si>
  <si>
    <t>220323*******36312</t>
  </si>
  <si>
    <t>460200*******63843</t>
  </si>
  <si>
    <t>460102*******50920</t>
  </si>
  <si>
    <t>460004*******90848</t>
  </si>
  <si>
    <t>460003*******13820</t>
  </si>
  <si>
    <t>460003*******10249</t>
  </si>
  <si>
    <t>460003*******52867</t>
  </si>
  <si>
    <t>460007*******80023</t>
  </si>
  <si>
    <t>460007*******90821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</si>
</sst>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77"/>
  <sheetViews>
    <sheetView tabSelected="1" workbookViewId="0">
      <selection activeCell="A2" sqref="A2:H2"/>
    </sheetView>
  </sheetViews>
  <sheetFormatPr defaultColWidth="9" defaultRowHeight="13.5" outlineLevelCol="7"/>
  <cols>
    <col min="1" max="1" width="6.375" style="3" customWidth="1"/>
    <col min="2" max="2" width="29.625" style="3" customWidth="1"/>
    <col min="3" max="3" width="16.375" style="3" customWidth="1"/>
    <col min="4" max="4" width="12.375" style="3" customWidth="1"/>
    <col min="5" max="5" width="9" style="3"/>
    <col min="6" max="6" width="26.5" style="3" customWidth="1"/>
    <col min="7" max="7" width="17" style="3" customWidth="1"/>
    <col min="8" max="16384" width="9" style="3"/>
  </cols>
  <sheetData>
    <row r="1" s="1" customFormat="1" ht="18" customHeight="1" spans="1:1">
      <c r="A1" s="1" t="s">
        <v>0</v>
      </c>
    </row>
    <row r="2" s="2" customFormat="1" ht="39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3" customFormat="1" ht="6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3" customFormat="1" ht="14.25" customHeight="1" spans="1:8">
      <c r="A4" s="7">
        <v>1</v>
      </c>
      <c r="B4" s="7" t="str">
        <f>"114020200328093157157209"</f>
        <v>114020200328093157157209</v>
      </c>
      <c r="C4" s="7" t="s">
        <v>10</v>
      </c>
      <c r="D4" s="7" t="str">
        <f>"张静"</f>
        <v>张静</v>
      </c>
      <c r="E4" s="7" t="str">
        <f t="shared" ref="E4:E15" si="0">"女"</f>
        <v>女</v>
      </c>
      <c r="F4" s="7" t="s">
        <v>11</v>
      </c>
      <c r="G4" s="7" t="s">
        <v>12</v>
      </c>
      <c r="H4" s="7"/>
    </row>
    <row r="5" s="3" customFormat="1" ht="14.25" customHeight="1" spans="1:8">
      <c r="A5" s="7">
        <v>2</v>
      </c>
      <c r="B5" s="7" t="str">
        <f>"114020200328104527157386"</f>
        <v>114020200328104527157386</v>
      </c>
      <c r="C5" s="7" t="s">
        <v>10</v>
      </c>
      <c r="D5" s="7" t="str">
        <f>"柯婷婷"</f>
        <v>柯婷婷</v>
      </c>
      <c r="E5" s="7" t="str">
        <f t="shared" si="0"/>
        <v>女</v>
      </c>
      <c r="F5" s="7" t="s">
        <v>13</v>
      </c>
      <c r="G5" s="7" t="s">
        <v>12</v>
      </c>
      <c r="H5" s="7"/>
    </row>
    <row r="6" s="3" customFormat="1" ht="14.25" customHeight="1" spans="1:8">
      <c r="A6" s="7">
        <v>3</v>
      </c>
      <c r="B6" s="7" t="str">
        <f>"114020200328114157157501"</f>
        <v>114020200328114157157501</v>
      </c>
      <c r="C6" s="7" t="s">
        <v>10</v>
      </c>
      <c r="D6" s="7" t="str">
        <f>"黄欢"</f>
        <v>黄欢</v>
      </c>
      <c r="E6" s="7" t="str">
        <f t="shared" si="0"/>
        <v>女</v>
      </c>
      <c r="F6" s="7" t="s">
        <v>14</v>
      </c>
      <c r="G6" s="7" t="s">
        <v>12</v>
      </c>
      <c r="H6" s="7"/>
    </row>
    <row r="7" s="3" customFormat="1" ht="14.25" customHeight="1" spans="1:8">
      <c r="A7" s="7">
        <v>4</v>
      </c>
      <c r="B7" s="7" t="str">
        <f>"114020200329211229158653"</f>
        <v>114020200329211229158653</v>
      </c>
      <c r="C7" s="7" t="s">
        <v>10</v>
      </c>
      <c r="D7" s="7" t="str">
        <f>"冯政"</f>
        <v>冯政</v>
      </c>
      <c r="E7" s="7" t="str">
        <f t="shared" si="0"/>
        <v>女</v>
      </c>
      <c r="F7" s="7" t="s">
        <v>15</v>
      </c>
      <c r="G7" s="7" t="s">
        <v>12</v>
      </c>
      <c r="H7" s="7"/>
    </row>
    <row r="8" s="3" customFormat="1" ht="14.25" customHeight="1" spans="1:8">
      <c r="A8" s="7">
        <v>5</v>
      </c>
      <c r="B8" s="7" t="str">
        <f>"114020200330104923158891"</f>
        <v>114020200330104923158891</v>
      </c>
      <c r="C8" s="7" t="s">
        <v>10</v>
      </c>
      <c r="D8" s="7" t="str">
        <f>"罗鸿雁"</f>
        <v>罗鸿雁</v>
      </c>
      <c r="E8" s="7" t="str">
        <f t="shared" si="0"/>
        <v>女</v>
      </c>
      <c r="F8" s="7" t="s">
        <v>16</v>
      </c>
      <c r="G8" s="7" t="s">
        <v>12</v>
      </c>
      <c r="H8" s="7"/>
    </row>
    <row r="9" s="3" customFormat="1" ht="14.25" customHeight="1" spans="1:8">
      <c r="A9" s="7">
        <v>6</v>
      </c>
      <c r="B9" s="7" t="str">
        <f>"114020200330160433159112"</f>
        <v>114020200330160433159112</v>
      </c>
      <c r="C9" s="7" t="s">
        <v>10</v>
      </c>
      <c r="D9" s="7" t="str">
        <f>"何金花"</f>
        <v>何金花</v>
      </c>
      <c r="E9" s="7" t="str">
        <f t="shared" si="0"/>
        <v>女</v>
      </c>
      <c r="F9" s="7" t="s">
        <v>17</v>
      </c>
      <c r="G9" s="7" t="s">
        <v>12</v>
      </c>
      <c r="H9" s="7"/>
    </row>
    <row r="10" s="3" customFormat="1" ht="14.25" customHeight="1" spans="1:8">
      <c r="A10" s="7">
        <v>7</v>
      </c>
      <c r="B10" s="7" t="str">
        <f>"114020200330181312159202"</f>
        <v>114020200330181312159202</v>
      </c>
      <c r="C10" s="7" t="s">
        <v>10</v>
      </c>
      <c r="D10" s="7" t="str">
        <f>"陈含妮"</f>
        <v>陈含妮</v>
      </c>
      <c r="E10" s="7" t="str">
        <f t="shared" si="0"/>
        <v>女</v>
      </c>
      <c r="F10" s="7" t="s">
        <v>18</v>
      </c>
      <c r="G10" s="7" t="s">
        <v>12</v>
      </c>
      <c r="H10" s="7"/>
    </row>
    <row r="11" s="3" customFormat="1" ht="14.25" customHeight="1" spans="1:8">
      <c r="A11" s="7">
        <v>8</v>
      </c>
      <c r="B11" s="7" t="str">
        <f>"114020200401134840159856"</f>
        <v>114020200401134840159856</v>
      </c>
      <c r="C11" s="7" t="s">
        <v>10</v>
      </c>
      <c r="D11" s="7" t="str">
        <f>"邢邱莺"</f>
        <v>邢邱莺</v>
      </c>
      <c r="E11" s="7" t="str">
        <f t="shared" si="0"/>
        <v>女</v>
      </c>
      <c r="F11" s="7" t="s">
        <v>19</v>
      </c>
      <c r="G11" s="7" t="s">
        <v>12</v>
      </c>
      <c r="H11" s="7"/>
    </row>
    <row r="12" s="3" customFormat="1" ht="14.25" customHeight="1" spans="1:8">
      <c r="A12" s="7">
        <v>9</v>
      </c>
      <c r="B12" s="7" t="str">
        <f>"114020200401161938159925"</f>
        <v>114020200401161938159925</v>
      </c>
      <c r="C12" s="7" t="s">
        <v>10</v>
      </c>
      <c r="D12" s="7" t="str">
        <f>"陈小慧"</f>
        <v>陈小慧</v>
      </c>
      <c r="E12" s="7" t="str">
        <f t="shared" si="0"/>
        <v>女</v>
      </c>
      <c r="F12" s="7" t="s">
        <v>20</v>
      </c>
      <c r="G12" s="7" t="s">
        <v>12</v>
      </c>
      <c r="H12" s="7"/>
    </row>
    <row r="13" s="3" customFormat="1" ht="14.25" customHeight="1" spans="1:8">
      <c r="A13" s="7">
        <v>10</v>
      </c>
      <c r="B13" s="7" t="str">
        <f>"114020200401202307160019"</f>
        <v>114020200401202307160019</v>
      </c>
      <c r="C13" s="7" t="s">
        <v>10</v>
      </c>
      <c r="D13" s="7" t="str">
        <f>"符梦影"</f>
        <v>符梦影</v>
      </c>
      <c r="E13" s="7" t="str">
        <f t="shared" si="0"/>
        <v>女</v>
      </c>
      <c r="F13" s="7" t="s">
        <v>21</v>
      </c>
      <c r="G13" s="7" t="s">
        <v>12</v>
      </c>
      <c r="H13" s="7"/>
    </row>
    <row r="14" s="3" customFormat="1" ht="14.25" customHeight="1" spans="1:8">
      <c r="A14" s="7">
        <v>11</v>
      </c>
      <c r="B14" s="7" t="str">
        <f>"114020200402014224160094"</f>
        <v>114020200402014224160094</v>
      </c>
      <c r="C14" s="7" t="s">
        <v>10</v>
      </c>
      <c r="D14" s="7" t="str">
        <f>"赵志娜"</f>
        <v>赵志娜</v>
      </c>
      <c r="E14" s="7" t="str">
        <f t="shared" si="0"/>
        <v>女</v>
      </c>
      <c r="F14" s="7" t="s">
        <v>22</v>
      </c>
      <c r="G14" s="7" t="s">
        <v>12</v>
      </c>
      <c r="H14" s="7"/>
    </row>
    <row r="15" s="3" customFormat="1" ht="14.25" customHeight="1" spans="1:8">
      <c r="A15" s="7">
        <v>12</v>
      </c>
      <c r="B15" s="7" t="str">
        <f>"114020200402233409160349"</f>
        <v>114020200402233409160349</v>
      </c>
      <c r="C15" s="7" t="s">
        <v>10</v>
      </c>
      <c r="D15" s="7" t="str">
        <f>"黎俊希"</f>
        <v>黎俊希</v>
      </c>
      <c r="E15" s="7" t="str">
        <f t="shared" si="0"/>
        <v>女</v>
      </c>
      <c r="F15" s="7" t="s">
        <v>23</v>
      </c>
      <c r="G15" s="7" t="s">
        <v>12</v>
      </c>
      <c r="H15" s="7"/>
    </row>
    <row r="16" s="3" customFormat="1" ht="14.25" customHeight="1" spans="1:8">
      <c r="A16" s="7">
        <v>13</v>
      </c>
      <c r="B16" s="7" t="str">
        <f>"114020200403223247160566"</f>
        <v>114020200403223247160566</v>
      </c>
      <c r="C16" s="7" t="s">
        <v>10</v>
      </c>
      <c r="D16" s="7" t="str">
        <f>"王石"</f>
        <v>王石</v>
      </c>
      <c r="E16" s="7" t="str">
        <f t="shared" ref="E16:E21" si="1">"男"</f>
        <v>男</v>
      </c>
      <c r="F16" s="7" t="s">
        <v>24</v>
      </c>
      <c r="G16" s="7" t="s">
        <v>12</v>
      </c>
      <c r="H16" s="7"/>
    </row>
    <row r="17" s="3" customFormat="1" ht="14.25" customHeight="1" spans="1:8">
      <c r="A17" s="7">
        <v>14</v>
      </c>
      <c r="B17" s="7" t="str">
        <f>"114020200406110737161141"</f>
        <v>114020200406110737161141</v>
      </c>
      <c r="C17" s="7" t="s">
        <v>10</v>
      </c>
      <c r="D17" s="7" t="str">
        <f>"陈姮"</f>
        <v>陈姮</v>
      </c>
      <c r="E17" s="7" t="str">
        <f t="shared" ref="E17:E27" si="2">"女"</f>
        <v>女</v>
      </c>
      <c r="F17" s="7" t="s">
        <v>25</v>
      </c>
      <c r="G17" s="7" t="s">
        <v>12</v>
      </c>
      <c r="H17" s="7"/>
    </row>
    <row r="18" s="3" customFormat="1" ht="14.25" customHeight="1" spans="1:8">
      <c r="A18" s="7">
        <v>15</v>
      </c>
      <c r="B18" s="7" t="str">
        <f>"114020200328101034157300"</f>
        <v>114020200328101034157300</v>
      </c>
      <c r="C18" s="7" t="s">
        <v>26</v>
      </c>
      <c r="D18" s="7" t="str">
        <f>"庞光亮"</f>
        <v>庞光亮</v>
      </c>
      <c r="E18" s="7" t="str">
        <f t="shared" si="1"/>
        <v>男</v>
      </c>
      <c r="F18" s="7" t="s">
        <v>27</v>
      </c>
      <c r="G18" s="7" t="s">
        <v>12</v>
      </c>
      <c r="H18" s="7"/>
    </row>
    <row r="19" s="3" customFormat="1" ht="14.25" customHeight="1" spans="1:8">
      <c r="A19" s="7">
        <v>16</v>
      </c>
      <c r="B19" s="7" t="str">
        <f>"114020200328210231158072"</f>
        <v>114020200328210231158072</v>
      </c>
      <c r="C19" s="7" t="s">
        <v>26</v>
      </c>
      <c r="D19" s="7" t="str">
        <f>" 张春雨"</f>
        <v> 张春雨</v>
      </c>
      <c r="E19" s="7" t="str">
        <f t="shared" si="2"/>
        <v>女</v>
      </c>
      <c r="F19" s="7" t="s">
        <v>28</v>
      </c>
      <c r="G19" s="7" t="s">
        <v>12</v>
      </c>
      <c r="H19" s="7"/>
    </row>
    <row r="20" s="3" customFormat="1" ht="14.25" customHeight="1" spans="1:8">
      <c r="A20" s="7">
        <v>17</v>
      </c>
      <c r="B20" s="7" t="str">
        <f>"114020200329122621158366"</f>
        <v>114020200329122621158366</v>
      </c>
      <c r="C20" s="7" t="s">
        <v>26</v>
      </c>
      <c r="D20" s="7" t="str">
        <f>"周丙淳"</f>
        <v>周丙淳</v>
      </c>
      <c r="E20" s="7" t="str">
        <f t="shared" si="1"/>
        <v>男</v>
      </c>
      <c r="F20" s="7" t="s">
        <v>29</v>
      </c>
      <c r="G20" s="7" t="s">
        <v>12</v>
      </c>
      <c r="H20" s="7"/>
    </row>
    <row r="21" s="3" customFormat="1" ht="14.25" customHeight="1" spans="1:8">
      <c r="A21" s="7">
        <v>18</v>
      </c>
      <c r="B21" s="7" t="str">
        <f>"114020200329164332158502"</f>
        <v>114020200329164332158502</v>
      </c>
      <c r="C21" s="7" t="s">
        <v>26</v>
      </c>
      <c r="D21" s="7" t="str">
        <f>"孙国佐"</f>
        <v>孙国佐</v>
      </c>
      <c r="E21" s="7" t="str">
        <f t="shared" si="1"/>
        <v>男</v>
      </c>
      <c r="F21" s="7" t="s">
        <v>30</v>
      </c>
      <c r="G21" s="7" t="s">
        <v>12</v>
      </c>
      <c r="H21" s="7"/>
    </row>
    <row r="22" s="3" customFormat="1" ht="14.25" customHeight="1" spans="1:8">
      <c r="A22" s="7">
        <v>19</v>
      </c>
      <c r="B22" s="7" t="str">
        <f>"114020200329211836158661"</f>
        <v>114020200329211836158661</v>
      </c>
      <c r="C22" s="7" t="s">
        <v>26</v>
      </c>
      <c r="D22" s="7" t="str">
        <f>"王秀清"</f>
        <v>王秀清</v>
      </c>
      <c r="E22" s="7" t="str">
        <f t="shared" si="2"/>
        <v>女</v>
      </c>
      <c r="F22" s="7" t="s">
        <v>31</v>
      </c>
      <c r="G22" s="7" t="s">
        <v>12</v>
      </c>
      <c r="H22" s="7"/>
    </row>
    <row r="23" s="3" customFormat="1" ht="14.25" customHeight="1" spans="1:8">
      <c r="A23" s="7">
        <v>20</v>
      </c>
      <c r="B23" s="7" t="str">
        <f>"114020200330200238159241"</f>
        <v>114020200330200238159241</v>
      </c>
      <c r="C23" s="7" t="s">
        <v>26</v>
      </c>
      <c r="D23" s="7" t="str">
        <f>"韩宜"</f>
        <v>韩宜</v>
      </c>
      <c r="E23" s="7" t="str">
        <f t="shared" si="2"/>
        <v>女</v>
      </c>
      <c r="F23" s="7" t="s">
        <v>32</v>
      </c>
      <c r="G23" s="7" t="s">
        <v>12</v>
      </c>
      <c r="H23" s="7"/>
    </row>
    <row r="24" s="3" customFormat="1" ht="14.25" customHeight="1" spans="1:8">
      <c r="A24" s="7">
        <v>21</v>
      </c>
      <c r="B24" s="7" t="str">
        <f>"114020200330211532159280"</f>
        <v>114020200330211532159280</v>
      </c>
      <c r="C24" s="7" t="s">
        <v>26</v>
      </c>
      <c r="D24" s="7" t="str">
        <f>"许月辽"</f>
        <v>许月辽</v>
      </c>
      <c r="E24" s="7" t="str">
        <f t="shared" si="2"/>
        <v>女</v>
      </c>
      <c r="F24" s="7" t="s">
        <v>33</v>
      </c>
      <c r="G24" s="7" t="s">
        <v>12</v>
      </c>
      <c r="H24" s="7"/>
    </row>
    <row r="25" s="3" customFormat="1" ht="14.25" customHeight="1" spans="1:8">
      <c r="A25" s="7">
        <v>22</v>
      </c>
      <c r="B25" s="7" t="str">
        <f>"114020200330230245159341"</f>
        <v>114020200330230245159341</v>
      </c>
      <c r="C25" s="7" t="s">
        <v>26</v>
      </c>
      <c r="D25" s="7" t="str">
        <f>"符丹慧"</f>
        <v>符丹慧</v>
      </c>
      <c r="E25" s="7" t="str">
        <f t="shared" si="2"/>
        <v>女</v>
      </c>
      <c r="F25" s="7" t="s">
        <v>34</v>
      </c>
      <c r="G25" s="7" t="s">
        <v>12</v>
      </c>
      <c r="H25" s="7"/>
    </row>
    <row r="26" s="3" customFormat="1" ht="14.25" customHeight="1" spans="1:8">
      <c r="A26" s="7">
        <v>23</v>
      </c>
      <c r="B26" s="7" t="str">
        <f>"114020200401193203160003"</f>
        <v>114020200401193203160003</v>
      </c>
      <c r="C26" s="7" t="s">
        <v>26</v>
      </c>
      <c r="D26" s="7" t="str">
        <f>"蔡欣"</f>
        <v>蔡欣</v>
      </c>
      <c r="E26" s="7" t="str">
        <f t="shared" si="2"/>
        <v>女</v>
      </c>
      <c r="F26" s="7" t="s">
        <v>35</v>
      </c>
      <c r="G26" s="7" t="s">
        <v>12</v>
      </c>
      <c r="H26" s="7"/>
    </row>
    <row r="27" s="3" customFormat="1" ht="14.25" customHeight="1" spans="1:8">
      <c r="A27" s="7">
        <v>24</v>
      </c>
      <c r="B27" s="7" t="str">
        <f>"114020200403094135160382"</f>
        <v>114020200403094135160382</v>
      </c>
      <c r="C27" s="7" t="s">
        <v>26</v>
      </c>
      <c r="D27" s="7" t="str">
        <f>"马瑞媛"</f>
        <v>马瑞媛</v>
      </c>
      <c r="E27" s="7" t="str">
        <f t="shared" si="2"/>
        <v>女</v>
      </c>
      <c r="F27" s="7" t="s">
        <v>36</v>
      </c>
      <c r="G27" s="7" t="s">
        <v>12</v>
      </c>
      <c r="H27" s="7"/>
    </row>
    <row r="28" s="3" customFormat="1" ht="14.25" customHeight="1" spans="1:8">
      <c r="A28" s="7">
        <v>25</v>
      </c>
      <c r="B28" s="7" t="str">
        <f>"114020200403155235160488"</f>
        <v>114020200403155235160488</v>
      </c>
      <c r="C28" s="7" t="s">
        <v>26</v>
      </c>
      <c r="D28" s="7" t="str">
        <f>"彭升"</f>
        <v>彭升</v>
      </c>
      <c r="E28" s="7" t="str">
        <f t="shared" ref="E28:E30" si="3">"男"</f>
        <v>男</v>
      </c>
      <c r="F28" s="7" t="s">
        <v>37</v>
      </c>
      <c r="G28" s="7" t="s">
        <v>12</v>
      </c>
      <c r="H28" s="7"/>
    </row>
    <row r="29" s="3" customFormat="1" ht="14.25" customHeight="1" spans="1:8">
      <c r="A29" s="7">
        <v>26</v>
      </c>
      <c r="B29" s="7" t="str">
        <f>"114020200403220737160558"</f>
        <v>114020200403220737160558</v>
      </c>
      <c r="C29" s="7" t="s">
        <v>26</v>
      </c>
      <c r="D29" s="7" t="str">
        <f>"何家诗"</f>
        <v>何家诗</v>
      </c>
      <c r="E29" s="7" t="str">
        <f t="shared" si="3"/>
        <v>男</v>
      </c>
      <c r="F29" s="7" t="s">
        <v>38</v>
      </c>
      <c r="G29" s="7" t="s">
        <v>12</v>
      </c>
      <c r="H29" s="7"/>
    </row>
    <row r="30" s="3" customFormat="1" ht="14.25" customHeight="1" spans="1:8">
      <c r="A30" s="7">
        <v>27</v>
      </c>
      <c r="B30" s="7" t="str">
        <f>"114020200405161839160873"</f>
        <v>114020200405161839160873</v>
      </c>
      <c r="C30" s="7" t="s">
        <v>26</v>
      </c>
      <c r="D30" s="7" t="str">
        <f>"李文贤"</f>
        <v>李文贤</v>
      </c>
      <c r="E30" s="7" t="str">
        <f t="shared" si="3"/>
        <v>男</v>
      </c>
      <c r="F30" s="7" t="s">
        <v>39</v>
      </c>
      <c r="G30" s="7" t="s">
        <v>12</v>
      </c>
      <c r="H30" s="7"/>
    </row>
    <row r="31" s="3" customFormat="1" ht="14.25" customHeight="1" spans="1:8">
      <c r="A31" s="7">
        <v>28</v>
      </c>
      <c r="B31" s="7" t="str">
        <f>"114020200405164549160883"</f>
        <v>114020200405164549160883</v>
      </c>
      <c r="C31" s="7" t="s">
        <v>26</v>
      </c>
      <c r="D31" s="7" t="str">
        <f>"符秀娜"</f>
        <v>符秀娜</v>
      </c>
      <c r="E31" s="7" t="str">
        <f t="shared" ref="E31:E33" si="4">"女"</f>
        <v>女</v>
      </c>
      <c r="F31" s="7" t="s">
        <v>40</v>
      </c>
      <c r="G31" s="7" t="s">
        <v>12</v>
      </c>
      <c r="H31" s="7"/>
    </row>
    <row r="32" s="3" customFormat="1" ht="14.25" customHeight="1" spans="1:8">
      <c r="A32" s="7">
        <v>29</v>
      </c>
      <c r="B32" s="7" t="str">
        <f>"114020200406115405161180"</f>
        <v>114020200406115405161180</v>
      </c>
      <c r="C32" s="7" t="s">
        <v>26</v>
      </c>
      <c r="D32" s="7" t="str">
        <f>"刘婷"</f>
        <v>刘婷</v>
      </c>
      <c r="E32" s="7" t="str">
        <f t="shared" si="4"/>
        <v>女</v>
      </c>
      <c r="F32" s="7" t="s">
        <v>41</v>
      </c>
      <c r="G32" s="7" t="s">
        <v>12</v>
      </c>
      <c r="H32" s="7"/>
    </row>
    <row r="33" s="3" customFormat="1" ht="14.25" customHeight="1" spans="1:8">
      <c r="A33" s="7">
        <v>30</v>
      </c>
      <c r="B33" s="7" t="str">
        <f>"114020200328092030157179"</f>
        <v>114020200328092030157179</v>
      </c>
      <c r="C33" s="7" t="s">
        <v>42</v>
      </c>
      <c r="D33" s="7" t="str">
        <f>"洪妹"</f>
        <v>洪妹</v>
      </c>
      <c r="E33" s="7" t="str">
        <f t="shared" si="4"/>
        <v>女</v>
      </c>
      <c r="F33" s="7" t="s">
        <v>43</v>
      </c>
      <c r="G33" s="7" t="s">
        <v>12</v>
      </c>
      <c r="H33" s="7"/>
    </row>
    <row r="34" s="3" customFormat="1" ht="14.25" customHeight="1" spans="1:8">
      <c r="A34" s="7">
        <v>31</v>
      </c>
      <c r="B34" s="7" t="str">
        <f>"114020200328093321157213"</f>
        <v>114020200328093321157213</v>
      </c>
      <c r="C34" s="7" t="s">
        <v>42</v>
      </c>
      <c r="D34" s="7" t="str">
        <f>"张学召"</f>
        <v>张学召</v>
      </c>
      <c r="E34" s="7" t="str">
        <f>"男"</f>
        <v>男</v>
      </c>
      <c r="F34" s="7" t="s">
        <v>44</v>
      </c>
      <c r="G34" s="7" t="s">
        <v>12</v>
      </c>
      <c r="H34" s="7"/>
    </row>
    <row r="35" s="3" customFormat="1" ht="14.25" customHeight="1" spans="1:8">
      <c r="A35" s="7">
        <v>32</v>
      </c>
      <c r="B35" s="7" t="str">
        <f>"114020200328094947157252"</f>
        <v>114020200328094947157252</v>
      </c>
      <c r="C35" s="7" t="s">
        <v>42</v>
      </c>
      <c r="D35" s="7" t="str">
        <f>"周璨"</f>
        <v>周璨</v>
      </c>
      <c r="E35" s="7" t="str">
        <f t="shared" ref="E35:E40" si="5">"女"</f>
        <v>女</v>
      </c>
      <c r="F35" s="7" t="s">
        <v>45</v>
      </c>
      <c r="G35" s="7" t="s">
        <v>12</v>
      </c>
      <c r="H35" s="7"/>
    </row>
    <row r="36" s="3" customFormat="1" ht="14.25" customHeight="1" spans="1:8">
      <c r="A36" s="7">
        <v>33</v>
      </c>
      <c r="B36" s="7" t="str">
        <f>"114020200328095306157256"</f>
        <v>114020200328095306157256</v>
      </c>
      <c r="C36" s="7" t="s">
        <v>42</v>
      </c>
      <c r="D36" s="7" t="str">
        <f>"陈迎醒"</f>
        <v>陈迎醒</v>
      </c>
      <c r="E36" s="7" t="str">
        <f t="shared" si="5"/>
        <v>女</v>
      </c>
      <c r="F36" s="7" t="s">
        <v>46</v>
      </c>
      <c r="G36" s="7" t="s">
        <v>12</v>
      </c>
      <c r="H36" s="7"/>
    </row>
    <row r="37" s="3" customFormat="1" ht="14.25" customHeight="1" spans="1:8">
      <c r="A37" s="7">
        <v>34</v>
      </c>
      <c r="B37" s="7" t="str">
        <f>"114020200328095734157265"</f>
        <v>114020200328095734157265</v>
      </c>
      <c r="C37" s="7" t="s">
        <v>42</v>
      </c>
      <c r="D37" s="7" t="str">
        <f>"文秀好"</f>
        <v>文秀好</v>
      </c>
      <c r="E37" s="7" t="str">
        <f t="shared" si="5"/>
        <v>女</v>
      </c>
      <c r="F37" s="7" t="s">
        <v>47</v>
      </c>
      <c r="G37" s="7" t="s">
        <v>12</v>
      </c>
      <c r="H37" s="7"/>
    </row>
    <row r="38" s="3" customFormat="1" ht="14.25" customHeight="1" spans="1:8">
      <c r="A38" s="7">
        <v>35</v>
      </c>
      <c r="B38" s="7" t="str">
        <f>"114020200328102723157348"</f>
        <v>114020200328102723157348</v>
      </c>
      <c r="C38" s="7" t="s">
        <v>42</v>
      </c>
      <c r="D38" s="7" t="str">
        <f>"王杏"</f>
        <v>王杏</v>
      </c>
      <c r="E38" s="7" t="str">
        <f t="shared" si="5"/>
        <v>女</v>
      </c>
      <c r="F38" s="7" t="s">
        <v>48</v>
      </c>
      <c r="G38" s="7" t="s">
        <v>12</v>
      </c>
      <c r="H38" s="7"/>
    </row>
    <row r="39" s="3" customFormat="1" ht="14.25" customHeight="1" spans="1:8">
      <c r="A39" s="7">
        <v>36</v>
      </c>
      <c r="B39" s="7" t="str">
        <f>"114020200328103344157363"</f>
        <v>114020200328103344157363</v>
      </c>
      <c r="C39" s="7" t="s">
        <v>42</v>
      </c>
      <c r="D39" s="7" t="str">
        <f>"黄水玲"</f>
        <v>黄水玲</v>
      </c>
      <c r="E39" s="7" t="str">
        <f t="shared" si="5"/>
        <v>女</v>
      </c>
      <c r="F39" s="7" t="s">
        <v>49</v>
      </c>
      <c r="G39" s="7" t="s">
        <v>12</v>
      </c>
      <c r="H39" s="7"/>
    </row>
    <row r="40" s="3" customFormat="1" ht="14.25" customHeight="1" spans="1:8">
      <c r="A40" s="7">
        <v>37</v>
      </c>
      <c r="B40" s="7" t="str">
        <f>"114020200328103636157370"</f>
        <v>114020200328103636157370</v>
      </c>
      <c r="C40" s="7" t="s">
        <v>42</v>
      </c>
      <c r="D40" s="7" t="str">
        <f>"符治恋"</f>
        <v>符治恋</v>
      </c>
      <c r="E40" s="7" t="str">
        <f t="shared" si="5"/>
        <v>女</v>
      </c>
      <c r="F40" s="7" t="s">
        <v>50</v>
      </c>
      <c r="G40" s="7" t="s">
        <v>12</v>
      </c>
      <c r="H40" s="7"/>
    </row>
    <row r="41" s="3" customFormat="1" ht="14.25" customHeight="1" spans="1:8">
      <c r="A41" s="7">
        <v>38</v>
      </c>
      <c r="B41" s="7" t="str">
        <f>"114020200328103949157376"</f>
        <v>114020200328103949157376</v>
      </c>
      <c r="C41" s="7" t="s">
        <v>42</v>
      </c>
      <c r="D41" s="7" t="str">
        <f>"郑智虎"</f>
        <v>郑智虎</v>
      </c>
      <c r="E41" s="7" t="str">
        <f>"男"</f>
        <v>男</v>
      </c>
      <c r="F41" s="7" t="s">
        <v>51</v>
      </c>
      <c r="G41" s="7" t="s">
        <v>12</v>
      </c>
      <c r="H41" s="7"/>
    </row>
    <row r="42" s="3" customFormat="1" ht="14.25" customHeight="1" spans="1:8">
      <c r="A42" s="7">
        <v>39</v>
      </c>
      <c r="B42" s="7" t="str">
        <f>"114020200328112718157479"</f>
        <v>114020200328112718157479</v>
      </c>
      <c r="C42" s="7" t="s">
        <v>42</v>
      </c>
      <c r="D42" s="7" t="str">
        <f>"曾婷"</f>
        <v>曾婷</v>
      </c>
      <c r="E42" s="7" t="str">
        <f t="shared" ref="E42:E52" si="6">"女"</f>
        <v>女</v>
      </c>
      <c r="F42" s="7" t="s">
        <v>52</v>
      </c>
      <c r="G42" s="7" t="s">
        <v>12</v>
      </c>
      <c r="H42" s="7"/>
    </row>
    <row r="43" s="3" customFormat="1" ht="14.25" customHeight="1" spans="1:8">
      <c r="A43" s="7">
        <v>40</v>
      </c>
      <c r="B43" s="7" t="str">
        <f>"114020200328121136157555"</f>
        <v>114020200328121136157555</v>
      </c>
      <c r="C43" s="7" t="s">
        <v>42</v>
      </c>
      <c r="D43" s="7" t="str">
        <f>"钱定怡"</f>
        <v>钱定怡</v>
      </c>
      <c r="E43" s="7" t="str">
        <f t="shared" si="6"/>
        <v>女</v>
      </c>
      <c r="F43" s="7" t="s">
        <v>53</v>
      </c>
      <c r="G43" s="7" t="s">
        <v>12</v>
      </c>
      <c r="H43" s="7"/>
    </row>
    <row r="44" s="3" customFormat="1" ht="14.25" customHeight="1" spans="1:8">
      <c r="A44" s="7">
        <v>41</v>
      </c>
      <c r="B44" s="7" t="str">
        <f>"114020200328121358157559"</f>
        <v>114020200328121358157559</v>
      </c>
      <c r="C44" s="7" t="s">
        <v>42</v>
      </c>
      <c r="D44" s="7" t="str">
        <f>"黄小钊"</f>
        <v>黄小钊</v>
      </c>
      <c r="E44" s="7" t="str">
        <f t="shared" si="6"/>
        <v>女</v>
      </c>
      <c r="F44" s="7" t="s">
        <v>54</v>
      </c>
      <c r="G44" s="7" t="s">
        <v>12</v>
      </c>
      <c r="H44" s="7"/>
    </row>
    <row r="45" s="3" customFormat="1" ht="14.25" customHeight="1" spans="1:8">
      <c r="A45" s="7">
        <v>42</v>
      </c>
      <c r="B45" s="7" t="str">
        <f>"114020200328121941157570"</f>
        <v>114020200328121941157570</v>
      </c>
      <c r="C45" s="7" t="s">
        <v>42</v>
      </c>
      <c r="D45" s="7" t="str">
        <f>"邱华南"</f>
        <v>邱华南</v>
      </c>
      <c r="E45" s="7" t="str">
        <f t="shared" si="6"/>
        <v>女</v>
      </c>
      <c r="F45" s="7" t="s">
        <v>55</v>
      </c>
      <c r="G45" s="7" t="s">
        <v>12</v>
      </c>
      <c r="H45" s="7"/>
    </row>
    <row r="46" s="3" customFormat="1" ht="14.25" customHeight="1" spans="1:8">
      <c r="A46" s="7">
        <v>43</v>
      </c>
      <c r="B46" s="7" t="str">
        <f>"114020200328122059157574"</f>
        <v>114020200328122059157574</v>
      </c>
      <c r="C46" s="7" t="s">
        <v>42</v>
      </c>
      <c r="D46" s="7" t="str">
        <f>"邢维婷"</f>
        <v>邢维婷</v>
      </c>
      <c r="E46" s="7" t="str">
        <f t="shared" si="6"/>
        <v>女</v>
      </c>
      <c r="F46" s="7" t="s">
        <v>56</v>
      </c>
      <c r="G46" s="7" t="s">
        <v>12</v>
      </c>
      <c r="H46" s="7"/>
    </row>
    <row r="47" s="3" customFormat="1" ht="14.25" customHeight="1" spans="1:8">
      <c r="A47" s="7">
        <v>44</v>
      </c>
      <c r="B47" s="7" t="str">
        <f>"114020200328122424157579"</f>
        <v>114020200328122424157579</v>
      </c>
      <c r="C47" s="7" t="s">
        <v>42</v>
      </c>
      <c r="D47" s="7" t="str">
        <f>"蒲天星"</f>
        <v>蒲天星</v>
      </c>
      <c r="E47" s="7" t="str">
        <f t="shared" si="6"/>
        <v>女</v>
      </c>
      <c r="F47" s="7" t="s">
        <v>57</v>
      </c>
      <c r="G47" s="7" t="s">
        <v>12</v>
      </c>
      <c r="H47" s="7"/>
    </row>
    <row r="48" s="3" customFormat="1" ht="14.25" customHeight="1" spans="1:8">
      <c r="A48" s="7">
        <v>45</v>
      </c>
      <c r="B48" s="7" t="str">
        <f>"114020200328123918157606"</f>
        <v>114020200328123918157606</v>
      </c>
      <c r="C48" s="7" t="s">
        <v>42</v>
      </c>
      <c r="D48" s="7" t="str">
        <f>"文陈华"</f>
        <v>文陈华</v>
      </c>
      <c r="E48" s="7" t="str">
        <f t="shared" si="6"/>
        <v>女</v>
      </c>
      <c r="F48" s="7" t="s">
        <v>58</v>
      </c>
      <c r="G48" s="7" t="s">
        <v>12</v>
      </c>
      <c r="H48" s="7"/>
    </row>
    <row r="49" s="3" customFormat="1" ht="14.25" customHeight="1" spans="1:8">
      <c r="A49" s="7">
        <v>46</v>
      </c>
      <c r="B49" s="7" t="str">
        <f>"114020200328125513157629"</f>
        <v>114020200328125513157629</v>
      </c>
      <c r="C49" s="7" t="s">
        <v>42</v>
      </c>
      <c r="D49" s="7" t="str">
        <f>"文金婵"</f>
        <v>文金婵</v>
      </c>
      <c r="E49" s="7" t="str">
        <f t="shared" si="6"/>
        <v>女</v>
      </c>
      <c r="F49" s="7" t="s">
        <v>59</v>
      </c>
      <c r="G49" s="7" t="s">
        <v>12</v>
      </c>
      <c r="H49" s="7"/>
    </row>
    <row r="50" s="3" customFormat="1" ht="14.25" customHeight="1" spans="1:8">
      <c r="A50" s="7">
        <v>47</v>
      </c>
      <c r="B50" s="7" t="str">
        <f>"114020200328130003157635"</f>
        <v>114020200328130003157635</v>
      </c>
      <c r="C50" s="7" t="s">
        <v>42</v>
      </c>
      <c r="D50" s="7" t="str">
        <f>"王春秋"</f>
        <v>王春秋</v>
      </c>
      <c r="E50" s="7" t="str">
        <f t="shared" si="6"/>
        <v>女</v>
      </c>
      <c r="F50" s="7" t="s">
        <v>60</v>
      </c>
      <c r="G50" s="7" t="s">
        <v>12</v>
      </c>
      <c r="H50" s="7"/>
    </row>
    <row r="51" s="3" customFormat="1" ht="14.25" customHeight="1" spans="1:8">
      <c r="A51" s="7">
        <v>48</v>
      </c>
      <c r="B51" s="7" t="str">
        <f>"114020200328132938157683"</f>
        <v>114020200328132938157683</v>
      </c>
      <c r="C51" s="7" t="s">
        <v>42</v>
      </c>
      <c r="D51" s="7" t="str">
        <f>"王艳"</f>
        <v>王艳</v>
      </c>
      <c r="E51" s="7" t="str">
        <f t="shared" si="6"/>
        <v>女</v>
      </c>
      <c r="F51" s="7" t="s">
        <v>61</v>
      </c>
      <c r="G51" s="7" t="s">
        <v>12</v>
      </c>
      <c r="H51" s="7"/>
    </row>
    <row r="52" s="3" customFormat="1" ht="14.25" customHeight="1" spans="1:8">
      <c r="A52" s="7">
        <v>49</v>
      </c>
      <c r="B52" s="7" t="str">
        <f>"114020200328142839157745"</f>
        <v>114020200328142839157745</v>
      </c>
      <c r="C52" s="7" t="s">
        <v>42</v>
      </c>
      <c r="D52" s="7" t="str">
        <f>"王艺妃"</f>
        <v>王艺妃</v>
      </c>
      <c r="E52" s="7" t="str">
        <f t="shared" si="6"/>
        <v>女</v>
      </c>
      <c r="F52" s="7" t="s">
        <v>62</v>
      </c>
      <c r="G52" s="7" t="s">
        <v>12</v>
      </c>
      <c r="H52" s="7"/>
    </row>
    <row r="53" s="3" customFormat="1" ht="14.25" customHeight="1" spans="1:8">
      <c r="A53" s="7">
        <v>50</v>
      </c>
      <c r="B53" s="7" t="str">
        <f>"114020200328143837157754"</f>
        <v>114020200328143837157754</v>
      </c>
      <c r="C53" s="7" t="s">
        <v>42</v>
      </c>
      <c r="D53" s="7" t="str">
        <f>"洪甫"</f>
        <v>洪甫</v>
      </c>
      <c r="E53" s="7" t="str">
        <f t="shared" ref="E53:E58" si="7">"男"</f>
        <v>男</v>
      </c>
      <c r="F53" s="7" t="s">
        <v>63</v>
      </c>
      <c r="G53" s="7" t="s">
        <v>12</v>
      </c>
      <c r="H53" s="7"/>
    </row>
    <row r="54" s="3" customFormat="1" ht="14.25" customHeight="1" spans="1:8">
      <c r="A54" s="7">
        <v>51</v>
      </c>
      <c r="B54" s="7" t="str">
        <f>"114020200328161404157845"</f>
        <v>114020200328161404157845</v>
      </c>
      <c r="C54" s="7" t="s">
        <v>42</v>
      </c>
      <c r="D54" s="7" t="str">
        <f>"王涵"</f>
        <v>王涵</v>
      </c>
      <c r="E54" s="7" t="str">
        <f t="shared" ref="E54:E57" si="8">"女"</f>
        <v>女</v>
      </c>
      <c r="F54" s="7" t="s">
        <v>64</v>
      </c>
      <c r="G54" s="7" t="s">
        <v>12</v>
      </c>
      <c r="H54" s="7"/>
    </row>
    <row r="55" s="3" customFormat="1" ht="14.25" customHeight="1" spans="1:8">
      <c r="A55" s="7">
        <v>52</v>
      </c>
      <c r="B55" s="7" t="str">
        <f>"114020200328163015157861"</f>
        <v>114020200328163015157861</v>
      </c>
      <c r="C55" s="7" t="s">
        <v>42</v>
      </c>
      <c r="D55" s="7" t="str">
        <f>"黎爱霞"</f>
        <v>黎爱霞</v>
      </c>
      <c r="E55" s="7" t="str">
        <f t="shared" si="8"/>
        <v>女</v>
      </c>
      <c r="F55" s="7" t="s">
        <v>65</v>
      </c>
      <c r="G55" s="7" t="s">
        <v>12</v>
      </c>
      <c r="H55" s="7"/>
    </row>
    <row r="56" s="3" customFormat="1" ht="14.25" customHeight="1" spans="1:8">
      <c r="A56" s="7">
        <v>53</v>
      </c>
      <c r="B56" s="7" t="str">
        <f>"114020200328182713157961"</f>
        <v>114020200328182713157961</v>
      </c>
      <c r="C56" s="7" t="s">
        <v>42</v>
      </c>
      <c r="D56" s="7" t="str">
        <f>"吉高斌"</f>
        <v>吉高斌</v>
      </c>
      <c r="E56" s="7" t="str">
        <f t="shared" si="7"/>
        <v>男</v>
      </c>
      <c r="F56" s="7" t="s">
        <v>66</v>
      </c>
      <c r="G56" s="7" t="s">
        <v>12</v>
      </c>
      <c r="H56" s="7"/>
    </row>
    <row r="57" s="3" customFormat="1" ht="14.25" customHeight="1" spans="1:8">
      <c r="A57" s="7">
        <v>54</v>
      </c>
      <c r="B57" s="7" t="str">
        <f>"114020200328195048158015"</f>
        <v>114020200328195048158015</v>
      </c>
      <c r="C57" s="7" t="s">
        <v>42</v>
      </c>
      <c r="D57" s="7" t="str">
        <f>"郑珊珊"</f>
        <v>郑珊珊</v>
      </c>
      <c r="E57" s="7" t="str">
        <f t="shared" si="8"/>
        <v>女</v>
      </c>
      <c r="F57" s="7" t="s">
        <v>67</v>
      </c>
      <c r="G57" s="7" t="s">
        <v>12</v>
      </c>
      <c r="H57" s="7"/>
    </row>
    <row r="58" s="3" customFormat="1" ht="14.25" customHeight="1" spans="1:8">
      <c r="A58" s="7">
        <v>55</v>
      </c>
      <c r="B58" s="7" t="str">
        <f>"114020200328203707158049"</f>
        <v>114020200328203707158049</v>
      </c>
      <c r="C58" s="7" t="s">
        <v>42</v>
      </c>
      <c r="D58" s="7" t="str">
        <f>"张科"</f>
        <v>张科</v>
      </c>
      <c r="E58" s="7" t="str">
        <f t="shared" si="7"/>
        <v>男</v>
      </c>
      <c r="F58" s="7" t="s">
        <v>68</v>
      </c>
      <c r="G58" s="7" t="s">
        <v>12</v>
      </c>
      <c r="H58" s="7"/>
    </row>
    <row r="59" s="3" customFormat="1" ht="14.25" customHeight="1" spans="1:8">
      <c r="A59" s="7">
        <v>56</v>
      </c>
      <c r="B59" s="7" t="str">
        <f>"114020200328224635158149"</f>
        <v>114020200328224635158149</v>
      </c>
      <c r="C59" s="7" t="s">
        <v>42</v>
      </c>
      <c r="D59" s="7" t="str">
        <f>"莫新彩"</f>
        <v>莫新彩</v>
      </c>
      <c r="E59" s="7" t="str">
        <f t="shared" ref="E59:E64" si="9">"女"</f>
        <v>女</v>
      </c>
      <c r="F59" s="7" t="s">
        <v>69</v>
      </c>
      <c r="G59" s="7" t="s">
        <v>12</v>
      </c>
      <c r="H59" s="7"/>
    </row>
    <row r="60" s="3" customFormat="1" ht="14.25" customHeight="1" spans="1:8">
      <c r="A60" s="7">
        <v>57</v>
      </c>
      <c r="B60" s="7" t="str">
        <f>"114020200328231455158159"</f>
        <v>114020200328231455158159</v>
      </c>
      <c r="C60" s="7" t="s">
        <v>42</v>
      </c>
      <c r="D60" s="7" t="str">
        <f>"吉家丽"</f>
        <v>吉家丽</v>
      </c>
      <c r="E60" s="7" t="str">
        <f t="shared" si="9"/>
        <v>女</v>
      </c>
      <c r="F60" s="7" t="s">
        <v>70</v>
      </c>
      <c r="G60" s="7" t="s">
        <v>12</v>
      </c>
      <c r="H60" s="7"/>
    </row>
    <row r="61" s="3" customFormat="1" ht="14.25" customHeight="1" spans="1:8">
      <c r="A61" s="7">
        <v>58</v>
      </c>
      <c r="B61" s="7" t="str">
        <f>"114020200329093605158232"</f>
        <v>114020200329093605158232</v>
      </c>
      <c r="C61" s="7" t="s">
        <v>42</v>
      </c>
      <c r="D61" s="7" t="str">
        <f>"符大云"</f>
        <v>符大云</v>
      </c>
      <c r="E61" s="7" t="str">
        <f>"男"</f>
        <v>男</v>
      </c>
      <c r="F61" s="7" t="s">
        <v>71</v>
      </c>
      <c r="G61" s="7" t="s">
        <v>12</v>
      </c>
      <c r="H61" s="7"/>
    </row>
    <row r="62" s="3" customFormat="1" ht="14.25" customHeight="1" spans="1:8">
      <c r="A62" s="7">
        <v>59</v>
      </c>
      <c r="B62" s="7" t="str">
        <f>"114020200329101802158257"</f>
        <v>114020200329101802158257</v>
      </c>
      <c r="C62" s="7" t="s">
        <v>42</v>
      </c>
      <c r="D62" s="7" t="str">
        <f>"蔡开止"</f>
        <v>蔡开止</v>
      </c>
      <c r="E62" s="7" t="str">
        <f t="shared" si="9"/>
        <v>女</v>
      </c>
      <c r="F62" s="7" t="s">
        <v>72</v>
      </c>
      <c r="G62" s="7" t="s">
        <v>12</v>
      </c>
      <c r="H62" s="7"/>
    </row>
    <row r="63" s="3" customFormat="1" ht="14.25" customHeight="1" spans="1:8">
      <c r="A63" s="7">
        <v>60</v>
      </c>
      <c r="B63" s="7" t="str">
        <f>"114020200329103632158278"</f>
        <v>114020200329103632158278</v>
      </c>
      <c r="C63" s="7" t="s">
        <v>42</v>
      </c>
      <c r="D63" s="7" t="str">
        <f>"杨英营"</f>
        <v>杨英营</v>
      </c>
      <c r="E63" s="7" t="str">
        <f t="shared" si="9"/>
        <v>女</v>
      </c>
      <c r="F63" s="7" t="s">
        <v>73</v>
      </c>
      <c r="G63" s="7" t="s">
        <v>12</v>
      </c>
      <c r="H63" s="7"/>
    </row>
    <row r="64" s="3" customFormat="1" ht="14.25" customHeight="1" spans="1:8">
      <c r="A64" s="7">
        <v>61</v>
      </c>
      <c r="B64" s="7" t="str">
        <f>"114020200329104809158292"</f>
        <v>114020200329104809158292</v>
      </c>
      <c r="C64" s="7" t="s">
        <v>42</v>
      </c>
      <c r="D64" s="7" t="str">
        <f>"庄丽株"</f>
        <v>庄丽株</v>
      </c>
      <c r="E64" s="7" t="str">
        <f t="shared" si="9"/>
        <v>女</v>
      </c>
      <c r="F64" s="7" t="s">
        <v>74</v>
      </c>
      <c r="G64" s="7" t="s">
        <v>12</v>
      </c>
      <c r="H64" s="7"/>
    </row>
    <row r="65" s="3" customFormat="1" ht="14.25" customHeight="1" spans="1:8">
      <c r="A65" s="7">
        <v>62</v>
      </c>
      <c r="B65" s="7" t="str">
        <f>"114020200329115059158339"</f>
        <v>114020200329115059158339</v>
      </c>
      <c r="C65" s="7" t="s">
        <v>42</v>
      </c>
      <c r="D65" s="7" t="str">
        <f>"陈朝龙"</f>
        <v>陈朝龙</v>
      </c>
      <c r="E65" s="7" t="str">
        <f>"男"</f>
        <v>男</v>
      </c>
      <c r="F65" s="7" t="s">
        <v>75</v>
      </c>
      <c r="G65" s="7" t="s">
        <v>12</v>
      </c>
      <c r="H65" s="7"/>
    </row>
    <row r="66" s="3" customFormat="1" ht="14.25" customHeight="1" spans="1:8">
      <c r="A66" s="7">
        <v>63</v>
      </c>
      <c r="B66" s="7" t="str">
        <f>"114020200329123232158373"</f>
        <v>114020200329123232158373</v>
      </c>
      <c r="C66" s="7" t="s">
        <v>42</v>
      </c>
      <c r="D66" s="7" t="str">
        <f>"郑远核"</f>
        <v>郑远核</v>
      </c>
      <c r="E66" s="7" t="str">
        <f t="shared" ref="E66:E70" si="10">"女"</f>
        <v>女</v>
      </c>
      <c r="F66" s="7" t="s">
        <v>76</v>
      </c>
      <c r="G66" s="7" t="s">
        <v>12</v>
      </c>
      <c r="H66" s="7"/>
    </row>
    <row r="67" s="3" customFormat="1" ht="14.25" customHeight="1" spans="1:8">
      <c r="A67" s="7">
        <v>64</v>
      </c>
      <c r="B67" s="7" t="str">
        <f>"114020200329133442158412"</f>
        <v>114020200329133442158412</v>
      </c>
      <c r="C67" s="7" t="s">
        <v>42</v>
      </c>
      <c r="D67" s="7" t="str">
        <f>"符潮燕"</f>
        <v>符潮燕</v>
      </c>
      <c r="E67" s="7" t="str">
        <f t="shared" si="10"/>
        <v>女</v>
      </c>
      <c r="F67" s="7" t="s">
        <v>77</v>
      </c>
      <c r="G67" s="7" t="s">
        <v>12</v>
      </c>
      <c r="H67" s="7"/>
    </row>
    <row r="68" s="3" customFormat="1" ht="14.25" customHeight="1" spans="1:8">
      <c r="A68" s="7">
        <v>65</v>
      </c>
      <c r="B68" s="7" t="str">
        <f>"114020200329134635158418"</f>
        <v>114020200329134635158418</v>
      </c>
      <c r="C68" s="7" t="s">
        <v>42</v>
      </c>
      <c r="D68" s="7" t="str">
        <f>"石萃帅"</f>
        <v>石萃帅</v>
      </c>
      <c r="E68" s="7" t="str">
        <f>"男"</f>
        <v>男</v>
      </c>
      <c r="F68" s="7" t="s">
        <v>78</v>
      </c>
      <c r="G68" s="7" t="s">
        <v>12</v>
      </c>
      <c r="H68" s="7"/>
    </row>
    <row r="69" s="3" customFormat="1" ht="14.25" customHeight="1" spans="1:8">
      <c r="A69" s="7">
        <v>66</v>
      </c>
      <c r="B69" s="7" t="str">
        <f>"114020200329141035158427"</f>
        <v>114020200329141035158427</v>
      </c>
      <c r="C69" s="7" t="s">
        <v>42</v>
      </c>
      <c r="D69" s="7" t="str">
        <f>"羊金凤"</f>
        <v>羊金凤</v>
      </c>
      <c r="E69" s="7" t="str">
        <f t="shared" si="10"/>
        <v>女</v>
      </c>
      <c r="F69" s="7" t="s">
        <v>79</v>
      </c>
      <c r="G69" s="7" t="s">
        <v>12</v>
      </c>
      <c r="H69" s="7"/>
    </row>
    <row r="70" s="3" customFormat="1" ht="14.25" customHeight="1" spans="1:8">
      <c r="A70" s="7">
        <v>67</v>
      </c>
      <c r="B70" s="7" t="str">
        <f>"114020200329150419158452"</f>
        <v>114020200329150419158452</v>
      </c>
      <c r="C70" s="7" t="s">
        <v>42</v>
      </c>
      <c r="D70" s="7" t="str">
        <f>"李燕芳"</f>
        <v>李燕芳</v>
      </c>
      <c r="E70" s="7" t="str">
        <f t="shared" si="10"/>
        <v>女</v>
      </c>
      <c r="F70" s="7" t="s">
        <v>80</v>
      </c>
      <c r="G70" s="7" t="s">
        <v>12</v>
      </c>
      <c r="H70" s="7"/>
    </row>
    <row r="71" s="3" customFormat="1" ht="14.25" customHeight="1" spans="1:8">
      <c r="A71" s="7">
        <v>68</v>
      </c>
      <c r="B71" s="7" t="str">
        <f>"114020200329152110158457"</f>
        <v>114020200329152110158457</v>
      </c>
      <c r="C71" s="7" t="s">
        <v>42</v>
      </c>
      <c r="D71" s="7" t="str">
        <f>"符成阳"</f>
        <v>符成阳</v>
      </c>
      <c r="E71" s="7" t="str">
        <f>"男"</f>
        <v>男</v>
      </c>
      <c r="F71" s="7" t="s">
        <v>81</v>
      </c>
      <c r="G71" s="7" t="s">
        <v>12</v>
      </c>
      <c r="H71" s="7"/>
    </row>
    <row r="72" s="3" customFormat="1" ht="14.25" customHeight="1" spans="1:8">
      <c r="A72" s="7">
        <v>69</v>
      </c>
      <c r="B72" s="7" t="str">
        <f>"114020200329160216158477"</f>
        <v>114020200329160216158477</v>
      </c>
      <c r="C72" s="7" t="s">
        <v>42</v>
      </c>
      <c r="D72" s="7" t="str">
        <f>"黄静仪"</f>
        <v>黄静仪</v>
      </c>
      <c r="E72" s="7" t="str">
        <f t="shared" ref="E72:E83" si="11">"女"</f>
        <v>女</v>
      </c>
      <c r="F72" s="7" t="s">
        <v>82</v>
      </c>
      <c r="G72" s="7" t="s">
        <v>12</v>
      </c>
      <c r="H72" s="7"/>
    </row>
    <row r="73" s="3" customFormat="1" ht="14.25" customHeight="1" spans="1:8">
      <c r="A73" s="7">
        <v>70</v>
      </c>
      <c r="B73" s="7" t="str">
        <f>"114020200329163040158491"</f>
        <v>114020200329163040158491</v>
      </c>
      <c r="C73" s="7" t="s">
        <v>42</v>
      </c>
      <c r="D73" s="7" t="str">
        <f>"王艺璇"</f>
        <v>王艺璇</v>
      </c>
      <c r="E73" s="7" t="str">
        <f t="shared" si="11"/>
        <v>女</v>
      </c>
      <c r="F73" s="7" t="s">
        <v>83</v>
      </c>
      <c r="G73" s="7" t="s">
        <v>12</v>
      </c>
      <c r="H73" s="7"/>
    </row>
    <row r="74" s="3" customFormat="1" ht="14.25" customHeight="1" spans="1:8">
      <c r="A74" s="7">
        <v>71</v>
      </c>
      <c r="B74" s="7" t="str">
        <f>"114020200329170452158511"</f>
        <v>114020200329170452158511</v>
      </c>
      <c r="C74" s="7" t="s">
        <v>42</v>
      </c>
      <c r="D74" s="7" t="str">
        <f>"林小夏"</f>
        <v>林小夏</v>
      </c>
      <c r="E74" s="7" t="str">
        <f t="shared" si="11"/>
        <v>女</v>
      </c>
      <c r="F74" s="7" t="s">
        <v>84</v>
      </c>
      <c r="G74" s="7" t="s">
        <v>12</v>
      </c>
      <c r="H74" s="7"/>
    </row>
    <row r="75" s="3" customFormat="1" ht="14.25" customHeight="1" spans="1:8">
      <c r="A75" s="7">
        <v>72</v>
      </c>
      <c r="B75" s="7" t="str">
        <f>"114020200329175946158540"</f>
        <v>114020200329175946158540</v>
      </c>
      <c r="C75" s="7" t="s">
        <v>42</v>
      </c>
      <c r="D75" s="7" t="str">
        <f>"孙彩婷"</f>
        <v>孙彩婷</v>
      </c>
      <c r="E75" s="7" t="str">
        <f t="shared" si="11"/>
        <v>女</v>
      </c>
      <c r="F75" s="7" t="s">
        <v>85</v>
      </c>
      <c r="G75" s="7" t="s">
        <v>12</v>
      </c>
      <c r="H75" s="7"/>
    </row>
    <row r="76" s="3" customFormat="1" ht="14.25" customHeight="1" spans="1:8">
      <c r="A76" s="7">
        <v>73</v>
      </c>
      <c r="B76" s="7" t="str">
        <f>"114020200329193122158587"</f>
        <v>114020200329193122158587</v>
      </c>
      <c r="C76" s="7" t="s">
        <v>42</v>
      </c>
      <c r="D76" s="7" t="str">
        <f>"文萍萍"</f>
        <v>文萍萍</v>
      </c>
      <c r="E76" s="7" t="str">
        <f t="shared" si="11"/>
        <v>女</v>
      </c>
      <c r="F76" s="7" t="s">
        <v>86</v>
      </c>
      <c r="G76" s="7" t="s">
        <v>12</v>
      </c>
      <c r="H76" s="7"/>
    </row>
    <row r="77" s="3" customFormat="1" ht="14.25" customHeight="1" spans="1:8">
      <c r="A77" s="7">
        <v>74</v>
      </c>
      <c r="B77" s="7" t="str">
        <f>"114020200329201603158611"</f>
        <v>114020200329201603158611</v>
      </c>
      <c r="C77" s="7" t="s">
        <v>42</v>
      </c>
      <c r="D77" s="7" t="str">
        <f>"苏玮燕"</f>
        <v>苏玮燕</v>
      </c>
      <c r="E77" s="7" t="str">
        <f t="shared" si="11"/>
        <v>女</v>
      </c>
      <c r="F77" s="7" t="s">
        <v>87</v>
      </c>
      <c r="G77" s="7" t="s">
        <v>12</v>
      </c>
      <c r="H77" s="7"/>
    </row>
    <row r="78" s="3" customFormat="1" ht="14.25" customHeight="1" spans="1:8">
      <c r="A78" s="7">
        <v>75</v>
      </c>
      <c r="B78" s="7" t="str">
        <f>"114020200329210923158651"</f>
        <v>114020200329210923158651</v>
      </c>
      <c r="C78" s="7" t="s">
        <v>42</v>
      </c>
      <c r="D78" s="7" t="str">
        <f>"李玉妹"</f>
        <v>李玉妹</v>
      </c>
      <c r="E78" s="7" t="str">
        <f t="shared" si="11"/>
        <v>女</v>
      </c>
      <c r="F78" s="7" t="s">
        <v>88</v>
      </c>
      <c r="G78" s="7" t="s">
        <v>12</v>
      </c>
      <c r="H78" s="7"/>
    </row>
    <row r="79" s="3" customFormat="1" ht="14.25" customHeight="1" spans="1:8">
      <c r="A79" s="7">
        <v>76</v>
      </c>
      <c r="B79" s="7" t="str">
        <f>"114020200329213305158673"</f>
        <v>114020200329213305158673</v>
      </c>
      <c r="C79" s="7" t="s">
        <v>42</v>
      </c>
      <c r="D79" s="7" t="str">
        <f>"杨玉秀"</f>
        <v>杨玉秀</v>
      </c>
      <c r="E79" s="7" t="str">
        <f t="shared" si="11"/>
        <v>女</v>
      </c>
      <c r="F79" s="7" t="s">
        <v>89</v>
      </c>
      <c r="G79" s="7" t="s">
        <v>12</v>
      </c>
      <c r="H79" s="7"/>
    </row>
    <row r="80" s="3" customFormat="1" ht="14.25" customHeight="1" spans="1:8">
      <c r="A80" s="7">
        <v>77</v>
      </c>
      <c r="B80" s="7" t="str">
        <f>"114020200329224339158714"</f>
        <v>114020200329224339158714</v>
      </c>
      <c r="C80" s="7" t="s">
        <v>42</v>
      </c>
      <c r="D80" s="7" t="str">
        <f>"文秋娴"</f>
        <v>文秋娴</v>
      </c>
      <c r="E80" s="7" t="str">
        <f t="shared" si="11"/>
        <v>女</v>
      </c>
      <c r="F80" s="7" t="s">
        <v>90</v>
      </c>
      <c r="G80" s="7" t="s">
        <v>12</v>
      </c>
      <c r="H80" s="7"/>
    </row>
    <row r="81" s="3" customFormat="1" ht="14.25" customHeight="1" spans="1:8">
      <c r="A81" s="7">
        <v>78</v>
      </c>
      <c r="B81" s="7" t="str">
        <f>"114020200330090333158789"</f>
        <v>114020200330090333158789</v>
      </c>
      <c r="C81" s="7" t="s">
        <v>42</v>
      </c>
      <c r="D81" s="7" t="str">
        <f>"吴青青"</f>
        <v>吴青青</v>
      </c>
      <c r="E81" s="7" t="str">
        <f t="shared" si="11"/>
        <v>女</v>
      </c>
      <c r="F81" s="7" t="s">
        <v>91</v>
      </c>
      <c r="G81" s="7" t="s">
        <v>12</v>
      </c>
      <c r="H81" s="7"/>
    </row>
    <row r="82" s="3" customFormat="1" ht="14.25" customHeight="1" spans="1:8">
      <c r="A82" s="7">
        <v>79</v>
      </c>
      <c r="B82" s="7" t="str">
        <f>"114020200330093553158814"</f>
        <v>114020200330093553158814</v>
      </c>
      <c r="C82" s="7" t="s">
        <v>42</v>
      </c>
      <c r="D82" s="7" t="str">
        <f>"窦晓莹"</f>
        <v>窦晓莹</v>
      </c>
      <c r="E82" s="7" t="str">
        <f t="shared" si="11"/>
        <v>女</v>
      </c>
      <c r="F82" s="7" t="s">
        <v>92</v>
      </c>
      <c r="G82" s="7" t="s">
        <v>12</v>
      </c>
      <c r="H82" s="7"/>
    </row>
    <row r="83" s="3" customFormat="1" ht="14.25" customHeight="1" spans="1:8">
      <c r="A83" s="7">
        <v>80</v>
      </c>
      <c r="B83" s="7" t="str">
        <f>"114020200330100828158855"</f>
        <v>114020200330100828158855</v>
      </c>
      <c r="C83" s="7" t="s">
        <v>42</v>
      </c>
      <c r="D83" s="7" t="str">
        <f>"冯苑芬"</f>
        <v>冯苑芬</v>
      </c>
      <c r="E83" s="7" t="str">
        <f t="shared" si="11"/>
        <v>女</v>
      </c>
      <c r="F83" s="7" t="s">
        <v>93</v>
      </c>
      <c r="G83" s="7" t="s">
        <v>12</v>
      </c>
      <c r="H83" s="7"/>
    </row>
    <row r="84" s="3" customFormat="1" ht="14.25" customHeight="1" spans="1:8">
      <c r="A84" s="7">
        <v>81</v>
      </c>
      <c r="B84" s="7" t="str">
        <f>"114020200330102942158873"</f>
        <v>114020200330102942158873</v>
      </c>
      <c r="C84" s="7" t="s">
        <v>42</v>
      </c>
      <c r="D84" s="7" t="str">
        <f>"曾承明"</f>
        <v>曾承明</v>
      </c>
      <c r="E84" s="7" t="str">
        <f>"男"</f>
        <v>男</v>
      </c>
      <c r="F84" s="7" t="s">
        <v>94</v>
      </c>
      <c r="G84" s="7" t="s">
        <v>12</v>
      </c>
      <c r="H84" s="7"/>
    </row>
    <row r="85" s="3" customFormat="1" ht="14.25" customHeight="1" spans="1:8">
      <c r="A85" s="7">
        <v>82</v>
      </c>
      <c r="B85" s="7" t="str">
        <f>"114020200330104803158889"</f>
        <v>114020200330104803158889</v>
      </c>
      <c r="C85" s="7" t="s">
        <v>42</v>
      </c>
      <c r="D85" s="7" t="str">
        <f>"邢增婷"</f>
        <v>邢增婷</v>
      </c>
      <c r="E85" s="7" t="str">
        <f t="shared" ref="E85:E96" si="12">"女"</f>
        <v>女</v>
      </c>
      <c r="F85" s="7" t="s">
        <v>95</v>
      </c>
      <c r="G85" s="7" t="s">
        <v>12</v>
      </c>
      <c r="H85" s="7"/>
    </row>
    <row r="86" s="3" customFormat="1" ht="14.25" customHeight="1" spans="1:8">
      <c r="A86" s="7">
        <v>83</v>
      </c>
      <c r="B86" s="7" t="str">
        <f>"114020200330105633158902"</f>
        <v>114020200330105633158902</v>
      </c>
      <c r="C86" s="7" t="s">
        <v>42</v>
      </c>
      <c r="D86" s="7" t="str">
        <f>"周颖花"</f>
        <v>周颖花</v>
      </c>
      <c r="E86" s="7" t="str">
        <f t="shared" si="12"/>
        <v>女</v>
      </c>
      <c r="F86" s="7" t="s">
        <v>96</v>
      </c>
      <c r="G86" s="7" t="s">
        <v>12</v>
      </c>
      <c r="H86" s="7"/>
    </row>
    <row r="87" s="3" customFormat="1" ht="14.25" customHeight="1" spans="1:8">
      <c r="A87" s="7">
        <v>84</v>
      </c>
      <c r="B87" s="7" t="str">
        <f>"114020200330112631158928"</f>
        <v>114020200330112631158928</v>
      </c>
      <c r="C87" s="7" t="s">
        <v>42</v>
      </c>
      <c r="D87" s="7" t="str">
        <f>"蔡小娜"</f>
        <v>蔡小娜</v>
      </c>
      <c r="E87" s="7" t="str">
        <f t="shared" si="12"/>
        <v>女</v>
      </c>
      <c r="F87" s="7" t="s">
        <v>97</v>
      </c>
      <c r="G87" s="7" t="s">
        <v>12</v>
      </c>
      <c r="H87" s="7"/>
    </row>
    <row r="88" s="3" customFormat="1" ht="14.25" customHeight="1" spans="1:8">
      <c r="A88" s="7">
        <v>85</v>
      </c>
      <c r="B88" s="7" t="str">
        <f>"114020200330113844158941"</f>
        <v>114020200330113844158941</v>
      </c>
      <c r="C88" s="7" t="s">
        <v>42</v>
      </c>
      <c r="D88" s="7" t="str">
        <f>"刘晓霜"</f>
        <v>刘晓霜</v>
      </c>
      <c r="E88" s="7" t="str">
        <f t="shared" si="12"/>
        <v>女</v>
      </c>
      <c r="F88" s="7" t="s">
        <v>98</v>
      </c>
      <c r="G88" s="7" t="s">
        <v>12</v>
      </c>
      <c r="H88" s="7"/>
    </row>
    <row r="89" s="3" customFormat="1" ht="14.25" customHeight="1" spans="1:8">
      <c r="A89" s="7">
        <v>86</v>
      </c>
      <c r="B89" s="7" t="str">
        <f>"114020200330113902158942"</f>
        <v>114020200330113902158942</v>
      </c>
      <c r="C89" s="7" t="s">
        <v>42</v>
      </c>
      <c r="D89" s="7" t="str">
        <f>"刘宝莹"</f>
        <v>刘宝莹</v>
      </c>
      <c r="E89" s="7" t="str">
        <f t="shared" si="12"/>
        <v>女</v>
      </c>
      <c r="F89" s="7" t="s">
        <v>99</v>
      </c>
      <c r="G89" s="7" t="s">
        <v>12</v>
      </c>
      <c r="H89" s="7"/>
    </row>
    <row r="90" s="3" customFormat="1" ht="14.25" customHeight="1" spans="1:8">
      <c r="A90" s="7">
        <v>87</v>
      </c>
      <c r="B90" s="7" t="str">
        <f>"114020200330121843158974"</f>
        <v>114020200330121843158974</v>
      </c>
      <c r="C90" s="7" t="s">
        <v>42</v>
      </c>
      <c r="D90" s="7" t="str">
        <f>"陈仕妃"</f>
        <v>陈仕妃</v>
      </c>
      <c r="E90" s="7" t="str">
        <f t="shared" si="12"/>
        <v>女</v>
      </c>
      <c r="F90" s="7" t="s">
        <v>100</v>
      </c>
      <c r="G90" s="7" t="s">
        <v>12</v>
      </c>
      <c r="H90" s="7"/>
    </row>
    <row r="91" s="3" customFormat="1" ht="14.25" customHeight="1" spans="1:8">
      <c r="A91" s="7">
        <v>88</v>
      </c>
      <c r="B91" s="7" t="str">
        <f>"114020200330132058159006"</f>
        <v>114020200330132058159006</v>
      </c>
      <c r="C91" s="7" t="s">
        <v>42</v>
      </c>
      <c r="D91" s="7" t="str">
        <f>"蔡江林"</f>
        <v>蔡江林</v>
      </c>
      <c r="E91" s="7" t="str">
        <f t="shared" si="12"/>
        <v>女</v>
      </c>
      <c r="F91" s="7" t="s">
        <v>101</v>
      </c>
      <c r="G91" s="7" t="s">
        <v>12</v>
      </c>
      <c r="H91" s="7"/>
    </row>
    <row r="92" s="3" customFormat="1" ht="14.25" customHeight="1" spans="1:8">
      <c r="A92" s="7">
        <v>89</v>
      </c>
      <c r="B92" s="7" t="str">
        <f>"114020200330132201159009"</f>
        <v>114020200330132201159009</v>
      </c>
      <c r="C92" s="7" t="s">
        <v>42</v>
      </c>
      <c r="D92" s="7" t="str">
        <f>"林烨"</f>
        <v>林烨</v>
      </c>
      <c r="E92" s="7" t="str">
        <f t="shared" si="12"/>
        <v>女</v>
      </c>
      <c r="F92" s="7" t="s">
        <v>102</v>
      </c>
      <c r="G92" s="7" t="s">
        <v>12</v>
      </c>
      <c r="H92" s="7"/>
    </row>
    <row r="93" s="3" customFormat="1" ht="14.25" customHeight="1" spans="1:8">
      <c r="A93" s="7">
        <v>90</v>
      </c>
      <c r="B93" s="7" t="str">
        <f>"114020200330154215159098"</f>
        <v>114020200330154215159098</v>
      </c>
      <c r="C93" s="7" t="s">
        <v>42</v>
      </c>
      <c r="D93" s="7" t="str">
        <f>"杨燕"</f>
        <v>杨燕</v>
      </c>
      <c r="E93" s="7" t="str">
        <f t="shared" si="12"/>
        <v>女</v>
      </c>
      <c r="F93" s="7" t="s">
        <v>103</v>
      </c>
      <c r="G93" s="7" t="s">
        <v>12</v>
      </c>
      <c r="H93" s="7"/>
    </row>
    <row r="94" s="3" customFormat="1" ht="14.25" customHeight="1" spans="1:8">
      <c r="A94" s="7">
        <v>91</v>
      </c>
      <c r="B94" s="7" t="str">
        <f>"114020200330171326159171"</f>
        <v>114020200330171326159171</v>
      </c>
      <c r="C94" s="7" t="s">
        <v>42</v>
      </c>
      <c r="D94" s="7" t="str">
        <f>"郑巧巧"</f>
        <v>郑巧巧</v>
      </c>
      <c r="E94" s="7" t="str">
        <f t="shared" si="12"/>
        <v>女</v>
      </c>
      <c r="F94" s="7" t="s">
        <v>104</v>
      </c>
      <c r="G94" s="7" t="s">
        <v>12</v>
      </c>
      <c r="H94" s="7"/>
    </row>
    <row r="95" s="3" customFormat="1" ht="14.25" customHeight="1" spans="1:8">
      <c r="A95" s="7">
        <v>92</v>
      </c>
      <c r="B95" s="7" t="str">
        <f>"114020200330181259159201"</f>
        <v>114020200330181259159201</v>
      </c>
      <c r="C95" s="7" t="s">
        <v>42</v>
      </c>
      <c r="D95" s="7" t="str">
        <f>"詹元乾"</f>
        <v>詹元乾</v>
      </c>
      <c r="E95" s="7" t="str">
        <f t="shared" si="12"/>
        <v>女</v>
      </c>
      <c r="F95" s="7" t="s">
        <v>105</v>
      </c>
      <c r="G95" s="7" t="s">
        <v>12</v>
      </c>
      <c r="H95" s="7"/>
    </row>
    <row r="96" s="3" customFormat="1" ht="14.25" customHeight="1" spans="1:8">
      <c r="A96" s="7">
        <v>93</v>
      </c>
      <c r="B96" s="7" t="str">
        <f>"114020200330211052159273"</f>
        <v>114020200330211052159273</v>
      </c>
      <c r="C96" s="7" t="s">
        <v>42</v>
      </c>
      <c r="D96" s="7" t="str">
        <f>"吴小丹"</f>
        <v>吴小丹</v>
      </c>
      <c r="E96" s="7" t="str">
        <f t="shared" si="12"/>
        <v>女</v>
      </c>
      <c r="F96" s="7" t="s">
        <v>106</v>
      </c>
      <c r="G96" s="7" t="s">
        <v>12</v>
      </c>
      <c r="H96" s="7"/>
    </row>
    <row r="97" s="3" customFormat="1" ht="14.25" customHeight="1" spans="1:8">
      <c r="A97" s="7">
        <v>94</v>
      </c>
      <c r="B97" s="7" t="str">
        <f>"114020200330211420159279"</f>
        <v>114020200330211420159279</v>
      </c>
      <c r="C97" s="7" t="s">
        <v>42</v>
      </c>
      <c r="D97" s="7" t="str">
        <f>"林朝龙"</f>
        <v>林朝龙</v>
      </c>
      <c r="E97" s="7" t="str">
        <f>"男"</f>
        <v>男</v>
      </c>
      <c r="F97" s="7" t="s">
        <v>107</v>
      </c>
      <c r="G97" s="7" t="s">
        <v>12</v>
      </c>
      <c r="H97" s="7"/>
    </row>
    <row r="98" s="3" customFormat="1" ht="14.25" customHeight="1" spans="1:8">
      <c r="A98" s="7">
        <v>95</v>
      </c>
      <c r="B98" s="7" t="str">
        <f>"114020200330212009159282"</f>
        <v>114020200330212009159282</v>
      </c>
      <c r="C98" s="7" t="s">
        <v>42</v>
      </c>
      <c r="D98" s="7" t="str">
        <f>"邢文婷"</f>
        <v>邢文婷</v>
      </c>
      <c r="E98" s="7" t="str">
        <f t="shared" ref="E98:E118" si="13">"女"</f>
        <v>女</v>
      </c>
      <c r="F98" s="7" t="s">
        <v>108</v>
      </c>
      <c r="G98" s="7" t="s">
        <v>12</v>
      </c>
      <c r="H98" s="7"/>
    </row>
    <row r="99" s="3" customFormat="1" ht="14.25" customHeight="1" spans="1:8">
      <c r="A99" s="7">
        <v>96</v>
      </c>
      <c r="B99" s="7" t="str">
        <f>"114020200330220757159308"</f>
        <v>114020200330220757159308</v>
      </c>
      <c r="C99" s="7" t="s">
        <v>42</v>
      </c>
      <c r="D99" s="7" t="str">
        <f>"康国梅"</f>
        <v>康国梅</v>
      </c>
      <c r="E99" s="7" t="str">
        <f t="shared" si="13"/>
        <v>女</v>
      </c>
      <c r="F99" s="7" t="s">
        <v>109</v>
      </c>
      <c r="G99" s="7" t="s">
        <v>12</v>
      </c>
      <c r="H99" s="7"/>
    </row>
    <row r="100" s="3" customFormat="1" ht="14.25" customHeight="1" spans="1:8">
      <c r="A100" s="7">
        <v>97</v>
      </c>
      <c r="B100" s="7" t="str">
        <f>"114020200330224540159335"</f>
        <v>114020200330224540159335</v>
      </c>
      <c r="C100" s="7" t="s">
        <v>42</v>
      </c>
      <c r="D100" s="7" t="str">
        <f>"覃钰童"</f>
        <v>覃钰童</v>
      </c>
      <c r="E100" s="7" t="str">
        <f t="shared" si="13"/>
        <v>女</v>
      </c>
      <c r="F100" s="7" t="s">
        <v>110</v>
      </c>
      <c r="G100" s="7" t="s">
        <v>12</v>
      </c>
      <c r="H100" s="7"/>
    </row>
    <row r="101" s="3" customFormat="1" ht="14.25" customHeight="1" spans="1:8">
      <c r="A101" s="7">
        <v>98</v>
      </c>
      <c r="B101" s="7" t="str">
        <f>"114020200330225710159339"</f>
        <v>114020200330225710159339</v>
      </c>
      <c r="C101" s="7" t="s">
        <v>42</v>
      </c>
      <c r="D101" s="7" t="str">
        <f>"唐天彩"</f>
        <v>唐天彩</v>
      </c>
      <c r="E101" s="7" t="str">
        <f t="shared" si="13"/>
        <v>女</v>
      </c>
      <c r="F101" s="7" t="s">
        <v>111</v>
      </c>
      <c r="G101" s="7" t="s">
        <v>12</v>
      </c>
      <c r="H101" s="7"/>
    </row>
    <row r="102" s="3" customFormat="1" ht="14.25" customHeight="1" spans="1:8">
      <c r="A102" s="7">
        <v>99</v>
      </c>
      <c r="B102" s="7" t="str">
        <f>"114020200331082337159371"</f>
        <v>114020200331082337159371</v>
      </c>
      <c r="C102" s="7" t="s">
        <v>42</v>
      </c>
      <c r="D102" s="7" t="str">
        <f>"李小连"</f>
        <v>李小连</v>
      </c>
      <c r="E102" s="7" t="str">
        <f t="shared" si="13"/>
        <v>女</v>
      </c>
      <c r="F102" s="7" t="s">
        <v>112</v>
      </c>
      <c r="G102" s="7" t="s">
        <v>12</v>
      </c>
      <c r="H102" s="7"/>
    </row>
    <row r="103" s="3" customFormat="1" ht="14.25" customHeight="1" spans="1:8">
      <c r="A103" s="7">
        <v>100</v>
      </c>
      <c r="B103" s="7" t="str">
        <f>"114020200331105638159428"</f>
        <v>114020200331105638159428</v>
      </c>
      <c r="C103" s="7" t="s">
        <v>42</v>
      </c>
      <c r="D103" s="7" t="str">
        <f>"邓春南"</f>
        <v>邓春南</v>
      </c>
      <c r="E103" s="7" t="str">
        <f t="shared" si="13"/>
        <v>女</v>
      </c>
      <c r="F103" s="7" t="s">
        <v>113</v>
      </c>
      <c r="G103" s="7" t="s">
        <v>12</v>
      </c>
      <c r="H103" s="7"/>
    </row>
    <row r="104" s="3" customFormat="1" ht="14.25" customHeight="1" spans="1:8">
      <c r="A104" s="7">
        <v>101</v>
      </c>
      <c r="B104" s="7" t="str">
        <f>"114020200331112541159443"</f>
        <v>114020200331112541159443</v>
      </c>
      <c r="C104" s="7" t="s">
        <v>42</v>
      </c>
      <c r="D104" s="7" t="str">
        <f>"陈海妃"</f>
        <v>陈海妃</v>
      </c>
      <c r="E104" s="7" t="str">
        <f t="shared" si="13"/>
        <v>女</v>
      </c>
      <c r="F104" s="7" t="s">
        <v>114</v>
      </c>
      <c r="G104" s="7" t="s">
        <v>12</v>
      </c>
      <c r="H104" s="7"/>
    </row>
    <row r="105" s="3" customFormat="1" ht="14.25" customHeight="1" spans="1:8">
      <c r="A105" s="7">
        <v>102</v>
      </c>
      <c r="B105" s="7" t="str">
        <f>"114020200331112915159444"</f>
        <v>114020200331112915159444</v>
      </c>
      <c r="C105" s="7" t="s">
        <v>42</v>
      </c>
      <c r="D105" s="7" t="str">
        <f>"李槟"</f>
        <v>李槟</v>
      </c>
      <c r="E105" s="7" t="str">
        <f t="shared" si="13"/>
        <v>女</v>
      </c>
      <c r="F105" s="7" t="s">
        <v>115</v>
      </c>
      <c r="G105" s="7" t="s">
        <v>12</v>
      </c>
      <c r="H105" s="7"/>
    </row>
    <row r="106" s="3" customFormat="1" ht="14.25" customHeight="1" spans="1:8">
      <c r="A106" s="7">
        <v>103</v>
      </c>
      <c r="B106" s="7" t="str">
        <f>"114020200331143548159540"</f>
        <v>114020200331143548159540</v>
      </c>
      <c r="C106" s="7" t="s">
        <v>42</v>
      </c>
      <c r="D106" s="7" t="str">
        <f>"陈小敏"</f>
        <v>陈小敏</v>
      </c>
      <c r="E106" s="7" t="str">
        <f t="shared" si="13"/>
        <v>女</v>
      </c>
      <c r="F106" s="7" t="s">
        <v>116</v>
      </c>
      <c r="G106" s="7" t="s">
        <v>12</v>
      </c>
      <c r="H106" s="7"/>
    </row>
    <row r="107" s="3" customFormat="1" ht="14.25" customHeight="1" spans="1:8">
      <c r="A107" s="7">
        <v>104</v>
      </c>
      <c r="B107" s="7" t="str">
        <f>"114020200331144034159542"</f>
        <v>114020200331144034159542</v>
      </c>
      <c r="C107" s="7" t="s">
        <v>42</v>
      </c>
      <c r="D107" s="7" t="str">
        <f>"曹杨琪"</f>
        <v>曹杨琪</v>
      </c>
      <c r="E107" s="7" t="str">
        <f t="shared" si="13"/>
        <v>女</v>
      </c>
      <c r="F107" s="7" t="s">
        <v>117</v>
      </c>
      <c r="G107" s="7" t="s">
        <v>12</v>
      </c>
      <c r="H107" s="7"/>
    </row>
    <row r="108" s="3" customFormat="1" ht="14.25" customHeight="1" spans="1:8">
      <c r="A108" s="7">
        <v>105</v>
      </c>
      <c r="B108" s="7" t="str">
        <f>"114020200331165016159601"</f>
        <v>114020200331165016159601</v>
      </c>
      <c r="C108" s="7" t="s">
        <v>42</v>
      </c>
      <c r="D108" s="7" t="str">
        <f>"周雪玉"</f>
        <v>周雪玉</v>
      </c>
      <c r="E108" s="7" t="str">
        <f t="shared" si="13"/>
        <v>女</v>
      </c>
      <c r="F108" s="7" t="s">
        <v>118</v>
      </c>
      <c r="G108" s="7" t="s">
        <v>12</v>
      </c>
      <c r="H108" s="7"/>
    </row>
    <row r="109" s="3" customFormat="1" ht="14.25" customHeight="1" spans="1:8">
      <c r="A109" s="7">
        <v>106</v>
      </c>
      <c r="B109" s="7" t="str">
        <f>"114020200331215433159705"</f>
        <v>114020200331215433159705</v>
      </c>
      <c r="C109" s="7" t="s">
        <v>42</v>
      </c>
      <c r="D109" s="7" t="str">
        <f>"曾慧霏"</f>
        <v>曾慧霏</v>
      </c>
      <c r="E109" s="7" t="str">
        <f t="shared" si="13"/>
        <v>女</v>
      </c>
      <c r="F109" s="7" t="s">
        <v>119</v>
      </c>
      <c r="G109" s="7" t="s">
        <v>12</v>
      </c>
      <c r="H109" s="7"/>
    </row>
    <row r="110" s="3" customFormat="1" ht="14.25" customHeight="1" spans="1:8">
      <c r="A110" s="7">
        <v>107</v>
      </c>
      <c r="B110" s="7" t="str">
        <f>"114020200331222029159711"</f>
        <v>114020200331222029159711</v>
      </c>
      <c r="C110" s="7" t="s">
        <v>42</v>
      </c>
      <c r="D110" s="7" t="str">
        <f>"周政妙"</f>
        <v>周政妙</v>
      </c>
      <c r="E110" s="7" t="str">
        <f t="shared" si="13"/>
        <v>女</v>
      </c>
      <c r="F110" s="7" t="s">
        <v>120</v>
      </c>
      <c r="G110" s="7" t="s">
        <v>12</v>
      </c>
      <c r="H110" s="7"/>
    </row>
    <row r="111" s="3" customFormat="1" ht="14.25" customHeight="1" spans="1:8">
      <c r="A111" s="7">
        <v>108</v>
      </c>
      <c r="B111" s="7" t="str">
        <f>"114020200401141200159866"</f>
        <v>114020200401141200159866</v>
      </c>
      <c r="C111" s="7" t="s">
        <v>42</v>
      </c>
      <c r="D111" s="7" t="str">
        <f>"黄海霞"</f>
        <v>黄海霞</v>
      </c>
      <c r="E111" s="7" t="str">
        <f t="shared" si="13"/>
        <v>女</v>
      </c>
      <c r="F111" s="7" t="s">
        <v>121</v>
      </c>
      <c r="G111" s="7" t="s">
        <v>12</v>
      </c>
      <c r="H111" s="7"/>
    </row>
    <row r="112" s="3" customFormat="1" ht="14.25" customHeight="1" spans="1:8">
      <c r="A112" s="7">
        <v>109</v>
      </c>
      <c r="B112" s="7" t="str">
        <f>"114020200401145715159877"</f>
        <v>114020200401145715159877</v>
      </c>
      <c r="C112" s="7" t="s">
        <v>42</v>
      </c>
      <c r="D112" s="7" t="str">
        <f>"麦小琴"</f>
        <v>麦小琴</v>
      </c>
      <c r="E112" s="7" t="str">
        <f t="shared" si="13"/>
        <v>女</v>
      </c>
      <c r="F112" s="7" t="s">
        <v>122</v>
      </c>
      <c r="G112" s="7" t="s">
        <v>12</v>
      </c>
      <c r="H112" s="7"/>
    </row>
    <row r="113" s="3" customFormat="1" ht="14.25" customHeight="1" spans="1:8">
      <c r="A113" s="7">
        <v>110</v>
      </c>
      <c r="B113" s="7" t="str">
        <f>"114020200401151605159884"</f>
        <v>114020200401151605159884</v>
      </c>
      <c r="C113" s="7" t="s">
        <v>42</v>
      </c>
      <c r="D113" s="7" t="str">
        <f>"郑秋丽"</f>
        <v>郑秋丽</v>
      </c>
      <c r="E113" s="7" t="str">
        <f t="shared" si="13"/>
        <v>女</v>
      </c>
      <c r="F113" s="7" t="s">
        <v>123</v>
      </c>
      <c r="G113" s="7" t="s">
        <v>12</v>
      </c>
      <c r="H113" s="7"/>
    </row>
    <row r="114" s="3" customFormat="1" ht="14.25" customHeight="1" spans="1:8">
      <c r="A114" s="7">
        <v>111</v>
      </c>
      <c r="B114" s="7" t="str">
        <f>"114020200401182024159984"</f>
        <v>114020200401182024159984</v>
      </c>
      <c r="C114" s="7" t="s">
        <v>42</v>
      </c>
      <c r="D114" s="7" t="str">
        <f>"邢鸿 娟"</f>
        <v>邢鸿 娟</v>
      </c>
      <c r="E114" s="7" t="str">
        <f t="shared" si="13"/>
        <v>女</v>
      </c>
      <c r="F114" s="7" t="s">
        <v>124</v>
      </c>
      <c r="G114" s="7" t="s">
        <v>12</v>
      </c>
      <c r="H114" s="7"/>
    </row>
    <row r="115" s="3" customFormat="1" ht="14.25" customHeight="1" spans="1:8">
      <c r="A115" s="7">
        <v>112</v>
      </c>
      <c r="B115" s="7" t="str">
        <f>"114020200401210527160034"</f>
        <v>114020200401210527160034</v>
      </c>
      <c r="C115" s="7" t="s">
        <v>42</v>
      </c>
      <c r="D115" s="7" t="str">
        <f>"黄阳玲"</f>
        <v>黄阳玲</v>
      </c>
      <c r="E115" s="7" t="str">
        <f t="shared" si="13"/>
        <v>女</v>
      </c>
      <c r="F115" s="7" t="s">
        <v>125</v>
      </c>
      <c r="G115" s="7" t="s">
        <v>12</v>
      </c>
      <c r="H115" s="7"/>
    </row>
    <row r="116" s="3" customFormat="1" ht="14.25" customHeight="1" spans="1:8">
      <c r="A116" s="7">
        <v>113</v>
      </c>
      <c r="B116" s="7" t="str">
        <f>"114020200401212332160043"</f>
        <v>114020200401212332160043</v>
      </c>
      <c r="C116" s="7" t="s">
        <v>42</v>
      </c>
      <c r="D116" s="7" t="str">
        <f>"骆晓晶"</f>
        <v>骆晓晶</v>
      </c>
      <c r="E116" s="7" t="str">
        <f t="shared" si="13"/>
        <v>女</v>
      </c>
      <c r="F116" s="7" t="s">
        <v>126</v>
      </c>
      <c r="G116" s="7" t="s">
        <v>12</v>
      </c>
      <c r="H116" s="7"/>
    </row>
    <row r="117" s="3" customFormat="1" ht="14.25" customHeight="1" spans="1:8">
      <c r="A117" s="7">
        <v>114</v>
      </c>
      <c r="B117" s="7" t="str">
        <f>"114020200401222622160068"</f>
        <v>114020200401222622160068</v>
      </c>
      <c r="C117" s="7" t="s">
        <v>42</v>
      </c>
      <c r="D117" s="7" t="str">
        <f>"文诗云"</f>
        <v>文诗云</v>
      </c>
      <c r="E117" s="7" t="str">
        <f t="shared" si="13"/>
        <v>女</v>
      </c>
      <c r="F117" s="7" t="s">
        <v>127</v>
      </c>
      <c r="G117" s="7" t="s">
        <v>12</v>
      </c>
      <c r="H117" s="7"/>
    </row>
    <row r="118" s="3" customFormat="1" ht="14.25" customHeight="1" spans="1:8">
      <c r="A118" s="7">
        <v>115</v>
      </c>
      <c r="B118" s="7" t="str">
        <f>"114020200402092617160112"</f>
        <v>114020200402092617160112</v>
      </c>
      <c r="C118" s="7" t="s">
        <v>42</v>
      </c>
      <c r="D118" s="7" t="str">
        <f>"马琴"</f>
        <v>马琴</v>
      </c>
      <c r="E118" s="7" t="str">
        <f t="shared" si="13"/>
        <v>女</v>
      </c>
      <c r="F118" s="7" t="s">
        <v>128</v>
      </c>
      <c r="G118" s="7" t="s">
        <v>12</v>
      </c>
      <c r="H118" s="7"/>
    </row>
    <row r="119" s="3" customFormat="1" ht="14.25" customHeight="1" spans="1:8">
      <c r="A119" s="7">
        <v>116</v>
      </c>
      <c r="B119" s="7" t="str">
        <f>"114020200402101615160127"</f>
        <v>114020200402101615160127</v>
      </c>
      <c r="C119" s="7" t="s">
        <v>42</v>
      </c>
      <c r="D119" s="7" t="str">
        <f>"谢先耀"</f>
        <v>谢先耀</v>
      </c>
      <c r="E119" s="7" t="str">
        <f>"男"</f>
        <v>男</v>
      </c>
      <c r="F119" s="7" t="s">
        <v>129</v>
      </c>
      <c r="G119" s="7" t="s">
        <v>12</v>
      </c>
      <c r="H119" s="7"/>
    </row>
    <row r="120" s="3" customFormat="1" ht="14.25" customHeight="1" spans="1:8">
      <c r="A120" s="7">
        <v>117</v>
      </c>
      <c r="B120" s="7" t="str">
        <f>"114020200402155902160217"</f>
        <v>114020200402155902160217</v>
      </c>
      <c r="C120" s="7" t="s">
        <v>42</v>
      </c>
      <c r="D120" s="7" t="str">
        <f>"陈世红"</f>
        <v>陈世红</v>
      </c>
      <c r="E120" s="7" t="str">
        <f t="shared" ref="E120:E126" si="14">"女"</f>
        <v>女</v>
      </c>
      <c r="F120" s="7" t="s">
        <v>130</v>
      </c>
      <c r="G120" s="7" t="s">
        <v>12</v>
      </c>
      <c r="H120" s="7"/>
    </row>
    <row r="121" s="3" customFormat="1" ht="14.25" customHeight="1" spans="1:8">
      <c r="A121" s="7">
        <v>118</v>
      </c>
      <c r="B121" s="7" t="str">
        <f>"114020200402163221160233"</f>
        <v>114020200402163221160233</v>
      </c>
      <c r="C121" s="7" t="s">
        <v>42</v>
      </c>
      <c r="D121" s="7" t="str">
        <f>"王丽琴"</f>
        <v>王丽琴</v>
      </c>
      <c r="E121" s="7" t="str">
        <f t="shared" si="14"/>
        <v>女</v>
      </c>
      <c r="F121" s="7" t="s">
        <v>131</v>
      </c>
      <c r="G121" s="7" t="s">
        <v>12</v>
      </c>
      <c r="H121" s="7"/>
    </row>
    <row r="122" s="3" customFormat="1" ht="14.25" customHeight="1" spans="1:8">
      <c r="A122" s="7">
        <v>119</v>
      </c>
      <c r="B122" s="7" t="str">
        <f>"114020200402174441160261"</f>
        <v>114020200402174441160261</v>
      </c>
      <c r="C122" s="7" t="s">
        <v>42</v>
      </c>
      <c r="D122" s="7" t="str">
        <f>"许明文"</f>
        <v>许明文</v>
      </c>
      <c r="E122" s="7" t="str">
        <f>"男"</f>
        <v>男</v>
      </c>
      <c r="F122" s="7" t="s">
        <v>132</v>
      </c>
      <c r="G122" s="7" t="s">
        <v>12</v>
      </c>
      <c r="H122" s="7"/>
    </row>
    <row r="123" s="3" customFormat="1" ht="14.25" customHeight="1" spans="1:8">
      <c r="A123" s="7">
        <v>120</v>
      </c>
      <c r="B123" s="7" t="str">
        <f>"114020200402203321160292"</f>
        <v>114020200402203321160292</v>
      </c>
      <c r="C123" s="7" t="s">
        <v>42</v>
      </c>
      <c r="D123" s="7" t="str">
        <f>" 周美君"</f>
        <v> 周美君</v>
      </c>
      <c r="E123" s="7" t="str">
        <f t="shared" si="14"/>
        <v>女</v>
      </c>
      <c r="F123" s="7" t="s">
        <v>133</v>
      </c>
      <c r="G123" s="7" t="s">
        <v>12</v>
      </c>
      <c r="H123" s="7"/>
    </row>
    <row r="124" s="3" customFormat="1" ht="14.25" customHeight="1" spans="1:8">
      <c r="A124" s="7">
        <v>121</v>
      </c>
      <c r="B124" s="7" t="str">
        <f>"114020200402210501160302"</f>
        <v>114020200402210501160302</v>
      </c>
      <c r="C124" s="7" t="s">
        <v>42</v>
      </c>
      <c r="D124" s="7" t="str">
        <f>"符永悄"</f>
        <v>符永悄</v>
      </c>
      <c r="E124" s="7" t="str">
        <f t="shared" si="14"/>
        <v>女</v>
      </c>
      <c r="F124" s="7" t="s">
        <v>134</v>
      </c>
      <c r="G124" s="7" t="s">
        <v>12</v>
      </c>
      <c r="H124" s="7"/>
    </row>
    <row r="125" s="3" customFormat="1" ht="14.25" customHeight="1" spans="1:8">
      <c r="A125" s="7">
        <v>122</v>
      </c>
      <c r="B125" s="7" t="str">
        <f>"114020200402211407160305"</f>
        <v>114020200402211407160305</v>
      </c>
      <c r="C125" s="7" t="s">
        <v>42</v>
      </c>
      <c r="D125" s="7" t="str">
        <f>"谭火芸"</f>
        <v>谭火芸</v>
      </c>
      <c r="E125" s="7" t="str">
        <f t="shared" si="14"/>
        <v>女</v>
      </c>
      <c r="F125" s="7" t="s">
        <v>135</v>
      </c>
      <c r="G125" s="7" t="s">
        <v>12</v>
      </c>
      <c r="H125" s="7"/>
    </row>
    <row r="126" s="3" customFormat="1" ht="14.25" customHeight="1" spans="1:8">
      <c r="A126" s="7">
        <v>123</v>
      </c>
      <c r="B126" s="7" t="str">
        <f>"114020200402213621160314"</f>
        <v>114020200402213621160314</v>
      </c>
      <c r="C126" s="7" t="s">
        <v>42</v>
      </c>
      <c r="D126" s="7" t="str">
        <f>"邱月玲"</f>
        <v>邱月玲</v>
      </c>
      <c r="E126" s="7" t="str">
        <f t="shared" si="14"/>
        <v>女</v>
      </c>
      <c r="F126" s="7" t="s">
        <v>136</v>
      </c>
      <c r="G126" s="7" t="s">
        <v>12</v>
      </c>
      <c r="H126" s="7"/>
    </row>
    <row r="127" s="3" customFormat="1" ht="14.25" customHeight="1" spans="1:8">
      <c r="A127" s="7">
        <v>124</v>
      </c>
      <c r="B127" s="7" t="str">
        <f>"114020200403105204160401"</f>
        <v>114020200403105204160401</v>
      </c>
      <c r="C127" s="7" t="s">
        <v>42</v>
      </c>
      <c r="D127" s="7" t="str">
        <f>"王国兴"</f>
        <v>王国兴</v>
      </c>
      <c r="E127" s="7" t="str">
        <f>"男"</f>
        <v>男</v>
      </c>
      <c r="F127" s="7" t="s">
        <v>137</v>
      </c>
      <c r="G127" s="7" t="s">
        <v>12</v>
      </c>
      <c r="H127" s="7"/>
    </row>
    <row r="128" s="3" customFormat="1" ht="14.25" customHeight="1" spans="1:8">
      <c r="A128" s="7">
        <v>125</v>
      </c>
      <c r="B128" s="7" t="str">
        <f>"114020200403121457160436"</f>
        <v>114020200403121457160436</v>
      </c>
      <c r="C128" s="7" t="s">
        <v>42</v>
      </c>
      <c r="D128" s="7" t="str">
        <f>"王承娜"</f>
        <v>王承娜</v>
      </c>
      <c r="E128" s="7" t="str">
        <f t="shared" ref="E128:E133" si="15">"女"</f>
        <v>女</v>
      </c>
      <c r="F128" s="7" t="s">
        <v>138</v>
      </c>
      <c r="G128" s="7" t="s">
        <v>12</v>
      </c>
      <c r="H128" s="7"/>
    </row>
    <row r="129" s="3" customFormat="1" ht="14.25" customHeight="1" spans="1:8">
      <c r="A129" s="7">
        <v>126</v>
      </c>
      <c r="B129" s="7" t="str">
        <f>"114020200403161909160494"</f>
        <v>114020200403161909160494</v>
      </c>
      <c r="C129" s="7" t="s">
        <v>42</v>
      </c>
      <c r="D129" s="7" t="str">
        <f>"卢娅妮"</f>
        <v>卢娅妮</v>
      </c>
      <c r="E129" s="7" t="str">
        <f t="shared" si="15"/>
        <v>女</v>
      </c>
      <c r="F129" s="7" t="s">
        <v>139</v>
      </c>
      <c r="G129" s="7" t="s">
        <v>12</v>
      </c>
      <c r="H129" s="7"/>
    </row>
    <row r="130" s="3" customFormat="1" ht="14.25" customHeight="1" spans="1:8">
      <c r="A130" s="7">
        <v>127</v>
      </c>
      <c r="B130" s="7" t="str">
        <f>"114020200404085542160582"</f>
        <v>114020200404085542160582</v>
      </c>
      <c r="C130" s="7" t="s">
        <v>42</v>
      </c>
      <c r="D130" s="7" t="str">
        <f>"庞玉"</f>
        <v>庞玉</v>
      </c>
      <c r="E130" s="7" t="str">
        <f t="shared" si="15"/>
        <v>女</v>
      </c>
      <c r="F130" s="7" t="s">
        <v>140</v>
      </c>
      <c r="G130" s="7" t="s">
        <v>12</v>
      </c>
      <c r="H130" s="7"/>
    </row>
    <row r="131" s="3" customFormat="1" ht="14.25" customHeight="1" spans="1:8">
      <c r="A131" s="7">
        <v>128</v>
      </c>
      <c r="B131" s="7" t="str">
        <f>"114020200404161756160627"</f>
        <v>114020200404161756160627</v>
      </c>
      <c r="C131" s="7" t="s">
        <v>42</v>
      </c>
      <c r="D131" s="7" t="str">
        <f>"符李燕"</f>
        <v>符李燕</v>
      </c>
      <c r="E131" s="7" t="str">
        <f t="shared" si="15"/>
        <v>女</v>
      </c>
      <c r="F131" s="7" t="s">
        <v>141</v>
      </c>
      <c r="G131" s="7" t="s">
        <v>12</v>
      </c>
      <c r="H131" s="7"/>
    </row>
    <row r="132" s="3" customFormat="1" ht="14.25" customHeight="1" spans="1:8">
      <c r="A132" s="7">
        <v>129</v>
      </c>
      <c r="B132" s="7" t="str">
        <f>"114020200404194402160648"</f>
        <v>114020200404194402160648</v>
      </c>
      <c r="C132" s="7" t="s">
        <v>42</v>
      </c>
      <c r="D132" s="7" t="str">
        <f>"王春月"</f>
        <v>王春月</v>
      </c>
      <c r="E132" s="7" t="str">
        <f t="shared" si="15"/>
        <v>女</v>
      </c>
      <c r="F132" s="7" t="s">
        <v>142</v>
      </c>
      <c r="G132" s="7" t="s">
        <v>12</v>
      </c>
      <c r="H132" s="7"/>
    </row>
    <row r="133" s="3" customFormat="1" ht="14.25" customHeight="1" spans="1:8">
      <c r="A133" s="7">
        <v>130</v>
      </c>
      <c r="B133" s="7" t="str">
        <f>"114020200404203329160653"</f>
        <v>114020200404203329160653</v>
      </c>
      <c r="C133" s="7" t="s">
        <v>42</v>
      </c>
      <c r="D133" s="7" t="str">
        <f>"王来银"</f>
        <v>王来银</v>
      </c>
      <c r="E133" s="7" t="str">
        <f t="shared" si="15"/>
        <v>女</v>
      </c>
      <c r="F133" s="7" t="s">
        <v>143</v>
      </c>
      <c r="G133" s="7" t="s">
        <v>12</v>
      </c>
      <c r="H133" s="7"/>
    </row>
    <row r="134" s="3" customFormat="1" ht="14.25" customHeight="1" spans="1:8">
      <c r="A134" s="7">
        <v>131</v>
      </c>
      <c r="B134" s="7" t="str">
        <f>"114020200405235208161037"</f>
        <v>114020200405235208161037</v>
      </c>
      <c r="C134" s="7" t="s">
        <v>42</v>
      </c>
      <c r="D134" s="7" t="str">
        <f>"赵永旺"</f>
        <v>赵永旺</v>
      </c>
      <c r="E134" s="7" t="str">
        <f t="shared" ref="E134:E137" si="16">"男"</f>
        <v>男</v>
      </c>
      <c r="F134" s="7" t="s">
        <v>144</v>
      </c>
      <c r="G134" s="7" t="s">
        <v>12</v>
      </c>
      <c r="H134" s="7"/>
    </row>
    <row r="135" s="3" customFormat="1" ht="14.25" customHeight="1" spans="1:8">
      <c r="A135" s="7">
        <v>132</v>
      </c>
      <c r="B135" s="7" t="str">
        <f>"114020200328090106157132"</f>
        <v>114020200328090106157132</v>
      </c>
      <c r="C135" s="7" t="s">
        <v>145</v>
      </c>
      <c r="D135" s="7" t="str">
        <f>"张生晖"</f>
        <v>张生晖</v>
      </c>
      <c r="E135" s="7" t="str">
        <f t="shared" si="16"/>
        <v>男</v>
      </c>
      <c r="F135" s="7" t="s">
        <v>146</v>
      </c>
      <c r="G135" s="7" t="s">
        <v>12</v>
      </c>
      <c r="H135" s="7"/>
    </row>
    <row r="136" s="3" customFormat="1" ht="14.25" customHeight="1" spans="1:8">
      <c r="A136" s="7">
        <v>133</v>
      </c>
      <c r="B136" s="7" t="str">
        <f>"114020200328092054157181"</f>
        <v>114020200328092054157181</v>
      </c>
      <c r="C136" s="7" t="s">
        <v>145</v>
      </c>
      <c r="D136" s="7" t="str">
        <f>"张爱萍"</f>
        <v>张爱萍</v>
      </c>
      <c r="E136" s="7" t="str">
        <f t="shared" ref="E136:E143" si="17">"女"</f>
        <v>女</v>
      </c>
      <c r="F136" s="7" t="s">
        <v>147</v>
      </c>
      <c r="G136" s="7" t="s">
        <v>12</v>
      </c>
      <c r="H136" s="7"/>
    </row>
    <row r="137" s="3" customFormat="1" ht="14.25" customHeight="1" spans="1:8">
      <c r="A137" s="7">
        <v>134</v>
      </c>
      <c r="B137" s="7" t="str">
        <f>"114020200328092234157184"</f>
        <v>114020200328092234157184</v>
      </c>
      <c r="C137" s="7" t="s">
        <v>145</v>
      </c>
      <c r="D137" s="7" t="str">
        <f>"裴威侃"</f>
        <v>裴威侃</v>
      </c>
      <c r="E137" s="7" t="str">
        <f t="shared" si="16"/>
        <v>男</v>
      </c>
      <c r="F137" s="7" t="s">
        <v>148</v>
      </c>
      <c r="G137" s="7" t="s">
        <v>12</v>
      </c>
      <c r="H137" s="7"/>
    </row>
    <row r="138" s="3" customFormat="1" ht="14.25" customHeight="1" spans="1:8">
      <c r="A138" s="7">
        <v>135</v>
      </c>
      <c r="B138" s="7" t="str">
        <f>"114020200328094156157234"</f>
        <v>114020200328094156157234</v>
      </c>
      <c r="C138" s="7" t="s">
        <v>145</v>
      </c>
      <c r="D138" s="7" t="str">
        <f>"卢银叶"</f>
        <v>卢银叶</v>
      </c>
      <c r="E138" s="7" t="str">
        <f t="shared" si="17"/>
        <v>女</v>
      </c>
      <c r="F138" s="7" t="s">
        <v>149</v>
      </c>
      <c r="G138" s="7" t="s">
        <v>12</v>
      </c>
      <c r="H138" s="7"/>
    </row>
    <row r="139" s="3" customFormat="1" ht="14.25" customHeight="1" spans="1:8">
      <c r="A139" s="7">
        <v>136</v>
      </c>
      <c r="B139" s="7" t="str">
        <f>"114020200328095236157255"</f>
        <v>114020200328095236157255</v>
      </c>
      <c r="C139" s="7" t="s">
        <v>145</v>
      </c>
      <c r="D139" s="7" t="str">
        <f>"秦海霞"</f>
        <v>秦海霞</v>
      </c>
      <c r="E139" s="7" t="str">
        <f t="shared" si="17"/>
        <v>女</v>
      </c>
      <c r="F139" s="7" t="s">
        <v>150</v>
      </c>
      <c r="G139" s="7" t="s">
        <v>12</v>
      </c>
      <c r="H139" s="7"/>
    </row>
    <row r="140" s="3" customFormat="1" ht="14.25" customHeight="1" spans="1:8">
      <c r="A140" s="7">
        <v>137</v>
      </c>
      <c r="B140" s="7" t="str">
        <f>"114020200328102529157342"</f>
        <v>114020200328102529157342</v>
      </c>
      <c r="C140" s="7" t="s">
        <v>145</v>
      </c>
      <c r="D140" s="7" t="str">
        <f>"王雪倩"</f>
        <v>王雪倩</v>
      </c>
      <c r="E140" s="7" t="str">
        <f t="shared" si="17"/>
        <v>女</v>
      </c>
      <c r="F140" s="7" t="s">
        <v>151</v>
      </c>
      <c r="G140" s="7" t="s">
        <v>12</v>
      </c>
      <c r="H140" s="7"/>
    </row>
    <row r="141" s="3" customFormat="1" ht="14.25" customHeight="1" spans="1:8">
      <c r="A141" s="7">
        <v>138</v>
      </c>
      <c r="B141" s="7" t="str">
        <f>"114020200328110025157420"</f>
        <v>114020200328110025157420</v>
      </c>
      <c r="C141" s="7" t="s">
        <v>145</v>
      </c>
      <c r="D141" s="7" t="str">
        <f>"羊惠俊"</f>
        <v>羊惠俊</v>
      </c>
      <c r="E141" s="7" t="str">
        <f t="shared" si="17"/>
        <v>女</v>
      </c>
      <c r="F141" s="7" t="s">
        <v>152</v>
      </c>
      <c r="G141" s="7" t="s">
        <v>12</v>
      </c>
      <c r="H141" s="7"/>
    </row>
    <row r="142" s="3" customFormat="1" ht="14.25" customHeight="1" spans="1:8">
      <c r="A142" s="7">
        <v>139</v>
      </c>
      <c r="B142" s="7" t="str">
        <f>"114020200328113414157485"</f>
        <v>114020200328113414157485</v>
      </c>
      <c r="C142" s="7" t="s">
        <v>145</v>
      </c>
      <c r="D142" s="7" t="str">
        <f>"吴宏华"</f>
        <v>吴宏华</v>
      </c>
      <c r="E142" s="7" t="str">
        <f t="shared" si="17"/>
        <v>女</v>
      </c>
      <c r="F142" s="7" t="s">
        <v>153</v>
      </c>
      <c r="G142" s="7" t="s">
        <v>12</v>
      </c>
      <c r="H142" s="7"/>
    </row>
    <row r="143" s="3" customFormat="1" ht="14.25" customHeight="1" spans="1:8">
      <c r="A143" s="7">
        <v>140</v>
      </c>
      <c r="B143" s="7" t="str">
        <f>"114020200328114520157506"</f>
        <v>114020200328114520157506</v>
      </c>
      <c r="C143" s="7" t="s">
        <v>145</v>
      </c>
      <c r="D143" s="7" t="str">
        <f>"吴燕萍"</f>
        <v>吴燕萍</v>
      </c>
      <c r="E143" s="7" t="str">
        <f t="shared" si="17"/>
        <v>女</v>
      </c>
      <c r="F143" s="7" t="s">
        <v>154</v>
      </c>
      <c r="G143" s="7" t="s">
        <v>12</v>
      </c>
      <c r="H143" s="7"/>
    </row>
    <row r="144" s="3" customFormat="1" ht="14.25" customHeight="1" spans="1:8">
      <c r="A144" s="7">
        <v>141</v>
      </c>
      <c r="B144" s="7" t="str">
        <f>"114020200328133645157691"</f>
        <v>114020200328133645157691</v>
      </c>
      <c r="C144" s="7" t="s">
        <v>145</v>
      </c>
      <c r="D144" s="7" t="str">
        <f>"许阳润"</f>
        <v>许阳润</v>
      </c>
      <c r="E144" s="7" t="str">
        <f>"男"</f>
        <v>男</v>
      </c>
      <c r="F144" s="7" t="s">
        <v>155</v>
      </c>
      <c r="G144" s="7" t="s">
        <v>12</v>
      </c>
      <c r="H144" s="7"/>
    </row>
    <row r="145" s="3" customFormat="1" ht="14.25" customHeight="1" spans="1:8">
      <c r="A145" s="7">
        <v>142</v>
      </c>
      <c r="B145" s="7" t="str">
        <f>"114020200328134318157701"</f>
        <v>114020200328134318157701</v>
      </c>
      <c r="C145" s="7" t="s">
        <v>145</v>
      </c>
      <c r="D145" s="7" t="str">
        <f>"邓美玲"</f>
        <v>邓美玲</v>
      </c>
      <c r="E145" s="7" t="str">
        <f t="shared" ref="E145:E162" si="18">"女"</f>
        <v>女</v>
      </c>
      <c r="F145" s="7" t="s">
        <v>156</v>
      </c>
      <c r="G145" s="7" t="s">
        <v>12</v>
      </c>
      <c r="H145" s="7"/>
    </row>
    <row r="146" s="3" customFormat="1" ht="14.25" customHeight="1" spans="1:8">
      <c r="A146" s="7">
        <v>143</v>
      </c>
      <c r="B146" s="7" t="str">
        <f>"114020200328155425157826"</f>
        <v>114020200328155425157826</v>
      </c>
      <c r="C146" s="7" t="s">
        <v>145</v>
      </c>
      <c r="D146" s="7" t="str">
        <f>"林朝怡"</f>
        <v>林朝怡</v>
      </c>
      <c r="E146" s="7" t="str">
        <f t="shared" si="18"/>
        <v>女</v>
      </c>
      <c r="F146" s="7" t="s">
        <v>157</v>
      </c>
      <c r="G146" s="7" t="s">
        <v>12</v>
      </c>
      <c r="H146" s="7"/>
    </row>
    <row r="147" s="3" customFormat="1" ht="14.25" customHeight="1" spans="1:8">
      <c r="A147" s="7">
        <v>144</v>
      </c>
      <c r="B147" s="7" t="str">
        <f>"114020200328181256157949"</f>
        <v>114020200328181256157949</v>
      </c>
      <c r="C147" s="7" t="s">
        <v>145</v>
      </c>
      <c r="D147" s="7" t="str">
        <f>"苏朝露"</f>
        <v>苏朝露</v>
      </c>
      <c r="E147" s="7" t="str">
        <f t="shared" si="18"/>
        <v>女</v>
      </c>
      <c r="F147" s="7" t="s">
        <v>158</v>
      </c>
      <c r="G147" s="7" t="s">
        <v>12</v>
      </c>
      <c r="H147" s="7"/>
    </row>
    <row r="148" s="3" customFormat="1" ht="14.25" customHeight="1" spans="1:8">
      <c r="A148" s="7">
        <v>145</v>
      </c>
      <c r="B148" s="7" t="str">
        <f>"114020200328182901157964"</f>
        <v>114020200328182901157964</v>
      </c>
      <c r="C148" s="7" t="s">
        <v>145</v>
      </c>
      <c r="D148" s="7" t="str">
        <f>"郑史冰"</f>
        <v>郑史冰</v>
      </c>
      <c r="E148" s="7" t="str">
        <f t="shared" si="18"/>
        <v>女</v>
      </c>
      <c r="F148" s="7" t="s">
        <v>159</v>
      </c>
      <c r="G148" s="7" t="s">
        <v>12</v>
      </c>
      <c r="H148" s="7"/>
    </row>
    <row r="149" s="3" customFormat="1" ht="14.25" customHeight="1" spans="1:8">
      <c r="A149" s="7">
        <v>146</v>
      </c>
      <c r="B149" s="7" t="str">
        <f>"114020200328182919157965"</f>
        <v>114020200328182919157965</v>
      </c>
      <c r="C149" s="7" t="s">
        <v>145</v>
      </c>
      <c r="D149" s="7" t="str">
        <f>"陆漫"</f>
        <v>陆漫</v>
      </c>
      <c r="E149" s="7" t="str">
        <f t="shared" si="18"/>
        <v>女</v>
      </c>
      <c r="F149" s="7" t="s">
        <v>160</v>
      </c>
      <c r="G149" s="7" t="s">
        <v>12</v>
      </c>
      <c r="H149" s="7"/>
    </row>
    <row r="150" s="3" customFormat="1" ht="14.25" customHeight="1" spans="1:8">
      <c r="A150" s="7">
        <v>147</v>
      </c>
      <c r="B150" s="7" t="str">
        <f>"114020200328202410158042"</f>
        <v>114020200328202410158042</v>
      </c>
      <c r="C150" s="7" t="s">
        <v>145</v>
      </c>
      <c r="D150" s="7" t="str">
        <f>"钟露芸"</f>
        <v>钟露芸</v>
      </c>
      <c r="E150" s="7" t="str">
        <f t="shared" si="18"/>
        <v>女</v>
      </c>
      <c r="F150" s="7" t="s">
        <v>161</v>
      </c>
      <c r="G150" s="7" t="s">
        <v>12</v>
      </c>
      <c r="H150" s="7"/>
    </row>
    <row r="151" s="3" customFormat="1" ht="14.25" customHeight="1" spans="1:8">
      <c r="A151" s="7">
        <v>148</v>
      </c>
      <c r="B151" s="7" t="str">
        <f>"114020200328202747158045"</f>
        <v>114020200328202747158045</v>
      </c>
      <c r="C151" s="7" t="s">
        <v>145</v>
      </c>
      <c r="D151" s="7" t="str">
        <f>"王菲"</f>
        <v>王菲</v>
      </c>
      <c r="E151" s="7" t="str">
        <f t="shared" si="18"/>
        <v>女</v>
      </c>
      <c r="F151" s="7" t="s">
        <v>162</v>
      </c>
      <c r="G151" s="7" t="s">
        <v>12</v>
      </c>
      <c r="H151" s="7"/>
    </row>
    <row r="152" s="3" customFormat="1" ht="14.25" customHeight="1" spans="1:8">
      <c r="A152" s="7">
        <v>149</v>
      </c>
      <c r="B152" s="7" t="str">
        <f>"114020200328212724158091"</f>
        <v>114020200328212724158091</v>
      </c>
      <c r="C152" s="7" t="s">
        <v>145</v>
      </c>
      <c r="D152" s="7" t="str">
        <f>"卢文丽"</f>
        <v>卢文丽</v>
      </c>
      <c r="E152" s="7" t="str">
        <f t="shared" si="18"/>
        <v>女</v>
      </c>
      <c r="F152" s="7" t="s">
        <v>163</v>
      </c>
      <c r="G152" s="7" t="s">
        <v>12</v>
      </c>
      <c r="H152" s="7"/>
    </row>
    <row r="153" s="3" customFormat="1" ht="14.25" customHeight="1" spans="1:8">
      <c r="A153" s="7">
        <v>150</v>
      </c>
      <c r="B153" s="7" t="str">
        <f>"114020200328222612158131"</f>
        <v>114020200328222612158131</v>
      </c>
      <c r="C153" s="7" t="s">
        <v>145</v>
      </c>
      <c r="D153" s="7" t="str">
        <f>"洪小曼"</f>
        <v>洪小曼</v>
      </c>
      <c r="E153" s="7" t="str">
        <f t="shared" si="18"/>
        <v>女</v>
      </c>
      <c r="F153" s="7" t="s">
        <v>164</v>
      </c>
      <c r="G153" s="7" t="s">
        <v>12</v>
      </c>
      <c r="H153" s="7"/>
    </row>
    <row r="154" s="3" customFormat="1" ht="14.25" customHeight="1" spans="1:8">
      <c r="A154" s="7">
        <v>151</v>
      </c>
      <c r="B154" s="7" t="str">
        <f>"114020200328224813158151"</f>
        <v>114020200328224813158151</v>
      </c>
      <c r="C154" s="7" t="s">
        <v>145</v>
      </c>
      <c r="D154" s="7" t="str">
        <f>"王丽君"</f>
        <v>王丽君</v>
      </c>
      <c r="E154" s="7" t="str">
        <f t="shared" si="18"/>
        <v>女</v>
      </c>
      <c r="F154" s="7" t="s">
        <v>165</v>
      </c>
      <c r="G154" s="7" t="s">
        <v>12</v>
      </c>
      <c r="H154" s="7"/>
    </row>
    <row r="155" s="3" customFormat="1" ht="14.25" customHeight="1" spans="1:8">
      <c r="A155" s="7">
        <v>152</v>
      </c>
      <c r="B155" s="7" t="str">
        <f>"114020200328230114158154"</f>
        <v>114020200328230114158154</v>
      </c>
      <c r="C155" s="7" t="s">
        <v>145</v>
      </c>
      <c r="D155" s="7" t="str">
        <f>"邢清瑶"</f>
        <v>邢清瑶</v>
      </c>
      <c r="E155" s="7" t="str">
        <f t="shared" si="18"/>
        <v>女</v>
      </c>
      <c r="F155" s="7" t="s">
        <v>166</v>
      </c>
      <c r="G155" s="7" t="s">
        <v>12</v>
      </c>
      <c r="H155" s="7"/>
    </row>
    <row r="156" s="3" customFormat="1" ht="14.25" customHeight="1" spans="1:8">
      <c r="A156" s="7">
        <v>153</v>
      </c>
      <c r="B156" s="7" t="str">
        <f>"114020200329092044158222"</f>
        <v>114020200329092044158222</v>
      </c>
      <c r="C156" s="7" t="s">
        <v>145</v>
      </c>
      <c r="D156" s="7" t="str">
        <f>"陈葵尾"</f>
        <v>陈葵尾</v>
      </c>
      <c r="E156" s="7" t="str">
        <f t="shared" si="18"/>
        <v>女</v>
      </c>
      <c r="F156" s="7" t="s">
        <v>167</v>
      </c>
      <c r="G156" s="7" t="s">
        <v>12</v>
      </c>
      <c r="H156" s="7"/>
    </row>
    <row r="157" s="3" customFormat="1" ht="14.25" customHeight="1" spans="1:8">
      <c r="A157" s="7">
        <v>154</v>
      </c>
      <c r="B157" s="7" t="str">
        <f>"114020200329104429158289"</f>
        <v>114020200329104429158289</v>
      </c>
      <c r="C157" s="7" t="s">
        <v>145</v>
      </c>
      <c r="D157" s="7" t="str">
        <f>"黄彩荧"</f>
        <v>黄彩荧</v>
      </c>
      <c r="E157" s="7" t="str">
        <f t="shared" si="18"/>
        <v>女</v>
      </c>
      <c r="F157" s="7" t="s">
        <v>168</v>
      </c>
      <c r="G157" s="7" t="s">
        <v>12</v>
      </c>
      <c r="H157" s="7"/>
    </row>
    <row r="158" s="3" customFormat="1" ht="14.25" customHeight="1" spans="1:8">
      <c r="A158" s="7">
        <v>155</v>
      </c>
      <c r="B158" s="7" t="str">
        <f>"114020200329131851158400"</f>
        <v>114020200329131851158400</v>
      </c>
      <c r="C158" s="7" t="s">
        <v>145</v>
      </c>
      <c r="D158" s="7" t="str">
        <f>"谢上珠"</f>
        <v>谢上珠</v>
      </c>
      <c r="E158" s="7" t="str">
        <f t="shared" si="18"/>
        <v>女</v>
      </c>
      <c r="F158" s="7" t="s">
        <v>169</v>
      </c>
      <c r="G158" s="7" t="s">
        <v>12</v>
      </c>
      <c r="H158" s="7"/>
    </row>
    <row r="159" s="3" customFormat="1" ht="14.25" customHeight="1" spans="1:8">
      <c r="A159" s="7">
        <v>156</v>
      </c>
      <c r="B159" s="7" t="str">
        <f>"114020200329143727158441"</f>
        <v>114020200329143727158441</v>
      </c>
      <c r="C159" s="7" t="s">
        <v>145</v>
      </c>
      <c r="D159" s="7" t="str">
        <f>"曾少梅"</f>
        <v>曾少梅</v>
      </c>
      <c r="E159" s="7" t="str">
        <f t="shared" si="18"/>
        <v>女</v>
      </c>
      <c r="F159" s="7" t="s">
        <v>170</v>
      </c>
      <c r="G159" s="7" t="s">
        <v>12</v>
      </c>
      <c r="H159" s="7"/>
    </row>
    <row r="160" s="3" customFormat="1" ht="14.25" customHeight="1" spans="1:8">
      <c r="A160" s="7">
        <v>157</v>
      </c>
      <c r="B160" s="7" t="str">
        <f>"114020200329162445158488"</f>
        <v>114020200329162445158488</v>
      </c>
      <c r="C160" s="7" t="s">
        <v>145</v>
      </c>
      <c r="D160" s="7" t="str">
        <f>"李欣欣"</f>
        <v>李欣欣</v>
      </c>
      <c r="E160" s="7" t="str">
        <f t="shared" si="18"/>
        <v>女</v>
      </c>
      <c r="F160" s="7" t="s">
        <v>171</v>
      </c>
      <c r="G160" s="7" t="s">
        <v>12</v>
      </c>
      <c r="H160" s="7"/>
    </row>
    <row r="161" s="3" customFormat="1" ht="14.25" customHeight="1" spans="1:8">
      <c r="A161" s="7">
        <v>158</v>
      </c>
      <c r="B161" s="7" t="str">
        <f>"114020200329170503158512"</f>
        <v>114020200329170503158512</v>
      </c>
      <c r="C161" s="7" t="s">
        <v>145</v>
      </c>
      <c r="D161" s="7" t="str">
        <f>"蔡扬孟"</f>
        <v>蔡扬孟</v>
      </c>
      <c r="E161" s="7" t="str">
        <f t="shared" si="18"/>
        <v>女</v>
      </c>
      <c r="F161" s="7" t="s">
        <v>172</v>
      </c>
      <c r="G161" s="7" t="s">
        <v>12</v>
      </c>
      <c r="H161" s="7"/>
    </row>
    <row r="162" s="3" customFormat="1" ht="14.25" customHeight="1" spans="1:8">
      <c r="A162" s="7">
        <v>159</v>
      </c>
      <c r="B162" s="7" t="str">
        <f>"114020200329171912158521"</f>
        <v>114020200329171912158521</v>
      </c>
      <c r="C162" s="7" t="s">
        <v>145</v>
      </c>
      <c r="D162" s="7" t="str">
        <f>"施美虹"</f>
        <v>施美虹</v>
      </c>
      <c r="E162" s="7" t="str">
        <f t="shared" si="18"/>
        <v>女</v>
      </c>
      <c r="F162" s="7" t="s">
        <v>173</v>
      </c>
      <c r="G162" s="7" t="s">
        <v>12</v>
      </c>
      <c r="H162" s="7"/>
    </row>
    <row r="163" s="3" customFormat="1" ht="14.25" customHeight="1" spans="1:8">
      <c r="A163" s="7">
        <v>160</v>
      </c>
      <c r="B163" s="7" t="str">
        <f>"114020200329172717158528"</f>
        <v>114020200329172717158528</v>
      </c>
      <c r="C163" s="7" t="s">
        <v>145</v>
      </c>
      <c r="D163" s="7" t="str">
        <f>"赵开朝"</f>
        <v>赵开朝</v>
      </c>
      <c r="E163" s="7" t="str">
        <f>"男"</f>
        <v>男</v>
      </c>
      <c r="F163" s="7" t="s">
        <v>174</v>
      </c>
      <c r="G163" s="7" t="s">
        <v>12</v>
      </c>
      <c r="H163" s="7"/>
    </row>
    <row r="164" s="3" customFormat="1" ht="14.25" customHeight="1" spans="1:8">
      <c r="A164" s="7">
        <v>161</v>
      </c>
      <c r="B164" s="7" t="str">
        <f>"114020200329174303158534"</f>
        <v>114020200329174303158534</v>
      </c>
      <c r="C164" s="7" t="s">
        <v>145</v>
      </c>
      <c r="D164" s="7" t="str">
        <f>"吴瑞运"</f>
        <v>吴瑞运</v>
      </c>
      <c r="E164" s="7" t="str">
        <f>"男"</f>
        <v>男</v>
      </c>
      <c r="F164" s="7" t="s">
        <v>175</v>
      </c>
      <c r="G164" s="7" t="s">
        <v>12</v>
      </c>
      <c r="H164" s="7"/>
    </row>
    <row r="165" s="3" customFormat="1" ht="14.25" customHeight="1" spans="1:8">
      <c r="A165" s="7">
        <v>162</v>
      </c>
      <c r="B165" s="7" t="str">
        <f>"114020200329181205158547"</f>
        <v>114020200329181205158547</v>
      </c>
      <c r="C165" s="7" t="s">
        <v>145</v>
      </c>
      <c r="D165" s="7" t="str">
        <f>"陈初坤"</f>
        <v>陈初坤</v>
      </c>
      <c r="E165" s="7" t="str">
        <f t="shared" ref="E165:E168" si="19">"女"</f>
        <v>女</v>
      </c>
      <c r="F165" s="7" t="s">
        <v>176</v>
      </c>
      <c r="G165" s="7" t="s">
        <v>12</v>
      </c>
      <c r="H165" s="7"/>
    </row>
    <row r="166" s="3" customFormat="1" ht="14.25" customHeight="1" spans="1:8">
      <c r="A166" s="7">
        <v>163</v>
      </c>
      <c r="B166" s="7" t="str">
        <f>"114020200329212245158667"</f>
        <v>114020200329212245158667</v>
      </c>
      <c r="C166" s="7" t="s">
        <v>145</v>
      </c>
      <c r="D166" s="7" t="str">
        <f>"何庆爱"</f>
        <v>何庆爱</v>
      </c>
      <c r="E166" s="7" t="str">
        <f t="shared" si="19"/>
        <v>女</v>
      </c>
      <c r="F166" s="7" t="s">
        <v>177</v>
      </c>
      <c r="G166" s="7" t="s">
        <v>12</v>
      </c>
      <c r="H166" s="7"/>
    </row>
    <row r="167" s="3" customFormat="1" ht="14.25" customHeight="1" spans="1:8">
      <c r="A167" s="7">
        <v>164</v>
      </c>
      <c r="B167" s="7" t="str">
        <f>"114020200329214639158679"</f>
        <v>114020200329214639158679</v>
      </c>
      <c r="C167" s="7" t="s">
        <v>145</v>
      </c>
      <c r="D167" s="7" t="str">
        <f>"陈惠娟"</f>
        <v>陈惠娟</v>
      </c>
      <c r="E167" s="7" t="str">
        <f t="shared" si="19"/>
        <v>女</v>
      </c>
      <c r="F167" s="7" t="s">
        <v>178</v>
      </c>
      <c r="G167" s="7" t="s">
        <v>12</v>
      </c>
      <c r="H167" s="7"/>
    </row>
    <row r="168" s="3" customFormat="1" ht="14.25" customHeight="1" spans="1:8">
      <c r="A168" s="7">
        <v>165</v>
      </c>
      <c r="B168" s="7" t="str">
        <f>"114020200329223717158711"</f>
        <v>114020200329223717158711</v>
      </c>
      <c r="C168" s="7" t="s">
        <v>145</v>
      </c>
      <c r="D168" s="7" t="str">
        <f>"李瑛"</f>
        <v>李瑛</v>
      </c>
      <c r="E168" s="7" t="str">
        <f t="shared" si="19"/>
        <v>女</v>
      </c>
      <c r="F168" s="7" t="s">
        <v>179</v>
      </c>
      <c r="G168" s="7" t="s">
        <v>12</v>
      </c>
      <c r="H168" s="7"/>
    </row>
    <row r="169" s="3" customFormat="1" ht="14.25" customHeight="1" spans="1:8">
      <c r="A169" s="7">
        <v>166</v>
      </c>
      <c r="B169" s="7" t="str">
        <f>"114020200329230141158725"</f>
        <v>114020200329230141158725</v>
      </c>
      <c r="C169" s="7" t="s">
        <v>145</v>
      </c>
      <c r="D169" s="7" t="str">
        <f>"王家宇"</f>
        <v>王家宇</v>
      </c>
      <c r="E169" s="7" t="str">
        <f>"男"</f>
        <v>男</v>
      </c>
      <c r="F169" s="7" t="s">
        <v>180</v>
      </c>
      <c r="G169" s="7" t="s">
        <v>12</v>
      </c>
      <c r="H169" s="7"/>
    </row>
    <row r="170" s="3" customFormat="1" ht="14.25" customHeight="1" spans="1:8">
      <c r="A170" s="7">
        <v>167</v>
      </c>
      <c r="B170" s="7" t="str">
        <f>"114020200330074144158757"</f>
        <v>114020200330074144158757</v>
      </c>
      <c r="C170" s="7" t="s">
        <v>145</v>
      </c>
      <c r="D170" s="7" t="str">
        <f>"高花"</f>
        <v>高花</v>
      </c>
      <c r="E170" s="7" t="str">
        <f t="shared" ref="E170:E176" si="20">"女"</f>
        <v>女</v>
      </c>
      <c r="F170" s="7" t="s">
        <v>181</v>
      </c>
      <c r="G170" s="7" t="s">
        <v>12</v>
      </c>
      <c r="H170" s="7"/>
    </row>
    <row r="171" s="3" customFormat="1" ht="14.25" customHeight="1" spans="1:8">
      <c r="A171" s="7">
        <v>168</v>
      </c>
      <c r="B171" s="7" t="str">
        <f>"114020200330085959158783"</f>
        <v>114020200330085959158783</v>
      </c>
      <c r="C171" s="7" t="s">
        <v>145</v>
      </c>
      <c r="D171" s="7" t="str">
        <f>"杨新会"</f>
        <v>杨新会</v>
      </c>
      <c r="E171" s="7" t="str">
        <f>"男"</f>
        <v>男</v>
      </c>
      <c r="F171" s="7" t="s">
        <v>182</v>
      </c>
      <c r="G171" s="7" t="s">
        <v>12</v>
      </c>
      <c r="H171" s="7"/>
    </row>
    <row r="172" s="3" customFormat="1" ht="14.25" customHeight="1" spans="1:8">
      <c r="A172" s="7">
        <v>169</v>
      </c>
      <c r="B172" s="7" t="str">
        <f>"114020200330090349158790"</f>
        <v>114020200330090349158790</v>
      </c>
      <c r="C172" s="7" t="s">
        <v>145</v>
      </c>
      <c r="D172" s="7" t="str">
        <f>"苏婷"</f>
        <v>苏婷</v>
      </c>
      <c r="E172" s="7" t="str">
        <f t="shared" si="20"/>
        <v>女</v>
      </c>
      <c r="F172" s="7" t="s">
        <v>183</v>
      </c>
      <c r="G172" s="7" t="s">
        <v>12</v>
      </c>
      <c r="H172" s="7"/>
    </row>
    <row r="173" s="3" customFormat="1" ht="14.25" customHeight="1" spans="1:8">
      <c r="A173" s="7">
        <v>170</v>
      </c>
      <c r="B173" s="7" t="str">
        <f>"114020200330091341158797"</f>
        <v>114020200330091341158797</v>
      </c>
      <c r="C173" s="7" t="s">
        <v>145</v>
      </c>
      <c r="D173" s="7" t="str">
        <f>"符建菲"</f>
        <v>符建菲</v>
      </c>
      <c r="E173" s="7" t="str">
        <f t="shared" si="20"/>
        <v>女</v>
      </c>
      <c r="F173" s="7" t="s">
        <v>184</v>
      </c>
      <c r="G173" s="7" t="s">
        <v>12</v>
      </c>
      <c r="H173" s="7"/>
    </row>
    <row r="174" s="3" customFormat="1" ht="14.25" customHeight="1" spans="1:8">
      <c r="A174" s="7">
        <v>171</v>
      </c>
      <c r="B174" s="7" t="str">
        <f>"114020200330091457158799"</f>
        <v>114020200330091457158799</v>
      </c>
      <c r="C174" s="7" t="s">
        <v>145</v>
      </c>
      <c r="D174" s="7" t="str">
        <f>"邢莉莉"</f>
        <v>邢莉莉</v>
      </c>
      <c r="E174" s="7" t="str">
        <f t="shared" si="20"/>
        <v>女</v>
      </c>
      <c r="F174" s="7" t="s">
        <v>185</v>
      </c>
      <c r="G174" s="7" t="s">
        <v>12</v>
      </c>
      <c r="H174" s="7"/>
    </row>
    <row r="175" s="3" customFormat="1" ht="14.25" customHeight="1" spans="1:8">
      <c r="A175" s="7">
        <v>172</v>
      </c>
      <c r="B175" s="7" t="str">
        <f>"114020200330104130158882"</f>
        <v>114020200330104130158882</v>
      </c>
      <c r="C175" s="7" t="s">
        <v>145</v>
      </c>
      <c r="D175" s="7" t="str">
        <f>"何月朋"</f>
        <v>何月朋</v>
      </c>
      <c r="E175" s="7" t="str">
        <f t="shared" si="20"/>
        <v>女</v>
      </c>
      <c r="F175" s="7" t="s">
        <v>186</v>
      </c>
      <c r="G175" s="7" t="s">
        <v>12</v>
      </c>
      <c r="H175" s="7"/>
    </row>
    <row r="176" s="3" customFormat="1" ht="14.25" customHeight="1" spans="1:8">
      <c r="A176" s="7">
        <v>173</v>
      </c>
      <c r="B176" s="7" t="str">
        <f>"114020200330111411158917"</f>
        <v>114020200330111411158917</v>
      </c>
      <c r="C176" s="7" t="s">
        <v>145</v>
      </c>
      <c r="D176" s="7" t="str">
        <f>"周莉"</f>
        <v>周莉</v>
      </c>
      <c r="E176" s="7" t="str">
        <f t="shared" si="20"/>
        <v>女</v>
      </c>
      <c r="F176" s="7" t="s">
        <v>187</v>
      </c>
      <c r="G176" s="7" t="s">
        <v>12</v>
      </c>
      <c r="H176" s="7"/>
    </row>
    <row r="177" s="3" customFormat="1" ht="14.25" customHeight="1" spans="1:8">
      <c r="A177" s="7">
        <v>174</v>
      </c>
      <c r="B177" s="7" t="str">
        <f>"114020200330120046158963"</f>
        <v>114020200330120046158963</v>
      </c>
      <c r="C177" s="7" t="s">
        <v>145</v>
      </c>
      <c r="D177" s="7" t="str">
        <f>"韩宇衍"</f>
        <v>韩宇衍</v>
      </c>
      <c r="E177" s="7" t="str">
        <f>"男"</f>
        <v>男</v>
      </c>
      <c r="F177" s="7" t="s">
        <v>188</v>
      </c>
      <c r="G177" s="7" t="s">
        <v>12</v>
      </c>
      <c r="H177" s="7"/>
    </row>
    <row r="178" s="3" customFormat="1" ht="14.25" customHeight="1" spans="1:8">
      <c r="A178" s="7">
        <v>175</v>
      </c>
      <c r="B178" s="7" t="str">
        <f>"114020200330120215158964"</f>
        <v>114020200330120215158964</v>
      </c>
      <c r="C178" s="7" t="s">
        <v>145</v>
      </c>
      <c r="D178" s="7" t="str">
        <f>"蔡天妃"</f>
        <v>蔡天妃</v>
      </c>
      <c r="E178" s="7" t="str">
        <f t="shared" ref="E178:E184" si="21">"女"</f>
        <v>女</v>
      </c>
      <c r="F178" s="7" t="s">
        <v>189</v>
      </c>
      <c r="G178" s="7" t="s">
        <v>12</v>
      </c>
      <c r="H178" s="7"/>
    </row>
    <row r="179" s="3" customFormat="1" ht="14.25" customHeight="1" spans="1:8">
      <c r="A179" s="7">
        <v>176</v>
      </c>
      <c r="B179" s="7" t="str">
        <f>"114020200330121425158973"</f>
        <v>114020200330121425158973</v>
      </c>
      <c r="C179" s="7" t="s">
        <v>145</v>
      </c>
      <c r="D179" s="7" t="str">
        <f>"高志春"</f>
        <v>高志春</v>
      </c>
      <c r="E179" s="7" t="str">
        <f t="shared" si="21"/>
        <v>女</v>
      </c>
      <c r="F179" s="7" t="s">
        <v>190</v>
      </c>
      <c r="G179" s="7" t="s">
        <v>12</v>
      </c>
      <c r="H179" s="7"/>
    </row>
    <row r="180" s="3" customFormat="1" ht="14.25" customHeight="1" spans="1:8">
      <c r="A180" s="7">
        <v>177</v>
      </c>
      <c r="B180" s="7" t="str">
        <f>"114020200330143349159057"</f>
        <v>114020200330143349159057</v>
      </c>
      <c r="C180" s="7" t="s">
        <v>145</v>
      </c>
      <c r="D180" s="7" t="str">
        <f>"禤明玥"</f>
        <v>禤明玥</v>
      </c>
      <c r="E180" s="7" t="str">
        <f t="shared" si="21"/>
        <v>女</v>
      </c>
      <c r="F180" s="7" t="s">
        <v>191</v>
      </c>
      <c r="G180" s="7" t="s">
        <v>12</v>
      </c>
      <c r="H180" s="7"/>
    </row>
    <row r="181" s="3" customFormat="1" ht="14.25" customHeight="1" spans="1:8">
      <c r="A181" s="7">
        <v>178</v>
      </c>
      <c r="B181" s="7" t="str">
        <f>"114020200330153124159087"</f>
        <v>114020200330153124159087</v>
      </c>
      <c r="C181" s="7" t="s">
        <v>145</v>
      </c>
      <c r="D181" s="7" t="str">
        <f>"莫亚燕"</f>
        <v>莫亚燕</v>
      </c>
      <c r="E181" s="7" t="str">
        <f t="shared" si="21"/>
        <v>女</v>
      </c>
      <c r="F181" s="7" t="s">
        <v>192</v>
      </c>
      <c r="G181" s="7" t="s">
        <v>12</v>
      </c>
      <c r="H181" s="7"/>
    </row>
    <row r="182" s="3" customFormat="1" ht="14.25" customHeight="1" spans="1:8">
      <c r="A182" s="7">
        <v>179</v>
      </c>
      <c r="B182" s="7" t="str">
        <f>"114020200330155443159106"</f>
        <v>114020200330155443159106</v>
      </c>
      <c r="C182" s="7" t="s">
        <v>145</v>
      </c>
      <c r="D182" s="7" t="str">
        <f>"李珊"</f>
        <v>李珊</v>
      </c>
      <c r="E182" s="7" t="str">
        <f t="shared" si="21"/>
        <v>女</v>
      </c>
      <c r="F182" s="7" t="s">
        <v>193</v>
      </c>
      <c r="G182" s="7" t="s">
        <v>12</v>
      </c>
      <c r="H182" s="7"/>
    </row>
    <row r="183" s="3" customFormat="1" ht="14.25" customHeight="1" spans="1:8">
      <c r="A183" s="7">
        <v>180</v>
      </c>
      <c r="B183" s="7" t="str">
        <f>"114020200330164532159146"</f>
        <v>114020200330164532159146</v>
      </c>
      <c r="C183" s="7" t="s">
        <v>145</v>
      </c>
      <c r="D183" s="7" t="str">
        <f>"钟兴研"</f>
        <v>钟兴研</v>
      </c>
      <c r="E183" s="7" t="str">
        <f t="shared" si="21"/>
        <v>女</v>
      </c>
      <c r="F183" s="7" t="s">
        <v>194</v>
      </c>
      <c r="G183" s="7" t="s">
        <v>12</v>
      </c>
      <c r="H183" s="7"/>
    </row>
    <row r="184" s="3" customFormat="1" ht="14.25" customHeight="1" spans="1:8">
      <c r="A184" s="7">
        <v>181</v>
      </c>
      <c r="B184" s="7" t="str">
        <f>"114020200330194008159229"</f>
        <v>114020200330194008159229</v>
      </c>
      <c r="C184" s="7" t="s">
        <v>145</v>
      </c>
      <c r="D184" s="7" t="str">
        <f>"唐如花"</f>
        <v>唐如花</v>
      </c>
      <c r="E184" s="7" t="str">
        <f t="shared" si="21"/>
        <v>女</v>
      </c>
      <c r="F184" s="7" t="s">
        <v>195</v>
      </c>
      <c r="G184" s="7" t="s">
        <v>12</v>
      </c>
      <c r="H184" s="7"/>
    </row>
    <row r="185" s="3" customFormat="1" ht="14.25" customHeight="1" spans="1:8">
      <c r="A185" s="7">
        <v>182</v>
      </c>
      <c r="B185" s="7" t="str">
        <f>"114020200330223835159330"</f>
        <v>114020200330223835159330</v>
      </c>
      <c r="C185" s="7" t="s">
        <v>145</v>
      </c>
      <c r="D185" s="7" t="str">
        <f>"蔡亲壮"</f>
        <v>蔡亲壮</v>
      </c>
      <c r="E185" s="7" t="str">
        <f>"男"</f>
        <v>男</v>
      </c>
      <c r="F185" s="7" t="s">
        <v>196</v>
      </c>
      <c r="G185" s="7" t="s">
        <v>12</v>
      </c>
      <c r="H185" s="7"/>
    </row>
    <row r="186" s="3" customFormat="1" ht="14.25" customHeight="1" spans="1:8">
      <c r="A186" s="7">
        <v>183</v>
      </c>
      <c r="B186" s="7" t="str">
        <f>"114020200331102133159410"</f>
        <v>114020200331102133159410</v>
      </c>
      <c r="C186" s="7" t="s">
        <v>145</v>
      </c>
      <c r="D186" s="7" t="str">
        <f>"江浪"</f>
        <v>江浪</v>
      </c>
      <c r="E186" s="7" t="str">
        <f>"男"</f>
        <v>男</v>
      </c>
      <c r="F186" s="7" t="s">
        <v>197</v>
      </c>
      <c r="G186" s="7" t="s">
        <v>12</v>
      </c>
      <c r="H186" s="7"/>
    </row>
    <row r="187" s="3" customFormat="1" ht="14.25" customHeight="1" spans="1:8">
      <c r="A187" s="7">
        <v>184</v>
      </c>
      <c r="B187" s="7" t="str">
        <f>"114020200331104718159423"</f>
        <v>114020200331104718159423</v>
      </c>
      <c r="C187" s="7" t="s">
        <v>145</v>
      </c>
      <c r="D187" s="7" t="str">
        <f>"陈荣烹"</f>
        <v>陈荣烹</v>
      </c>
      <c r="E187" s="7" t="str">
        <f t="shared" ref="E187:E191" si="22">"女"</f>
        <v>女</v>
      </c>
      <c r="F187" s="7" t="s">
        <v>198</v>
      </c>
      <c r="G187" s="7" t="s">
        <v>12</v>
      </c>
      <c r="H187" s="7"/>
    </row>
    <row r="188" s="3" customFormat="1" ht="14.25" customHeight="1" spans="1:8">
      <c r="A188" s="7">
        <v>185</v>
      </c>
      <c r="B188" s="7" t="str">
        <f>"114020200331105001159424"</f>
        <v>114020200331105001159424</v>
      </c>
      <c r="C188" s="7" t="s">
        <v>145</v>
      </c>
      <c r="D188" s="7" t="str">
        <f>"黎引芳"</f>
        <v>黎引芳</v>
      </c>
      <c r="E188" s="7" t="str">
        <f t="shared" si="22"/>
        <v>女</v>
      </c>
      <c r="F188" s="7" t="s">
        <v>199</v>
      </c>
      <c r="G188" s="7" t="s">
        <v>12</v>
      </c>
      <c r="H188" s="7"/>
    </row>
    <row r="189" s="3" customFormat="1" ht="14.25" customHeight="1" spans="1:8">
      <c r="A189" s="7">
        <v>186</v>
      </c>
      <c r="B189" s="7" t="str">
        <f>"114020200331122038159469"</f>
        <v>114020200331122038159469</v>
      </c>
      <c r="C189" s="7" t="s">
        <v>145</v>
      </c>
      <c r="D189" s="7" t="str">
        <f>"石翠引"</f>
        <v>石翠引</v>
      </c>
      <c r="E189" s="7" t="str">
        <f t="shared" si="22"/>
        <v>女</v>
      </c>
      <c r="F189" s="7" t="s">
        <v>200</v>
      </c>
      <c r="G189" s="7" t="s">
        <v>12</v>
      </c>
      <c r="H189" s="7"/>
    </row>
    <row r="190" s="3" customFormat="1" ht="14.25" customHeight="1" spans="1:8">
      <c r="A190" s="7">
        <v>187</v>
      </c>
      <c r="B190" s="7" t="str">
        <f>"114020200331142415159536"</f>
        <v>114020200331142415159536</v>
      </c>
      <c r="C190" s="7" t="s">
        <v>145</v>
      </c>
      <c r="D190" s="7" t="str">
        <f>"金风坤"</f>
        <v>金风坤</v>
      </c>
      <c r="E190" s="7" t="str">
        <f t="shared" si="22"/>
        <v>女</v>
      </c>
      <c r="F190" s="7" t="s">
        <v>201</v>
      </c>
      <c r="G190" s="7" t="s">
        <v>12</v>
      </c>
      <c r="H190" s="7"/>
    </row>
    <row r="191" s="3" customFormat="1" ht="14.25" customHeight="1" spans="1:8">
      <c r="A191" s="7">
        <v>188</v>
      </c>
      <c r="B191" s="7" t="str">
        <f>"114020200331144241159543"</f>
        <v>114020200331144241159543</v>
      </c>
      <c r="C191" s="7" t="s">
        <v>145</v>
      </c>
      <c r="D191" s="7" t="str">
        <f>"罗婉如"</f>
        <v>罗婉如</v>
      </c>
      <c r="E191" s="7" t="str">
        <f t="shared" si="22"/>
        <v>女</v>
      </c>
      <c r="F191" s="7" t="s">
        <v>202</v>
      </c>
      <c r="G191" s="7" t="s">
        <v>12</v>
      </c>
      <c r="H191" s="7"/>
    </row>
    <row r="192" s="3" customFormat="1" ht="14.25" customHeight="1" spans="1:8">
      <c r="A192" s="7">
        <v>189</v>
      </c>
      <c r="B192" s="7" t="str">
        <f>"114020200331155752159577"</f>
        <v>114020200331155752159577</v>
      </c>
      <c r="C192" s="7" t="s">
        <v>145</v>
      </c>
      <c r="D192" s="7" t="str">
        <f>"王才莲"</f>
        <v>王才莲</v>
      </c>
      <c r="E192" s="7" t="str">
        <f>"男"</f>
        <v>男</v>
      </c>
      <c r="F192" s="7" t="s">
        <v>203</v>
      </c>
      <c r="G192" s="7" t="s">
        <v>12</v>
      </c>
      <c r="H192" s="7"/>
    </row>
    <row r="193" s="3" customFormat="1" ht="14.25" customHeight="1" spans="1:8">
      <c r="A193" s="7">
        <v>190</v>
      </c>
      <c r="B193" s="7" t="str">
        <f>"114020200331160008159580"</f>
        <v>114020200331160008159580</v>
      </c>
      <c r="C193" s="7" t="s">
        <v>145</v>
      </c>
      <c r="D193" s="7" t="str">
        <f>"陈泽川"</f>
        <v>陈泽川</v>
      </c>
      <c r="E193" s="7" t="str">
        <f t="shared" ref="E193:E195" si="23">"女"</f>
        <v>女</v>
      </c>
      <c r="F193" s="7" t="s">
        <v>204</v>
      </c>
      <c r="G193" s="7" t="s">
        <v>12</v>
      </c>
      <c r="H193" s="7"/>
    </row>
    <row r="194" s="3" customFormat="1" ht="14.25" customHeight="1" spans="1:8">
      <c r="A194" s="7">
        <v>191</v>
      </c>
      <c r="B194" s="7" t="str">
        <f>"114020200331182849159634"</f>
        <v>114020200331182849159634</v>
      </c>
      <c r="C194" s="7" t="s">
        <v>145</v>
      </c>
      <c r="D194" s="7" t="str">
        <f>"邱雪"</f>
        <v>邱雪</v>
      </c>
      <c r="E194" s="7" t="str">
        <f t="shared" si="23"/>
        <v>女</v>
      </c>
      <c r="F194" s="7" t="s">
        <v>205</v>
      </c>
      <c r="G194" s="7" t="s">
        <v>12</v>
      </c>
      <c r="H194" s="7"/>
    </row>
    <row r="195" s="3" customFormat="1" ht="14.25" customHeight="1" spans="1:8">
      <c r="A195" s="7">
        <v>192</v>
      </c>
      <c r="B195" s="7" t="str">
        <f>"114020200401080226159739"</f>
        <v>114020200401080226159739</v>
      </c>
      <c r="C195" s="7" t="s">
        <v>145</v>
      </c>
      <c r="D195" s="7" t="str">
        <f>"陈玉曼"</f>
        <v>陈玉曼</v>
      </c>
      <c r="E195" s="7" t="str">
        <f t="shared" si="23"/>
        <v>女</v>
      </c>
      <c r="F195" s="7" t="s">
        <v>206</v>
      </c>
      <c r="G195" s="7" t="s">
        <v>12</v>
      </c>
      <c r="H195" s="7"/>
    </row>
    <row r="196" s="3" customFormat="1" ht="14.25" customHeight="1" spans="1:8">
      <c r="A196" s="7">
        <v>193</v>
      </c>
      <c r="B196" s="7" t="str">
        <f>"114020200401095453159769"</f>
        <v>114020200401095453159769</v>
      </c>
      <c r="C196" s="7" t="s">
        <v>145</v>
      </c>
      <c r="D196" s="7" t="str">
        <f>"徐启溯"</f>
        <v>徐启溯</v>
      </c>
      <c r="E196" s="7" t="str">
        <f>"男"</f>
        <v>男</v>
      </c>
      <c r="F196" s="7" t="s">
        <v>207</v>
      </c>
      <c r="G196" s="7" t="s">
        <v>12</v>
      </c>
      <c r="H196" s="7"/>
    </row>
    <row r="197" s="3" customFormat="1" ht="14.25" customHeight="1" spans="1:8">
      <c r="A197" s="7">
        <v>194</v>
      </c>
      <c r="B197" s="7" t="str">
        <f>"114020200401105209159791"</f>
        <v>114020200401105209159791</v>
      </c>
      <c r="C197" s="7" t="s">
        <v>145</v>
      </c>
      <c r="D197" s="7" t="str">
        <f>"林海霞"</f>
        <v>林海霞</v>
      </c>
      <c r="E197" s="7" t="str">
        <f t="shared" ref="E197:E202" si="24">"女"</f>
        <v>女</v>
      </c>
      <c r="F197" s="7" t="s">
        <v>208</v>
      </c>
      <c r="G197" s="7" t="s">
        <v>12</v>
      </c>
      <c r="H197" s="7"/>
    </row>
    <row r="198" s="3" customFormat="1" ht="14.25" customHeight="1" spans="1:8">
      <c r="A198" s="7">
        <v>195</v>
      </c>
      <c r="B198" s="7" t="str">
        <f>"114020200401143153159871"</f>
        <v>114020200401143153159871</v>
      </c>
      <c r="C198" s="7" t="s">
        <v>145</v>
      </c>
      <c r="D198" s="7" t="str">
        <f>"陈桂美"</f>
        <v>陈桂美</v>
      </c>
      <c r="E198" s="7" t="str">
        <f t="shared" si="24"/>
        <v>女</v>
      </c>
      <c r="F198" s="7" t="s">
        <v>209</v>
      </c>
      <c r="G198" s="7" t="s">
        <v>12</v>
      </c>
      <c r="H198" s="7"/>
    </row>
    <row r="199" s="3" customFormat="1" ht="14.25" customHeight="1" spans="1:8">
      <c r="A199" s="7">
        <v>196</v>
      </c>
      <c r="B199" s="7" t="str">
        <f>"114020200401165059159944"</f>
        <v>114020200401165059159944</v>
      </c>
      <c r="C199" s="7" t="s">
        <v>145</v>
      </c>
      <c r="D199" s="7" t="str">
        <f>"邓依"</f>
        <v>邓依</v>
      </c>
      <c r="E199" s="7" t="str">
        <f t="shared" si="24"/>
        <v>女</v>
      </c>
      <c r="F199" s="7" t="s">
        <v>210</v>
      </c>
      <c r="G199" s="7" t="s">
        <v>12</v>
      </c>
      <c r="H199" s="7"/>
    </row>
    <row r="200" s="3" customFormat="1" ht="14.25" customHeight="1" spans="1:8">
      <c r="A200" s="7">
        <v>197</v>
      </c>
      <c r="B200" s="7" t="str">
        <f>"114020200401201426160014"</f>
        <v>114020200401201426160014</v>
      </c>
      <c r="C200" s="7" t="s">
        <v>145</v>
      </c>
      <c r="D200" s="7" t="str">
        <f>"李桂芳"</f>
        <v>李桂芳</v>
      </c>
      <c r="E200" s="7" t="str">
        <f t="shared" si="24"/>
        <v>女</v>
      </c>
      <c r="F200" s="7" t="s">
        <v>211</v>
      </c>
      <c r="G200" s="7" t="s">
        <v>12</v>
      </c>
      <c r="H200" s="7"/>
    </row>
    <row r="201" s="3" customFormat="1" ht="14.25" customHeight="1" spans="1:8">
      <c r="A201" s="7">
        <v>198</v>
      </c>
      <c r="B201" s="7" t="str">
        <f>"114020200401211320160036"</f>
        <v>114020200401211320160036</v>
      </c>
      <c r="C201" s="7" t="s">
        <v>145</v>
      </c>
      <c r="D201" s="7" t="str">
        <f>"卢丽芳"</f>
        <v>卢丽芳</v>
      </c>
      <c r="E201" s="7" t="str">
        <f t="shared" si="24"/>
        <v>女</v>
      </c>
      <c r="F201" s="7" t="s">
        <v>212</v>
      </c>
      <c r="G201" s="7" t="s">
        <v>12</v>
      </c>
      <c r="H201" s="7"/>
    </row>
    <row r="202" s="3" customFormat="1" ht="14.25" customHeight="1" spans="1:8">
      <c r="A202" s="7">
        <v>199</v>
      </c>
      <c r="B202" s="7" t="str">
        <f>"114020200401230305160079"</f>
        <v>114020200401230305160079</v>
      </c>
      <c r="C202" s="7" t="s">
        <v>145</v>
      </c>
      <c r="D202" s="7" t="str">
        <f>"王友靖"</f>
        <v>王友靖</v>
      </c>
      <c r="E202" s="7" t="str">
        <f t="shared" si="24"/>
        <v>女</v>
      </c>
      <c r="F202" s="7" t="s">
        <v>213</v>
      </c>
      <c r="G202" s="7" t="s">
        <v>12</v>
      </c>
      <c r="H202" s="7"/>
    </row>
    <row r="203" s="3" customFormat="1" ht="14.25" customHeight="1" spans="1:8">
      <c r="A203" s="7">
        <v>200</v>
      </c>
      <c r="B203" s="7" t="str">
        <f>"114020200402112602160143"</f>
        <v>114020200402112602160143</v>
      </c>
      <c r="C203" s="7" t="s">
        <v>145</v>
      </c>
      <c r="D203" s="7" t="str">
        <f>"洪仕特"</f>
        <v>洪仕特</v>
      </c>
      <c r="E203" s="7" t="str">
        <f>"男"</f>
        <v>男</v>
      </c>
      <c r="F203" s="7" t="s">
        <v>214</v>
      </c>
      <c r="G203" s="7" t="s">
        <v>12</v>
      </c>
      <c r="H203" s="7"/>
    </row>
    <row r="204" s="3" customFormat="1" ht="14.25" customHeight="1" spans="1:8">
      <c r="A204" s="7">
        <v>201</v>
      </c>
      <c r="B204" s="7" t="str">
        <f>"114020200402155443160214"</f>
        <v>114020200402155443160214</v>
      </c>
      <c r="C204" s="7" t="s">
        <v>145</v>
      </c>
      <c r="D204" s="7" t="str">
        <f>"蒲贝丽"</f>
        <v>蒲贝丽</v>
      </c>
      <c r="E204" s="7" t="str">
        <f t="shared" ref="E204:E207" si="25">"女"</f>
        <v>女</v>
      </c>
      <c r="F204" s="7" t="s">
        <v>215</v>
      </c>
      <c r="G204" s="7" t="s">
        <v>12</v>
      </c>
      <c r="H204" s="7"/>
    </row>
    <row r="205" s="3" customFormat="1" ht="14.25" customHeight="1" spans="1:8">
      <c r="A205" s="7">
        <v>202</v>
      </c>
      <c r="B205" s="7" t="str">
        <f>"114020200402170401160248"</f>
        <v>114020200402170401160248</v>
      </c>
      <c r="C205" s="7" t="s">
        <v>145</v>
      </c>
      <c r="D205" s="7" t="str">
        <f>"赵晓坚"</f>
        <v>赵晓坚</v>
      </c>
      <c r="E205" s="7" t="str">
        <f t="shared" si="25"/>
        <v>女</v>
      </c>
      <c r="F205" s="7" t="s">
        <v>216</v>
      </c>
      <c r="G205" s="7" t="s">
        <v>12</v>
      </c>
      <c r="H205" s="7"/>
    </row>
    <row r="206" s="3" customFormat="1" ht="14.25" customHeight="1" spans="1:8">
      <c r="A206" s="7">
        <v>203</v>
      </c>
      <c r="B206" s="7" t="str">
        <f>"114020200402174503160262"</f>
        <v>114020200402174503160262</v>
      </c>
      <c r="C206" s="7" t="s">
        <v>145</v>
      </c>
      <c r="D206" s="7" t="str">
        <f>"吴炳彩"</f>
        <v>吴炳彩</v>
      </c>
      <c r="E206" s="7" t="str">
        <f t="shared" si="25"/>
        <v>女</v>
      </c>
      <c r="F206" s="7" t="s">
        <v>217</v>
      </c>
      <c r="G206" s="7" t="s">
        <v>12</v>
      </c>
      <c r="H206" s="7"/>
    </row>
    <row r="207" s="3" customFormat="1" ht="14.25" customHeight="1" spans="1:8">
      <c r="A207" s="7">
        <v>204</v>
      </c>
      <c r="B207" s="7" t="str">
        <f>"114020200402220846160332"</f>
        <v>114020200402220846160332</v>
      </c>
      <c r="C207" s="7" t="s">
        <v>145</v>
      </c>
      <c r="D207" s="7" t="str">
        <f>"高靚"</f>
        <v>高靚</v>
      </c>
      <c r="E207" s="7" t="str">
        <f t="shared" si="25"/>
        <v>女</v>
      </c>
      <c r="F207" s="7" t="s">
        <v>218</v>
      </c>
      <c r="G207" s="7" t="s">
        <v>12</v>
      </c>
      <c r="H207" s="7"/>
    </row>
    <row r="208" s="3" customFormat="1" ht="14.25" customHeight="1" spans="1:8">
      <c r="A208" s="7">
        <v>205</v>
      </c>
      <c r="B208" s="7" t="str">
        <f>"114020200403091928160377"</f>
        <v>114020200403091928160377</v>
      </c>
      <c r="C208" s="7" t="s">
        <v>145</v>
      </c>
      <c r="D208" s="7" t="str">
        <f>"叶保端"</f>
        <v>叶保端</v>
      </c>
      <c r="E208" s="7" t="str">
        <f>"男"</f>
        <v>男</v>
      </c>
      <c r="F208" s="7" t="s">
        <v>219</v>
      </c>
      <c r="G208" s="7" t="s">
        <v>12</v>
      </c>
      <c r="H208" s="7"/>
    </row>
    <row r="209" s="3" customFormat="1" ht="14.25" customHeight="1" spans="1:8">
      <c r="A209" s="7">
        <v>206</v>
      </c>
      <c r="B209" s="7" t="str">
        <f>"114020200403114617160423"</f>
        <v>114020200403114617160423</v>
      </c>
      <c r="C209" s="7" t="s">
        <v>145</v>
      </c>
      <c r="D209" s="7" t="str">
        <f>"骆华转"</f>
        <v>骆华转</v>
      </c>
      <c r="E209" s="7" t="str">
        <f t="shared" ref="E209:E216" si="26">"女"</f>
        <v>女</v>
      </c>
      <c r="F209" s="7" t="s">
        <v>220</v>
      </c>
      <c r="G209" s="7" t="s">
        <v>12</v>
      </c>
      <c r="H209" s="7"/>
    </row>
    <row r="210" s="3" customFormat="1" ht="14.25" customHeight="1" spans="1:8">
      <c r="A210" s="7">
        <v>207</v>
      </c>
      <c r="B210" s="7" t="str">
        <f>"114020200403131215160454"</f>
        <v>114020200403131215160454</v>
      </c>
      <c r="C210" s="7" t="s">
        <v>145</v>
      </c>
      <c r="D210" s="7" t="str">
        <f>"王梨丹"</f>
        <v>王梨丹</v>
      </c>
      <c r="E210" s="7" t="str">
        <f t="shared" si="26"/>
        <v>女</v>
      </c>
      <c r="F210" s="7" t="s">
        <v>221</v>
      </c>
      <c r="G210" s="7" t="s">
        <v>12</v>
      </c>
      <c r="H210" s="7"/>
    </row>
    <row r="211" s="3" customFormat="1" ht="14.25" customHeight="1" spans="1:8">
      <c r="A211" s="7">
        <v>208</v>
      </c>
      <c r="B211" s="7" t="str">
        <f>"114020200403160003160491"</f>
        <v>114020200403160003160491</v>
      </c>
      <c r="C211" s="7" t="s">
        <v>145</v>
      </c>
      <c r="D211" s="7" t="str">
        <f>"毕云天"</f>
        <v>毕云天</v>
      </c>
      <c r="E211" s="7" t="str">
        <f t="shared" si="26"/>
        <v>女</v>
      </c>
      <c r="F211" s="7" t="s">
        <v>222</v>
      </c>
      <c r="G211" s="7" t="s">
        <v>12</v>
      </c>
      <c r="H211" s="7"/>
    </row>
    <row r="212" s="3" customFormat="1" ht="14.25" customHeight="1" spans="1:8">
      <c r="A212" s="7">
        <v>209</v>
      </c>
      <c r="B212" s="7" t="str">
        <f>"114020200403175412160523"</f>
        <v>114020200403175412160523</v>
      </c>
      <c r="C212" s="7" t="s">
        <v>145</v>
      </c>
      <c r="D212" s="7" t="str">
        <f>"李岩带"</f>
        <v>李岩带</v>
      </c>
      <c r="E212" s="7" t="str">
        <f t="shared" si="26"/>
        <v>女</v>
      </c>
      <c r="F212" s="7" t="s">
        <v>223</v>
      </c>
      <c r="G212" s="7" t="s">
        <v>12</v>
      </c>
      <c r="H212" s="7"/>
    </row>
    <row r="213" s="3" customFormat="1" ht="14.25" customHeight="1" spans="1:8">
      <c r="A213" s="7">
        <v>210</v>
      </c>
      <c r="B213" s="7" t="str">
        <f>"114020200404231543160690"</f>
        <v>114020200404231543160690</v>
      </c>
      <c r="C213" s="7" t="s">
        <v>145</v>
      </c>
      <c r="D213" s="7" t="str">
        <f>"陈艳婷"</f>
        <v>陈艳婷</v>
      </c>
      <c r="E213" s="7" t="str">
        <f t="shared" si="26"/>
        <v>女</v>
      </c>
      <c r="F213" s="7" t="s">
        <v>224</v>
      </c>
      <c r="G213" s="7" t="s">
        <v>12</v>
      </c>
      <c r="H213" s="7"/>
    </row>
    <row r="214" s="3" customFormat="1" ht="14.25" customHeight="1" spans="1:8">
      <c r="A214" s="7">
        <v>211</v>
      </c>
      <c r="B214" s="7" t="str">
        <f>"114020200405001046160701"</f>
        <v>114020200405001046160701</v>
      </c>
      <c r="C214" s="7" t="s">
        <v>145</v>
      </c>
      <c r="D214" s="7" t="str">
        <f>"陈丽君"</f>
        <v>陈丽君</v>
      </c>
      <c r="E214" s="7" t="str">
        <f t="shared" si="26"/>
        <v>女</v>
      </c>
      <c r="F214" s="7" t="s">
        <v>225</v>
      </c>
      <c r="G214" s="7" t="s">
        <v>12</v>
      </c>
      <c r="H214" s="7"/>
    </row>
    <row r="215" s="3" customFormat="1" ht="14.25" customHeight="1" spans="1:8">
      <c r="A215" s="7">
        <v>212</v>
      </c>
      <c r="B215" s="7" t="str">
        <f>"114020200405103757160764"</f>
        <v>114020200405103757160764</v>
      </c>
      <c r="C215" s="7" t="s">
        <v>145</v>
      </c>
      <c r="D215" s="7" t="str">
        <f>"罗欢"</f>
        <v>罗欢</v>
      </c>
      <c r="E215" s="7" t="str">
        <f t="shared" si="26"/>
        <v>女</v>
      </c>
      <c r="F215" s="7" t="s">
        <v>226</v>
      </c>
      <c r="G215" s="7" t="s">
        <v>12</v>
      </c>
      <c r="H215" s="7"/>
    </row>
    <row r="216" s="3" customFormat="1" ht="14.25" customHeight="1" spans="1:8">
      <c r="A216" s="7">
        <v>213</v>
      </c>
      <c r="B216" s="7" t="str">
        <f>"114020200405170222160890"</f>
        <v>114020200405170222160890</v>
      </c>
      <c r="C216" s="7" t="s">
        <v>145</v>
      </c>
      <c r="D216" s="7" t="str">
        <f>"汤芷依"</f>
        <v>汤芷依</v>
      </c>
      <c r="E216" s="7" t="str">
        <f t="shared" si="26"/>
        <v>女</v>
      </c>
      <c r="F216" s="7" t="s">
        <v>227</v>
      </c>
      <c r="G216" s="7" t="s">
        <v>12</v>
      </c>
      <c r="H216" s="7"/>
    </row>
    <row r="217" s="3" customFormat="1" ht="14.25" customHeight="1" spans="1:8">
      <c r="A217" s="7">
        <v>214</v>
      </c>
      <c r="B217" s="7" t="str">
        <f>"114020200405214135160999"</f>
        <v>114020200405214135160999</v>
      </c>
      <c r="C217" s="7" t="s">
        <v>145</v>
      </c>
      <c r="D217" s="7" t="str">
        <f>"李照壮"</f>
        <v>李照壮</v>
      </c>
      <c r="E217" s="7" t="str">
        <f>"男"</f>
        <v>男</v>
      </c>
      <c r="F217" s="7" t="s">
        <v>228</v>
      </c>
      <c r="G217" s="7" t="s">
        <v>12</v>
      </c>
      <c r="H217" s="7"/>
    </row>
    <row r="218" s="3" customFormat="1" ht="14.25" customHeight="1" spans="1:8">
      <c r="A218" s="7">
        <v>215</v>
      </c>
      <c r="B218" s="7" t="str">
        <f>"114020200406024229161045"</f>
        <v>114020200406024229161045</v>
      </c>
      <c r="C218" s="7" t="s">
        <v>145</v>
      </c>
      <c r="D218" s="7" t="str">
        <f>"文霞"</f>
        <v>文霞</v>
      </c>
      <c r="E218" s="7" t="str">
        <f t="shared" ref="E218:E225" si="27">"女"</f>
        <v>女</v>
      </c>
      <c r="F218" s="7" t="s">
        <v>229</v>
      </c>
      <c r="G218" s="7" t="s">
        <v>12</v>
      </c>
      <c r="H218" s="7"/>
    </row>
    <row r="219" s="3" customFormat="1" ht="14.25" customHeight="1" spans="1:8">
      <c r="A219" s="7">
        <v>216</v>
      </c>
      <c r="B219" s="7" t="str">
        <f>"114020200406092744161074"</f>
        <v>114020200406092744161074</v>
      </c>
      <c r="C219" s="7" t="s">
        <v>145</v>
      </c>
      <c r="D219" s="7" t="str">
        <f>"钟祥薇"</f>
        <v>钟祥薇</v>
      </c>
      <c r="E219" s="7" t="str">
        <f t="shared" si="27"/>
        <v>女</v>
      </c>
      <c r="F219" s="7" t="s">
        <v>230</v>
      </c>
      <c r="G219" s="7" t="s">
        <v>12</v>
      </c>
      <c r="H219" s="7"/>
    </row>
    <row r="220" s="3" customFormat="1" ht="14.25" customHeight="1" spans="1:8">
      <c r="A220" s="7">
        <v>217</v>
      </c>
      <c r="B220" s="7" t="str">
        <f>"114020200406110155161137"</f>
        <v>114020200406110155161137</v>
      </c>
      <c r="C220" s="7" t="s">
        <v>145</v>
      </c>
      <c r="D220" s="7" t="str">
        <f>"卓艳丽"</f>
        <v>卓艳丽</v>
      </c>
      <c r="E220" s="7" t="str">
        <f t="shared" si="27"/>
        <v>女</v>
      </c>
      <c r="F220" s="7" t="s">
        <v>231</v>
      </c>
      <c r="G220" s="7" t="s">
        <v>12</v>
      </c>
      <c r="H220" s="7"/>
    </row>
    <row r="221" s="3" customFormat="1" ht="14.25" customHeight="1" spans="1:8">
      <c r="A221" s="7">
        <v>218</v>
      </c>
      <c r="B221" s="7" t="str">
        <f>"114020200406114140161167"</f>
        <v>114020200406114140161167</v>
      </c>
      <c r="C221" s="7" t="s">
        <v>145</v>
      </c>
      <c r="D221" s="7" t="str">
        <f>"符利婷"</f>
        <v>符利婷</v>
      </c>
      <c r="E221" s="7" t="str">
        <f t="shared" si="27"/>
        <v>女</v>
      </c>
      <c r="F221" s="7" t="s">
        <v>232</v>
      </c>
      <c r="G221" s="7" t="s">
        <v>12</v>
      </c>
      <c r="H221" s="7"/>
    </row>
    <row r="222" s="3" customFormat="1" ht="14.25" customHeight="1" spans="1:8">
      <c r="A222" s="7">
        <v>219</v>
      </c>
      <c r="B222" s="7" t="str">
        <f>"114020200328090451157144"</f>
        <v>114020200328090451157144</v>
      </c>
      <c r="C222" s="7" t="s">
        <v>233</v>
      </c>
      <c r="D222" s="7" t="str">
        <f>"李馨荷"</f>
        <v>李馨荷</v>
      </c>
      <c r="E222" s="7" t="str">
        <f t="shared" si="27"/>
        <v>女</v>
      </c>
      <c r="F222" s="7" t="s">
        <v>234</v>
      </c>
      <c r="G222" s="7" t="s">
        <v>12</v>
      </c>
      <c r="H222" s="7"/>
    </row>
    <row r="223" s="3" customFormat="1" ht="14.25" customHeight="1" spans="1:8">
      <c r="A223" s="7">
        <v>220</v>
      </c>
      <c r="B223" s="7" t="str">
        <f>"114020200328091226157162"</f>
        <v>114020200328091226157162</v>
      </c>
      <c r="C223" s="7" t="s">
        <v>233</v>
      </c>
      <c r="D223" s="7" t="str">
        <f>"许月丽"</f>
        <v>许月丽</v>
      </c>
      <c r="E223" s="7" t="str">
        <f t="shared" si="27"/>
        <v>女</v>
      </c>
      <c r="F223" s="7" t="s">
        <v>235</v>
      </c>
      <c r="G223" s="7" t="s">
        <v>12</v>
      </c>
      <c r="H223" s="7"/>
    </row>
    <row r="224" s="3" customFormat="1" ht="14.25" customHeight="1" spans="1:8">
      <c r="A224" s="7">
        <v>221</v>
      </c>
      <c r="B224" s="7" t="str">
        <f>"114020200328092514157192"</f>
        <v>114020200328092514157192</v>
      </c>
      <c r="C224" s="7" t="s">
        <v>233</v>
      </c>
      <c r="D224" s="7" t="str">
        <f>"程丽月"</f>
        <v>程丽月</v>
      </c>
      <c r="E224" s="7" t="str">
        <f t="shared" si="27"/>
        <v>女</v>
      </c>
      <c r="F224" s="7" t="s">
        <v>236</v>
      </c>
      <c r="G224" s="7" t="s">
        <v>12</v>
      </c>
      <c r="H224" s="7"/>
    </row>
    <row r="225" s="3" customFormat="1" ht="14.25" customHeight="1" spans="1:8">
      <c r="A225" s="7">
        <v>222</v>
      </c>
      <c r="B225" s="7" t="str">
        <f>"114020200328094228157237"</f>
        <v>114020200328094228157237</v>
      </c>
      <c r="C225" s="7" t="s">
        <v>233</v>
      </c>
      <c r="D225" s="7" t="str">
        <f>"林小琴"</f>
        <v>林小琴</v>
      </c>
      <c r="E225" s="7" t="str">
        <f t="shared" si="27"/>
        <v>女</v>
      </c>
      <c r="F225" s="7" t="s">
        <v>237</v>
      </c>
      <c r="G225" s="7" t="s">
        <v>12</v>
      </c>
      <c r="H225" s="7"/>
    </row>
    <row r="226" s="3" customFormat="1" ht="14.25" customHeight="1" spans="1:8">
      <c r="A226" s="7">
        <v>223</v>
      </c>
      <c r="B226" s="7" t="str">
        <f>"114020200328095824157267"</f>
        <v>114020200328095824157267</v>
      </c>
      <c r="C226" s="7" t="s">
        <v>233</v>
      </c>
      <c r="D226" s="7" t="str">
        <f>"翁清"</f>
        <v>翁清</v>
      </c>
      <c r="E226" s="7" t="str">
        <f>"男"</f>
        <v>男</v>
      </c>
      <c r="F226" s="7" t="s">
        <v>238</v>
      </c>
      <c r="G226" s="7" t="s">
        <v>12</v>
      </c>
      <c r="H226" s="7"/>
    </row>
    <row r="227" s="3" customFormat="1" ht="14.25" customHeight="1" spans="1:8">
      <c r="A227" s="7">
        <v>224</v>
      </c>
      <c r="B227" s="7" t="str">
        <f>"114020200328100427157284"</f>
        <v>114020200328100427157284</v>
      </c>
      <c r="C227" s="7" t="s">
        <v>233</v>
      </c>
      <c r="D227" s="7" t="str">
        <f>"杨紫葵"</f>
        <v>杨紫葵</v>
      </c>
      <c r="E227" s="7" t="str">
        <f t="shared" ref="E227:E230" si="28">"女"</f>
        <v>女</v>
      </c>
      <c r="F227" s="7" t="s">
        <v>239</v>
      </c>
      <c r="G227" s="7" t="s">
        <v>12</v>
      </c>
      <c r="H227" s="7"/>
    </row>
    <row r="228" s="3" customFormat="1" ht="14.25" customHeight="1" spans="1:8">
      <c r="A228" s="7">
        <v>225</v>
      </c>
      <c r="B228" s="7" t="str">
        <f>"114020200328111044157444"</f>
        <v>114020200328111044157444</v>
      </c>
      <c r="C228" s="7" t="s">
        <v>233</v>
      </c>
      <c r="D228" s="7" t="str">
        <f>"符玉舅"</f>
        <v>符玉舅</v>
      </c>
      <c r="E228" s="7" t="str">
        <f t="shared" si="28"/>
        <v>女</v>
      </c>
      <c r="F228" s="7" t="s">
        <v>240</v>
      </c>
      <c r="G228" s="7" t="s">
        <v>12</v>
      </c>
      <c r="H228" s="7"/>
    </row>
    <row r="229" s="3" customFormat="1" ht="14.25" customHeight="1" spans="1:8">
      <c r="A229" s="7">
        <v>226</v>
      </c>
      <c r="B229" s="7" t="str">
        <f>"114020200328111244157447"</f>
        <v>114020200328111244157447</v>
      </c>
      <c r="C229" s="7" t="s">
        <v>233</v>
      </c>
      <c r="D229" s="7" t="str">
        <f>"文霓"</f>
        <v>文霓</v>
      </c>
      <c r="E229" s="7" t="str">
        <f t="shared" si="28"/>
        <v>女</v>
      </c>
      <c r="F229" s="7" t="s">
        <v>241</v>
      </c>
      <c r="G229" s="7" t="s">
        <v>12</v>
      </c>
      <c r="H229" s="7"/>
    </row>
    <row r="230" s="3" customFormat="1" ht="14.25" customHeight="1" spans="1:8">
      <c r="A230" s="7">
        <v>227</v>
      </c>
      <c r="B230" s="7" t="str">
        <f>"114020200328114756157512"</f>
        <v>114020200328114756157512</v>
      </c>
      <c r="C230" s="7" t="s">
        <v>233</v>
      </c>
      <c r="D230" s="7" t="str">
        <f>"林高茹"</f>
        <v>林高茹</v>
      </c>
      <c r="E230" s="7" t="str">
        <f t="shared" si="28"/>
        <v>女</v>
      </c>
      <c r="F230" s="7" t="s">
        <v>242</v>
      </c>
      <c r="G230" s="7" t="s">
        <v>12</v>
      </c>
      <c r="H230" s="7"/>
    </row>
    <row r="231" s="3" customFormat="1" ht="14.25" customHeight="1" spans="1:8">
      <c r="A231" s="7">
        <v>228</v>
      </c>
      <c r="B231" s="7" t="str">
        <f>"114020200328143601157752"</f>
        <v>114020200328143601157752</v>
      </c>
      <c r="C231" s="7" t="s">
        <v>233</v>
      </c>
      <c r="D231" s="7" t="str">
        <f>"郭帅"</f>
        <v>郭帅</v>
      </c>
      <c r="E231" s="7" t="str">
        <f>"男"</f>
        <v>男</v>
      </c>
      <c r="F231" s="7" t="s">
        <v>243</v>
      </c>
      <c r="G231" s="7" t="s">
        <v>12</v>
      </c>
      <c r="H231" s="7"/>
    </row>
    <row r="232" s="3" customFormat="1" ht="14.25" customHeight="1" spans="1:8">
      <c r="A232" s="7">
        <v>229</v>
      </c>
      <c r="B232" s="7" t="str">
        <f>"114020200328151346157779"</f>
        <v>114020200328151346157779</v>
      </c>
      <c r="C232" s="7" t="s">
        <v>233</v>
      </c>
      <c r="D232" s="7" t="str">
        <f>"张超"</f>
        <v>张超</v>
      </c>
      <c r="E232" s="7" t="str">
        <f t="shared" ref="E232:E242" si="29">"女"</f>
        <v>女</v>
      </c>
      <c r="F232" s="7" t="s">
        <v>244</v>
      </c>
      <c r="G232" s="7" t="s">
        <v>12</v>
      </c>
      <c r="H232" s="7"/>
    </row>
    <row r="233" s="3" customFormat="1" ht="14.25" customHeight="1" spans="1:8">
      <c r="A233" s="7">
        <v>230</v>
      </c>
      <c r="B233" s="7" t="str">
        <f>"114020200328184604157978"</f>
        <v>114020200328184604157978</v>
      </c>
      <c r="C233" s="7" t="s">
        <v>233</v>
      </c>
      <c r="D233" s="7" t="str">
        <f>"刘家伟"</f>
        <v>刘家伟</v>
      </c>
      <c r="E233" s="7" t="str">
        <f>"男"</f>
        <v>男</v>
      </c>
      <c r="F233" s="7" t="s">
        <v>245</v>
      </c>
      <c r="G233" s="7" t="s">
        <v>12</v>
      </c>
      <c r="H233" s="7"/>
    </row>
    <row r="234" s="3" customFormat="1" ht="14.25" customHeight="1" spans="1:8">
      <c r="A234" s="7">
        <v>231</v>
      </c>
      <c r="B234" s="7" t="str">
        <f>"114020200328203349158047"</f>
        <v>114020200328203349158047</v>
      </c>
      <c r="C234" s="7" t="s">
        <v>233</v>
      </c>
      <c r="D234" s="7" t="str">
        <f>"蔡茜茜"</f>
        <v>蔡茜茜</v>
      </c>
      <c r="E234" s="7" t="str">
        <f t="shared" si="29"/>
        <v>女</v>
      </c>
      <c r="F234" s="7" t="s">
        <v>246</v>
      </c>
      <c r="G234" s="7" t="s">
        <v>12</v>
      </c>
      <c r="H234" s="7"/>
    </row>
    <row r="235" s="3" customFormat="1" ht="14.25" customHeight="1" spans="1:8">
      <c r="A235" s="7">
        <v>232</v>
      </c>
      <c r="B235" s="7" t="str">
        <f>"114020200328234838158169"</f>
        <v>114020200328234838158169</v>
      </c>
      <c r="C235" s="7" t="s">
        <v>233</v>
      </c>
      <c r="D235" s="7" t="str">
        <f>"陈苏杭"</f>
        <v>陈苏杭</v>
      </c>
      <c r="E235" s="7" t="str">
        <f t="shared" si="29"/>
        <v>女</v>
      </c>
      <c r="F235" s="7" t="s">
        <v>247</v>
      </c>
      <c r="G235" s="7" t="s">
        <v>12</v>
      </c>
      <c r="H235" s="7"/>
    </row>
    <row r="236" s="3" customFormat="1" ht="14.25" customHeight="1" spans="1:8">
      <c r="A236" s="7">
        <v>233</v>
      </c>
      <c r="B236" s="7" t="str">
        <f>"114020200329100501158245"</f>
        <v>114020200329100501158245</v>
      </c>
      <c r="C236" s="7" t="s">
        <v>233</v>
      </c>
      <c r="D236" s="7" t="str">
        <f>"符倩珍"</f>
        <v>符倩珍</v>
      </c>
      <c r="E236" s="7" t="str">
        <f t="shared" si="29"/>
        <v>女</v>
      </c>
      <c r="F236" s="7" t="s">
        <v>248</v>
      </c>
      <c r="G236" s="7" t="s">
        <v>12</v>
      </c>
      <c r="H236" s="7"/>
    </row>
    <row r="237" s="3" customFormat="1" ht="14.25" customHeight="1" spans="1:8">
      <c r="A237" s="7">
        <v>234</v>
      </c>
      <c r="B237" s="7" t="str">
        <f>"114020200329120842158355"</f>
        <v>114020200329120842158355</v>
      </c>
      <c r="C237" s="7" t="s">
        <v>233</v>
      </c>
      <c r="D237" s="7" t="str">
        <f>"赵梅"</f>
        <v>赵梅</v>
      </c>
      <c r="E237" s="7" t="str">
        <f t="shared" si="29"/>
        <v>女</v>
      </c>
      <c r="F237" s="7" t="s">
        <v>249</v>
      </c>
      <c r="G237" s="7" t="s">
        <v>12</v>
      </c>
      <c r="H237" s="7"/>
    </row>
    <row r="238" s="3" customFormat="1" ht="14.25" customHeight="1" spans="1:8">
      <c r="A238" s="7">
        <v>235</v>
      </c>
      <c r="B238" s="7" t="str">
        <f>"114020200329151652158456"</f>
        <v>114020200329151652158456</v>
      </c>
      <c r="C238" s="7" t="s">
        <v>233</v>
      </c>
      <c r="D238" s="7" t="str">
        <f>"苏利曼"</f>
        <v>苏利曼</v>
      </c>
      <c r="E238" s="7" t="str">
        <f t="shared" si="29"/>
        <v>女</v>
      </c>
      <c r="F238" s="7" t="s">
        <v>250</v>
      </c>
      <c r="G238" s="7" t="s">
        <v>12</v>
      </c>
      <c r="H238" s="7"/>
    </row>
    <row r="239" s="3" customFormat="1" ht="14.25" customHeight="1" spans="1:8">
      <c r="A239" s="7">
        <v>236</v>
      </c>
      <c r="B239" s="7" t="str">
        <f>"114020200329170940158518"</f>
        <v>114020200329170940158518</v>
      </c>
      <c r="C239" s="7" t="s">
        <v>233</v>
      </c>
      <c r="D239" s="7" t="str">
        <f>"方洪玉"</f>
        <v>方洪玉</v>
      </c>
      <c r="E239" s="7" t="str">
        <f t="shared" si="29"/>
        <v>女</v>
      </c>
      <c r="F239" s="7" t="s">
        <v>251</v>
      </c>
      <c r="G239" s="7" t="s">
        <v>12</v>
      </c>
      <c r="H239" s="7"/>
    </row>
    <row r="240" s="3" customFormat="1" ht="14.25" customHeight="1" spans="1:8">
      <c r="A240" s="7">
        <v>237</v>
      </c>
      <c r="B240" s="7" t="str">
        <f>"114020200329183137158561"</f>
        <v>114020200329183137158561</v>
      </c>
      <c r="C240" s="7" t="s">
        <v>233</v>
      </c>
      <c r="D240" s="7" t="str">
        <f>"符小青"</f>
        <v>符小青</v>
      </c>
      <c r="E240" s="7" t="str">
        <f t="shared" si="29"/>
        <v>女</v>
      </c>
      <c r="F240" s="7" t="s">
        <v>252</v>
      </c>
      <c r="G240" s="7" t="s">
        <v>12</v>
      </c>
      <c r="H240" s="7"/>
    </row>
    <row r="241" s="3" customFormat="1" ht="14.25" customHeight="1" spans="1:8">
      <c r="A241" s="7">
        <v>238</v>
      </c>
      <c r="B241" s="7" t="str">
        <f>"114020200329201837158614"</f>
        <v>114020200329201837158614</v>
      </c>
      <c r="C241" s="7" t="s">
        <v>233</v>
      </c>
      <c r="D241" s="7" t="str">
        <f>"林春紫"</f>
        <v>林春紫</v>
      </c>
      <c r="E241" s="7" t="str">
        <f t="shared" si="29"/>
        <v>女</v>
      </c>
      <c r="F241" s="7" t="s">
        <v>253</v>
      </c>
      <c r="G241" s="7" t="s">
        <v>12</v>
      </c>
      <c r="H241" s="7"/>
    </row>
    <row r="242" s="3" customFormat="1" ht="14.25" customHeight="1" spans="1:8">
      <c r="A242" s="7">
        <v>239</v>
      </c>
      <c r="B242" s="7" t="str">
        <f>"114020200330093545158813"</f>
        <v>114020200330093545158813</v>
      </c>
      <c r="C242" s="7" t="s">
        <v>233</v>
      </c>
      <c r="D242" s="7" t="str">
        <f>"杜林青"</f>
        <v>杜林青</v>
      </c>
      <c r="E242" s="7" t="str">
        <f t="shared" si="29"/>
        <v>女</v>
      </c>
      <c r="F242" s="7" t="s">
        <v>254</v>
      </c>
      <c r="G242" s="7" t="s">
        <v>12</v>
      </c>
      <c r="H242" s="7"/>
    </row>
    <row r="243" s="3" customFormat="1" ht="14.25" customHeight="1" spans="1:8">
      <c r="A243" s="7">
        <v>240</v>
      </c>
      <c r="B243" s="7" t="str">
        <f>"114020200330094841158831"</f>
        <v>114020200330094841158831</v>
      </c>
      <c r="C243" s="7" t="s">
        <v>233</v>
      </c>
      <c r="D243" s="7" t="str">
        <f>"黎焕堂"</f>
        <v>黎焕堂</v>
      </c>
      <c r="E243" s="7" t="str">
        <f>"男"</f>
        <v>男</v>
      </c>
      <c r="F243" s="7" t="s">
        <v>255</v>
      </c>
      <c r="G243" s="7" t="s">
        <v>12</v>
      </c>
      <c r="H243" s="7"/>
    </row>
    <row r="244" s="3" customFormat="1" ht="14.25" customHeight="1" spans="1:8">
      <c r="A244" s="7">
        <v>241</v>
      </c>
      <c r="B244" s="7" t="str">
        <f>"114020200330101320158858"</f>
        <v>114020200330101320158858</v>
      </c>
      <c r="C244" s="7" t="s">
        <v>233</v>
      </c>
      <c r="D244" s="7" t="str">
        <f>"苏秋梅"</f>
        <v>苏秋梅</v>
      </c>
      <c r="E244" s="7" t="str">
        <f t="shared" ref="E244:E273" si="30">"女"</f>
        <v>女</v>
      </c>
      <c r="F244" s="7" t="s">
        <v>256</v>
      </c>
      <c r="G244" s="7" t="s">
        <v>12</v>
      </c>
      <c r="H244" s="7"/>
    </row>
    <row r="245" s="3" customFormat="1" ht="14.25" customHeight="1" spans="1:8">
      <c r="A245" s="7">
        <v>242</v>
      </c>
      <c r="B245" s="7" t="str">
        <f>"114020200330121337158970"</f>
        <v>114020200330121337158970</v>
      </c>
      <c r="C245" s="7" t="s">
        <v>233</v>
      </c>
      <c r="D245" s="7" t="str">
        <f>"陈良珍"</f>
        <v>陈良珍</v>
      </c>
      <c r="E245" s="7" t="str">
        <f t="shared" si="30"/>
        <v>女</v>
      </c>
      <c r="F245" s="7" t="s">
        <v>257</v>
      </c>
      <c r="G245" s="7" t="s">
        <v>12</v>
      </c>
      <c r="H245" s="7"/>
    </row>
    <row r="246" s="3" customFormat="1" ht="14.25" customHeight="1" spans="1:8">
      <c r="A246" s="7">
        <v>243</v>
      </c>
      <c r="B246" s="7" t="str">
        <f>"114020200330142155159049"</f>
        <v>114020200330142155159049</v>
      </c>
      <c r="C246" s="7" t="s">
        <v>233</v>
      </c>
      <c r="D246" s="7" t="str">
        <f>"陈小芳"</f>
        <v>陈小芳</v>
      </c>
      <c r="E246" s="7" t="str">
        <f t="shared" si="30"/>
        <v>女</v>
      </c>
      <c r="F246" s="7" t="s">
        <v>258</v>
      </c>
      <c r="G246" s="7" t="s">
        <v>12</v>
      </c>
      <c r="H246" s="7"/>
    </row>
    <row r="247" s="3" customFormat="1" ht="14.25" customHeight="1" spans="1:8">
      <c r="A247" s="7">
        <v>244</v>
      </c>
      <c r="B247" s="7" t="str">
        <f>"114020200330165906159155"</f>
        <v>114020200330165906159155</v>
      </c>
      <c r="C247" s="7" t="s">
        <v>233</v>
      </c>
      <c r="D247" s="7" t="str">
        <f>"何儒妹"</f>
        <v>何儒妹</v>
      </c>
      <c r="E247" s="7" t="str">
        <f t="shared" si="30"/>
        <v>女</v>
      </c>
      <c r="F247" s="7" t="s">
        <v>259</v>
      </c>
      <c r="G247" s="7" t="s">
        <v>12</v>
      </c>
      <c r="H247" s="7"/>
    </row>
    <row r="248" s="3" customFormat="1" ht="14.25" customHeight="1" spans="1:8">
      <c r="A248" s="7">
        <v>245</v>
      </c>
      <c r="B248" s="7" t="str">
        <f>"114020200330173711159178"</f>
        <v>114020200330173711159178</v>
      </c>
      <c r="C248" s="7" t="s">
        <v>233</v>
      </c>
      <c r="D248" s="7" t="str">
        <f>"陈坤莲"</f>
        <v>陈坤莲</v>
      </c>
      <c r="E248" s="7" t="str">
        <f t="shared" si="30"/>
        <v>女</v>
      </c>
      <c r="F248" s="7" t="s">
        <v>260</v>
      </c>
      <c r="G248" s="7" t="s">
        <v>12</v>
      </c>
      <c r="H248" s="7"/>
    </row>
    <row r="249" s="3" customFormat="1" ht="14.25" customHeight="1" spans="1:8">
      <c r="A249" s="7">
        <v>246</v>
      </c>
      <c r="B249" s="7" t="str">
        <f>"114020200330202227159250"</f>
        <v>114020200330202227159250</v>
      </c>
      <c r="C249" s="7" t="s">
        <v>233</v>
      </c>
      <c r="D249" s="7" t="str">
        <f>"王江毓"</f>
        <v>王江毓</v>
      </c>
      <c r="E249" s="7" t="str">
        <f t="shared" si="30"/>
        <v>女</v>
      </c>
      <c r="F249" s="7" t="s">
        <v>261</v>
      </c>
      <c r="G249" s="7" t="s">
        <v>12</v>
      </c>
      <c r="H249" s="7"/>
    </row>
    <row r="250" s="3" customFormat="1" ht="14.25" customHeight="1" spans="1:8">
      <c r="A250" s="7">
        <v>247</v>
      </c>
      <c r="B250" s="7" t="str">
        <f>"114020200330213623159294"</f>
        <v>114020200330213623159294</v>
      </c>
      <c r="C250" s="7" t="s">
        <v>233</v>
      </c>
      <c r="D250" s="7" t="str">
        <f>"石越"</f>
        <v>石越</v>
      </c>
      <c r="E250" s="7" t="str">
        <f t="shared" si="30"/>
        <v>女</v>
      </c>
      <c r="F250" s="7" t="s">
        <v>262</v>
      </c>
      <c r="G250" s="7" t="s">
        <v>12</v>
      </c>
      <c r="H250" s="7"/>
    </row>
    <row r="251" s="3" customFormat="1" ht="14.25" customHeight="1" spans="1:8">
      <c r="A251" s="7">
        <v>248</v>
      </c>
      <c r="B251" s="7" t="str">
        <f>"114020200331000334159357"</f>
        <v>114020200331000334159357</v>
      </c>
      <c r="C251" s="7" t="s">
        <v>233</v>
      </c>
      <c r="D251" s="7" t="str">
        <f>"陈小冰"</f>
        <v>陈小冰</v>
      </c>
      <c r="E251" s="7" t="str">
        <f t="shared" si="30"/>
        <v>女</v>
      </c>
      <c r="F251" s="7" t="s">
        <v>263</v>
      </c>
      <c r="G251" s="7" t="s">
        <v>12</v>
      </c>
      <c r="H251" s="7"/>
    </row>
    <row r="252" s="3" customFormat="1" ht="14.25" customHeight="1" spans="1:8">
      <c r="A252" s="7">
        <v>249</v>
      </c>
      <c r="B252" s="7" t="str">
        <f>"114020200331115115159455"</f>
        <v>114020200331115115159455</v>
      </c>
      <c r="C252" s="7" t="s">
        <v>233</v>
      </c>
      <c r="D252" s="7" t="str">
        <f>"陈双燕"</f>
        <v>陈双燕</v>
      </c>
      <c r="E252" s="7" t="str">
        <f t="shared" si="30"/>
        <v>女</v>
      </c>
      <c r="F252" s="7" t="s">
        <v>264</v>
      </c>
      <c r="G252" s="7" t="s">
        <v>12</v>
      </c>
      <c r="H252" s="7"/>
    </row>
    <row r="253" s="3" customFormat="1" ht="14.25" customHeight="1" spans="1:8">
      <c r="A253" s="7">
        <v>250</v>
      </c>
      <c r="B253" s="7" t="str">
        <f>"114020200331115509159460"</f>
        <v>114020200331115509159460</v>
      </c>
      <c r="C253" s="7" t="s">
        <v>233</v>
      </c>
      <c r="D253" s="7" t="str">
        <f>"盛姝睿"</f>
        <v>盛姝睿</v>
      </c>
      <c r="E253" s="7" t="str">
        <f t="shared" si="30"/>
        <v>女</v>
      </c>
      <c r="F253" s="7" t="s">
        <v>265</v>
      </c>
      <c r="G253" s="7" t="s">
        <v>12</v>
      </c>
      <c r="H253" s="7"/>
    </row>
    <row r="254" s="3" customFormat="1" ht="14.25" customHeight="1" spans="1:8">
      <c r="A254" s="7">
        <v>251</v>
      </c>
      <c r="B254" s="7" t="str">
        <f>"114020200331121443159465"</f>
        <v>114020200331121443159465</v>
      </c>
      <c r="C254" s="7" t="s">
        <v>233</v>
      </c>
      <c r="D254" s="7" t="str">
        <f>"杨星"</f>
        <v>杨星</v>
      </c>
      <c r="E254" s="7" t="str">
        <f t="shared" si="30"/>
        <v>女</v>
      </c>
      <c r="F254" s="7" t="s">
        <v>266</v>
      </c>
      <c r="G254" s="7" t="s">
        <v>12</v>
      </c>
      <c r="H254" s="7"/>
    </row>
    <row r="255" s="3" customFormat="1" ht="14.25" customHeight="1" spans="1:8">
      <c r="A255" s="7">
        <v>252</v>
      </c>
      <c r="B255" s="7" t="str">
        <f>"114020200331123205159475"</f>
        <v>114020200331123205159475</v>
      </c>
      <c r="C255" s="7" t="s">
        <v>233</v>
      </c>
      <c r="D255" s="7" t="str">
        <f>"洪海花"</f>
        <v>洪海花</v>
      </c>
      <c r="E255" s="7" t="str">
        <f t="shared" si="30"/>
        <v>女</v>
      </c>
      <c r="F255" s="7" t="s">
        <v>267</v>
      </c>
      <c r="G255" s="7" t="s">
        <v>12</v>
      </c>
      <c r="H255" s="7"/>
    </row>
    <row r="256" s="3" customFormat="1" ht="14.25" customHeight="1" spans="1:8">
      <c r="A256" s="7">
        <v>253</v>
      </c>
      <c r="B256" s="7" t="str">
        <f>"114020200331151741159557"</f>
        <v>114020200331151741159557</v>
      </c>
      <c r="C256" s="7" t="s">
        <v>233</v>
      </c>
      <c r="D256" s="7" t="str">
        <f>"王怡"</f>
        <v>王怡</v>
      </c>
      <c r="E256" s="7" t="str">
        <f t="shared" si="30"/>
        <v>女</v>
      </c>
      <c r="F256" s="7" t="s">
        <v>268</v>
      </c>
      <c r="G256" s="7" t="s">
        <v>12</v>
      </c>
      <c r="H256" s="7"/>
    </row>
    <row r="257" s="3" customFormat="1" ht="14.25" customHeight="1" spans="1:8">
      <c r="A257" s="7">
        <v>254</v>
      </c>
      <c r="B257" s="7" t="str">
        <f>"114020200331190219159644"</f>
        <v>114020200331190219159644</v>
      </c>
      <c r="C257" s="7" t="s">
        <v>233</v>
      </c>
      <c r="D257" s="7" t="str">
        <f>"吴婷婷"</f>
        <v>吴婷婷</v>
      </c>
      <c r="E257" s="7" t="str">
        <f t="shared" si="30"/>
        <v>女</v>
      </c>
      <c r="F257" s="7" t="s">
        <v>269</v>
      </c>
      <c r="G257" s="7" t="s">
        <v>12</v>
      </c>
      <c r="H257" s="7"/>
    </row>
    <row r="258" s="3" customFormat="1" ht="14.25" customHeight="1" spans="1:8">
      <c r="A258" s="7">
        <v>255</v>
      </c>
      <c r="B258" s="7" t="str">
        <f>"114020200401073106159738"</f>
        <v>114020200401073106159738</v>
      </c>
      <c r="C258" s="7" t="s">
        <v>233</v>
      </c>
      <c r="D258" s="7" t="str">
        <f>"吴延娥"</f>
        <v>吴延娥</v>
      </c>
      <c r="E258" s="7" t="str">
        <f t="shared" si="30"/>
        <v>女</v>
      </c>
      <c r="F258" s="7" t="s">
        <v>270</v>
      </c>
      <c r="G258" s="7" t="s">
        <v>12</v>
      </c>
      <c r="H258" s="7"/>
    </row>
    <row r="259" s="3" customFormat="1" ht="14.25" customHeight="1" spans="1:8">
      <c r="A259" s="7">
        <v>256</v>
      </c>
      <c r="B259" s="7" t="str">
        <f>"114020200401102450159778"</f>
        <v>114020200401102450159778</v>
      </c>
      <c r="C259" s="7" t="s">
        <v>233</v>
      </c>
      <c r="D259" s="7" t="str">
        <f>"高勤梅"</f>
        <v>高勤梅</v>
      </c>
      <c r="E259" s="7" t="str">
        <f t="shared" si="30"/>
        <v>女</v>
      </c>
      <c r="F259" s="7" t="s">
        <v>45</v>
      </c>
      <c r="G259" s="7" t="s">
        <v>12</v>
      </c>
      <c r="H259" s="7"/>
    </row>
    <row r="260" s="3" customFormat="1" ht="14.25" customHeight="1" spans="1:8">
      <c r="A260" s="7">
        <v>257</v>
      </c>
      <c r="B260" s="7" t="str">
        <f>"114020200401183238159988"</f>
        <v>114020200401183238159988</v>
      </c>
      <c r="C260" s="7" t="s">
        <v>233</v>
      </c>
      <c r="D260" s="7" t="str">
        <f>"吴淑迷"</f>
        <v>吴淑迷</v>
      </c>
      <c r="E260" s="7" t="str">
        <f t="shared" si="30"/>
        <v>女</v>
      </c>
      <c r="F260" s="7" t="s">
        <v>271</v>
      </c>
      <c r="G260" s="7" t="s">
        <v>12</v>
      </c>
      <c r="H260" s="7"/>
    </row>
    <row r="261" s="3" customFormat="1" ht="14.25" customHeight="1" spans="1:8">
      <c r="A261" s="7">
        <v>258</v>
      </c>
      <c r="B261" s="7" t="str">
        <f>"114020200401221256160063"</f>
        <v>114020200401221256160063</v>
      </c>
      <c r="C261" s="7" t="s">
        <v>233</v>
      </c>
      <c r="D261" s="7" t="str">
        <f>"李继丹"</f>
        <v>李继丹</v>
      </c>
      <c r="E261" s="7" t="str">
        <f t="shared" si="30"/>
        <v>女</v>
      </c>
      <c r="F261" s="7" t="s">
        <v>272</v>
      </c>
      <c r="G261" s="7" t="s">
        <v>12</v>
      </c>
      <c r="H261" s="7"/>
    </row>
    <row r="262" s="3" customFormat="1" ht="14.25" customHeight="1" spans="1:8">
      <c r="A262" s="7">
        <v>259</v>
      </c>
      <c r="B262" s="7" t="str">
        <f>"114020200402085841160105"</f>
        <v>114020200402085841160105</v>
      </c>
      <c r="C262" s="7" t="s">
        <v>233</v>
      </c>
      <c r="D262" s="7" t="str">
        <f>"蒋开立"</f>
        <v>蒋开立</v>
      </c>
      <c r="E262" s="7" t="str">
        <f t="shared" si="30"/>
        <v>女</v>
      </c>
      <c r="F262" s="7" t="s">
        <v>273</v>
      </c>
      <c r="G262" s="7" t="s">
        <v>12</v>
      </c>
      <c r="H262" s="7"/>
    </row>
    <row r="263" s="3" customFormat="1" ht="14.25" customHeight="1" spans="1:8">
      <c r="A263" s="7">
        <v>260</v>
      </c>
      <c r="B263" s="7" t="str">
        <f>"114020200402094715160120"</f>
        <v>114020200402094715160120</v>
      </c>
      <c r="C263" s="7" t="s">
        <v>233</v>
      </c>
      <c r="D263" s="7" t="str">
        <f>"曾家琼"</f>
        <v>曾家琼</v>
      </c>
      <c r="E263" s="7" t="str">
        <f t="shared" si="30"/>
        <v>女</v>
      </c>
      <c r="F263" s="7" t="s">
        <v>274</v>
      </c>
      <c r="G263" s="7" t="s">
        <v>12</v>
      </c>
      <c r="H263" s="7"/>
    </row>
    <row r="264" s="3" customFormat="1" ht="14.25" customHeight="1" spans="1:8">
      <c r="A264" s="7">
        <v>261</v>
      </c>
      <c r="B264" s="7" t="str">
        <f>"114020200402115824160154"</f>
        <v>114020200402115824160154</v>
      </c>
      <c r="C264" s="7" t="s">
        <v>233</v>
      </c>
      <c r="D264" s="7" t="str">
        <f>"黄云清"</f>
        <v>黄云清</v>
      </c>
      <c r="E264" s="7" t="str">
        <f t="shared" si="30"/>
        <v>女</v>
      </c>
      <c r="F264" s="7" t="s">
        <v>275</v>
      </c>
      <c r="G264" s="7" t="s">
        <v>12</v>
      </c>
      <c r="H264" s="7"/>
    </row>
    <row r="265" s="3" customFormat="1" ht="14.25" customHeight="1" spans="1:8">
      <c r="A265" s="7">
        <v>262</v>
      </c>
      <c r="B265" s="7" t="str">
        <f>"114020200402214454160318"</f>
        <v>114020200402214454160318</v>
      </c>
      <c r="C265" s="7" t="s">
        <v>233</v>
      </c>
      <c r="D265" s="7" t="str">
        <f>"吴邦琳"</f>
        <v>吴邦琳</v>
      </c>
      <c r="E265" s="7" t="str">
        <f t="shared" si="30"/>
        <v>女</v>
      </c>
      <c r="F265" s="7" t="s">
        <v>276</v>
      </c>
      <c r="G265" s="7" t="s">
        <v>12</v>
      </c>
      <c r="H265" s="7"/>
    </row>
    <row r="266" s="3" customFormat="1" ht="14.25" customHeight="1" spans="1:8">
      <c r="A266" s="7">
        <v>263</v>
      </c>
      <c r="B266" s="7" t="str">
        <f>"114020200403131306160455"</f>
        <v>114020200403131306160455</v>
      </c>
      <c r="C266" s="7" t="s">
        <v>233</v>
      </c>
      <c r="D266" s="7" t="str">
        <f>"李贝诗"</f>
        <v>李贝诗</v>
      </c>
      <c r="E266" s="7" t="str">
        <f t="shared" si="30"/>
        <v>女</v>
      </c>
      <c r="F266" s="7" t="s">
        <v>277</v>
      </c>
      <c r="G266" s="7" t="s">
        <v>12</v>
      </c>
      <c r="H266" s="7"/>
    </row>
    <row r="267" s="3" customFormat="1" ht="14.25" customHeight="1" spans="1:8">
      <c r="A267" s="7">
        <v>264</v>
      </c>
      <c r="B267" s="7" t="str">
        <f>"114020200403193632160536"</f>
        <v>114020200403193632160536</v>
      </c>
      <c r="C267" s="7" t="s">
        <v>233</v>
      </c>
      <c r="D267" s="7" t="str">
        <f>"符朝霜"</f>
        <v>符朝霜</v>
      </c>
      <c r="E267" s="7" t="str">
        <f t="shared" si="30"/>
        <v>女</v>
      </c>
      <c r="F267" s="7" t="s">
        <v>278</v>
      </c>
      <c r="G267" s="7" t="s">
        <v>12</v>
      </c>
      <c r="H267" s="7"/>
    </row>
    <row r="268" s="3" customFormat="1" ht="14.25" customHeight="1" spans="1:8">
      <c r="A268" s="7">
        <v>265</v>
      </c>
      <c r="B268" s="7" t="str">
        <f>"114020200403212606160552"</f>
        <v>114020200403212606160552</v>
      </c>
      <c r="C268" s="7" t="s">
        <v>233</v>
      </c>
      <c r="D268" s="7" t="str">
        <f>"邢璐璐"</f>
        <v>邢璐璐</v>
      </c>
      <c r="E268" s="7" t="str">
        <f t="shared" si="30"/>
        <v>女</v>
      </c>
      <c r="F268" s="7" t="s">
        <v>279</v>
      </c>
      <c r="G268" s="7" t="s">
        <v>12</v>
      </c>
      <c r="H268" s="7"/>
    </row>
    <row r="269" s="3" customFormat="1" ht="14.25" customHeight="1" spans="1:8">
      <c r="A269" s="7">
        <v>266</v>
      </c>
      <c r="B269" s="7" t="str">
        <f>"114020200404223214160682"</f>
        <v>114020200404223214160682</v>
      </c>
      <c r="C269" s="7" t="s">
        <v>233</v>
      </c>
      <c r="D269" s="7" t="str">
        <f>"曾玮琰"</f>
        <v>曾玮琰</v>
      </c>
      <c r="E269" s="7" t="str">
        <f t="shared" si="30"/>
        <v>女</v>
      </c>
      <c r="F269" s="7" t="s">
        <v>280</v>
      </c>
      <c r="G269" s="7" t="s">
        <v>12</v>
      </c>
      <c r="H269" s="7"/>
    </row>
    <row r="270" s="3" customFormat="1" ht="14.25" customHeight="1" spans="1:8">
      <c r="A270" s="7">
        <v>267</v>
      </c>
      <c r="B270" s="7" t="str">
        <f>"114020200405211205160981"</f>
        <v>114020200405211205160981</v>
      </c>
      <c r="C270" s="7" t="s">
        <v>233</v>
      </c>
      <c r="D270" s="7" t="str">
        <f>"詹莎梦"</f>
        <v>詹莎梦</v>
      </c>
      <c r="E270" s="7" t="str">
        <f t="shared" si="30"/>
        <v>女</v>
      </c>
      <c r="F270" s="7" t="s">
        <v>281</v>
      </c>
      <c r="G270" s="7" t="s">
        <v>12</v>
      </c>
      <c r="H270" s="7"/>
    </row>
    <row r="271" s="3" customFormat="1" ht="14.25" customHeight="1" spans="1:8">
      <c r="A271" s="7">
        <v>268</v>
      </c>
      <c r="B271" s="7" t="str">
        <f>"114020200405211815160984"</f>
        <v>114020200405211815160984</v>
      </c>
      <c r="C271" s="7" t="s">
        <v>233</v>
      </c>
      <c r="D271" s="7" t="str">
        <f>"翁振银"</f>
        <v>翁振银</v>
      </c>
      <c r="E271" s="7" t="str">
        <f t="shared" si="30"/>
        <v>女</v>
      </c>
      <c r="F271" s="7" t="s">
        <v>282</v>
      </c>
      <c r="G271" s="7" t="s">
        <v>12</v>
      </c>
      <c r="H271" s="7"/>
    </row>
    <row r="272" s="3" customFormat="1" ht="14.25" customHeight="1" spans="1:8">
      <c r="A272" s="7">
        <v>269</v>
      </c>
      <c r="B272" s="7" t="str">
        <f>"114020200405224315161019"</f>
        <v>114020200405224315161019</v>
      </c>
      <c r="C272" s="7" t="s">
        <v>233</v>
      </c>
      <c r="D272" s="7" t="str">
        <f>"吉训丽"</f>
        <v>吉训丽</v>
      </c>
      <c r="E272" s="7" t="str">
        <f t="shared" si="30"/>
        <v>女</v>
      </c>
      <c r="F272" s="7" t="s">
        <v>283</v>
      </c>
      <c r="G272" s="7" t="s">
        <v>12</v>
      </c>
      <c r="H272" s="7"/>
    </row>
    <row r="273" s="3" customFormat="1" ht="14.25" customHeight="1" spans="1:8">
      <c r="A273" s="7">
        <v>270</v>
      </c>
      <c r="B273" s="7" t="str">
        <f>"114020200406082752161055"</f>
        <v>114020200406082752161055</v>
      </c>
      <c r="C273" s="7" t="s">
        <v>233</v>
      </c>
      <c r="D273" s="7" t="str">
        <f>"牛燕敏"</f>
        <v>牛燕敏</v>
      </c>
      <c r="E273" s="7" t="str">
        <f t="shared" si="30"/>
        <v>女</v>
      </c>
      <c r="F273" s="7" t="s">
        <v>284</v>
      </c>
      <c r="G273" s="7" t="s">
        <v>12</v>
      </c>
      <c r="H273" s="7"/>
    </row>
    <row r="274" s="3" customFormat="1" ht="14.25" customHeight="1" spans="1:8">
      <c r="A274" s="7">
        <v>271</v>
      </c>
      <c r="B274" s="7" t="str">
        <f>"114020200328090044157131"</f>
        <v>114020200328090044157131</v>
      </c>
      <c r="C274" s="7" t="s">
        <v>285</v>
      </c>
      <c r="D274" s="7" t="str">
        <f>"张曙光"</f>
        <v>张曙光</v>
      </c>
      <c r="E274" s="7" t="str">
        <f>"男"</f>
        <v>男</v>
      </c>
      <c r="F274" s="7" t="s">
        <v>286</v>
      </c>
      <c r="G274" s="7" t="s">
        <v>12</v>
      </c>
      <c r="H274" s="7"/>
    </row>
    <row r="275" s="3" customFormat="1" ht="14.25" customHeight="1" spans="1:8">
      <c r="A275" s="7">
        <v>272</v>
      </c>
      <c r="B275" s="7" t="str">
        <f>"114020200328090627157151"</f>
        <v>114020200328090627157151</v>
      </c>
      <c r="C275" s="7" t="s">
        <v>285</v>
      </c>
      <c r="D275" s="7" t="str">
        <f>"李武梅"</f>
        <v>李武梅</v>
      </c>
      <c r="E275" s="7" t="str">
        <f t="shared" ref="E275:E301" si="31">"女"</f>
        <v>女</v>
      </c>
      <c r="F275" s="7" t="s">
        <v>287</v>
      </c>
      <c r="G275" s="7" t="s">
        <v>12</v>
      </c>
      <c r="H275" s="7"/>
    </row>
    <row r="276" s="3" customFormat="1" ht="14.25" customHeight="1" spans="1:8">
      <c r="A276" s="7">
        <v>273</v>
      </c>
      <c r="B276" s="7" t="str">
        <f>"114020200328091321157166"</f>
        <v>114020200328091321157166</v>
      </c>
      <c r="C276" s="7" t="s">
        <v>285</v>
      </c>
      <c r="D276" s="7" t="str">
        <f>"王艳"</f>
        <v>王艳</v>
      </c>
      <c r="E276" s="7" t="str">
        <f t="shared" si="31"/>
        <v>女</v>
      </c>
      <c r="F276" s="7" t="s">
        <v>288</v>
      </c>
      <c r="G276" s="7" t="s">
        <v>12</v>
      </c>
      <c r="H276" s="7"/>
    </row>
    <row r="277" s="3" customFormat="1" ht="14.25" customHeight="1" spans="1:8">
      <c r="A277" s="7">
        <v>274</v>
      </c>
      <c r="B277" s="7" t="str">
        <f>"114020200328092726157199"</f>
        <v>114020200328092726157199</v>
      </c>
      <c r="C277" s="7" t="s">
        <v>285</v>
      </c>
      <c r="D277" s="7" t="str">
        <f>"苏同"</f>
        <v>苏同</v>
      </c>
      <c r="E277" s="7" t="str">
        <f t="shared" si="31"/>
        <v>女</v>
      </c>
      <c r="F277" s="7" t="s">
        <v>289</v>
      </c>
      <c r="G277" s="7" t="s">
        <v>12</v>
      </c>
      <c r="H277" s="7"/>
    </row>
    <row r="278" s="3" customFormat="1" ht="14.25" customHeight="1" spans="1:8">
      <c r="A278" s="7">
        <v>275</v>
      </c>
      <c r="B278" s="7" t="str">
        <f>"114020200328095838157269"</f>
        <v>114020200328095838157269</v>
      </c>
      <c r="C278" s="7" t="s">
        <v>285</v>
      </c>
      <c r="D278" s="7" t="str">
        <f>"王运比"</f>
        <v>王运比</v>
      </c>
      <c r="E278" s="7" t="str">
        <f t="shared" si="31"/>
        <v>女</v>
      </c>
      <c r="F278" s="7" t="s">
        <v>290</v>
      </c>
      <c r="G278" s="7" t="s">
        <v>12</v>
      </c>
      <c r="H278" s="7"/>
    </row>
    <row r="279" s="3" customFormat="1" ht="14.25" customHeight="1" spans="1:8">
      <c r="A279" s="7">
        <v>276</v>
      </c>
      <c r="B279" s="7" t="str">
        <f>"114020200328103509157367"</f>
        <v>114020200328103509157367</v>
      </c>
      <c r="C279" s="7" t="s">
        <v>285</v>
      </c>
      <c r="D279" s="7" t="str">
        <f>"文凤"</f>
        <v>文凤</v>
      </c>
      <c r="E279" s="7" t="str">
        <f t="shared" si="31"/>
        <v>女</v>
      </c>
      <c r="F279" s="7" t="s">
        <v>40</v>
      </c>
      <c r="G279" s="7" t="s">
        <v>12</v>
      </c>
      <c r="H279" s="7"/>
    </row>
    <row r="280" s="3" customFormat="1" ht="14.25" customHeight="1" spans="1:8">
      <c r="A280" s="7">
        <v>277</v>
      </c>
      <c r="B280" s="7" t="str">
        <f>"114020200328111121157445"</f>
        <v>114020200328111121157445</v>
      </c>
      <c r="C280" s="7" t="s">
        <v>285</v>
      </c>
      <c r="D280" s="7" t="str">
        <f>"李慧芳"</f>
        <v>李慧芳</v>
      </c>
      <c r="E280" s="7" t="str">
        <f t="shared" si="31"/>
        <v>女</v>
      </c>
      <c r="F280" s="7" t="s">
        <v>291</v>
      </c>
      <c r="G280" s="7" t="s">
        <v>12</v>
      </c>
      <c r="H280" s="7"/>
    </row>
    <row r="281" s="3" customFormat="1" ht="14.25" customHeight="1" spans="1:8">
      <c r="A281" s="7">
        <v>278</v>
      </c>
      <c r="B281" s="7" t="str">
        <f>"114020200328112202157470"</f>
        <v>114020200328112202157470</v>
      </c>
      <c r="C281" s="7" t="s">
        <v>285</v>
      </c>
      <c r="D281" s="7" t="str">
        <f>"胡青"</f>
        <v>胡青</v>
      </c>
      <c r="E281" s="7" t="str">
        <f t="shared" si="31"/>
        <v>女</v>
      </c>
      <c r="F281" s="7" t="s">
        <v>292</v>
      </c>
      <c r="G281" s="7" t="s">
        <v>12</v>
      </c>
      <c r="H281" s="7"/>
    </row>
    <row r="282" s="3" customFormat="1" ht="14.25" customHeight="1" spans="1:8">
      <c r="A282" s="7">
        <v>279</v>
      </c>
      <c r="B282" s="7" t="str">
        <f>"114020200328113614157490"</f>
        <v>114020200328113614157490</v>
      </c>
      <c r="C282" s="7" t="s">
        <v>285</v>
      </c>
      <c r="D282" s="7" t="str">
        <f>"何锦凤"</f>
        <v>何锦凤</v>
      </c>
      <c r="E282" s="7" t="str">
        <f t="shared" si="31"/>
        <v>女</v>
      </c>
      <c r="F282" s="7" t="s">
        <v>293</v>
      </c>
      <c r="G282" s="7" t="s">
        <v>12</v>
      </c>
      <c r="H282" s="7"/>
    </row>
    <row r="283" s="3" customFormat="1" ht="14.25" customHeight="1" spans="1:8">
      <c r="A283" s="7">
        <v>280</v>
      </c>
      <c r="B283" s="7" t="str">
        <f>"114020200328121032157552"</f>
        <v>114020200328121032157552</v>
      </c>
      <c r="C283" s="7" t="s">
        <v>285</v>
      </c>
      <c r="D283" s="7" t="str">
        <f>"蔡佳秀"</f>
        <v>蔡佳秀</v>
      </c>
      <c r="E283" s="7" t="str">
        <f t="shared" si="31"/>
        <v>女</v>
      </c>
      <c r="F283" s="7" t="s">
        <v>294</v>
      </c>
      <c r="G283" s="7" t="s">
        <v>12</v>
      </c>
      <c r="H283" s="7"/>
    </row>
    <row r="284" s="3" customFormat="1" ht="14.25" customHeight="1" spans="1:8">
      <c r="A284" s="7">
        <v>281</v>
      </c>
      <c r="B284" s="7" t="str">
        <f>"114020200328122126157576"</f>
        <v>114020200328122126157576</v>
      </c>
      <c r="C284" s="7" t="s">
        <v>285</v>
      </c>
      <c r="D284" s="7" t="str">
        <f>"符姝娴"</f>
        <v>符姝娴</v>
      </c>
      <c r="E284" s="7" t="str">
        <f t="shared" si="31"/>
        <v>女</v>
      </c>
      <c r="F284" s="7" t="s">
        <v>295</v>
      </c>
      <c r="G284" s="7" t="s">
        <v>12</v>
      </c>
      <c r="H284" s="7"/>
    </row>
    <row r="285" s="3" customFormat="1" ht="14.25" customHeight="1" spans="1:8">
      <c r="A285" s="7">
        <v>282</v>
      </c>
      <c r="B285" s="7" t="str">
        <f>"114020200328132226157671"</f>
        <v>114020200328132226157671</v>
      </c>
      <c r="C285" s="7" t="s">
        <v>285</v>
      </c>
      <c r="D285" s="7" t="str">
        <f>"林师"</f>
        <v>林师</v>
      </c>
      <c r="E285" s="7" t="str">
        <f t="shared" si="31"/>
        <v>女</v>
      </c>
      <c r="F285" s="7" t="s">
        <v>296</v>
      </c>
      <c r="G285" s="7" t="s">
        <v>12</v>
      </c>
      <c r="H285" s="7"/>
    </row>
    <row r="286" s="3" customFormat="1" ht="14.25" customHeight="1" spans="1:8">
      <c r="A286" s="7">
        <v>283</v>
      </c>
      <c r="B286" s="7" t="str">
        <f>"114020200328132554157677"</f>
        <v>114020200328132554157677</v>
      </c>
      <c r="C286" s="7" t="s">
        <v>285</v>
      </c>
      <c r="D286" s="7" t="str">
        <f>"刘南妃"</f>
        <v>刘南妃</v>
      </c>
      <c r="E286" s="7" t="str">
        <f t="shared" si="31"/>
        <v>女</v>
      </c>
      <c r="F286" s="7" t="s">
        <v>297</v>
      </c>
      <c r="G286" s="7" t="s">
        <v>12</v>
      </c>
      <c r="H286" s="7"/>
    </row>
    <row r="287" s="3" customFormat="1" ht="14.25" customHeight="1" spans="1:8">
      <c r="A287" s="7">
        <v>284</v>
      </c>
      <c r="B287" s="7" t="str">
        <f>"114020200328155301157824"</f>
        <v>114020200328155301157824</v>
      </c>
      <c r="C287" s="7" t="s">
        <v>285</v>
      </c>
      <c r="D287" s="7" t="str">
        <f>"符敬佩"</f>
        <v>符敬佩</v>
      </c>
      <c r="E287" s="7" t="str">
        <f t="shared" si="31"/>
        <v>女</v>
      </c>
      <c r="F287" s="7" t="s">
        <v>298</v>
      </c>
      <c r="G287" s="7" t="s">
        <v>12</v>
      </c>
      <c r="H287" s="7"/>
    </row>
    <row r="288" s="3" customFormat="1" ht="14.25" customHeight="1" spans="1:8">
      <c r="A288" s="7">
        <v>285</v>
      </c>
      <c r="B288" s="7" t="str">
        <f>"114020200328171204157902"</f>
        <v>114020200328171204157902</v>
      </c>
      <c r="C288" s="7" t="s">
        <v>285</v>
      </c>
      <c r="D288" s="7" t="str">
        <f>"程婷"</f>
        <v>程婷</v>
      </c>
      <c r="E288" s="7" t="str">
        <f t="shared" si="31"/>
        <v>女</v>
      </c>
      <c r="F288" s="7" t="s">
        <v>299</v>
      </c>
      <c r="G288" s="7" t="s">
        <v>12</v>
      </c>
      <c r="H288" s="7"/>
    </row>
    <row r="289" s="3" customFormat="1" ht="14.25" customHeight="1" spans="1:8">
      <c r="A289" s="7">
        <v>286</v>
      </c>
      <c r="B289" s="7" t="str">
        <f>"114020200328173432157922"</f>
        <v>114020200328173432157922</v>
      </c>
      <c r="C289" s="7" t="s">
        <v>285</v>
      </c>
      <c r="D289" s="7" t="str">
        <f>"肖宇涵"</f>
        <v>肖宇涵</v>
      </c>
      <c r="E289" s="7" t="str">
        <f t="shared" si="31"/>
        <v>女</v>
      </c>
      <c r="F289" s="7" t="s">
        <v>300</v>
      </c>
      <c r="G289" s="7" t="s">
        <v>12</v>
      </c>
      <c r="H289" s="7"/>
    </row>
    <row r="290" s="3" customFormat="1" ht="14.25" customHeight="1" spans="1:8">
      <c r="A290" s="7">
        <v>287</v>
      </c>
      <c r="B290" s="7" t="str">
        <f>"114020200328181345157952"</f>
        <v>114020200328181345157952</v>
      </c>
      <c r="C290" s="7" t="s">
        <v>285</v>
      </c>
      <c r="D290" s="7" t="str">
        <f>"陈可妹"</f>
        <v>陈可妹</v>
      </c>
      <c r="E290" s="7" t="str">
        <f t="shared" si="31"/>
        <v>女</v>
      </c>
      <c r="F290" s="7" t="s">
        <v>301</v>
      </c>
      <c r="G290" s="7" t="s">
        <v>12</v>
      </c>
      <c r="H290" s="7"/>
    </row>
    <row r="291" s="3" customFormat="1" ht="14.25" customHeight="1" spans="1:8">
      <c r="A291" s="7">
        <v>288</v>
      </c>
      <c r="B291" s="7" t="str">
        <f>"114020200328181827157956"</f>
        <v>114020200328181827157956</v>
      </c>
      <c r="C291" s="7" t="s">
        <v>285</v>
      </c>
      <c r="D291" s="7" t="str">
        <f>"梁丽珍"</f>
        <v>梁丽珍</v>
      </c>
      <c r="E291" s="7" t="str">
        <f t="shared" si="31"/>
        <v>女</v>
      </c>
      <c r="F291" s="7" t="s">
        <v>302</v>
      </c>
      <c r="G291" s="7" t="s">
        <v>12</v>
      </c>
      <c r="H291" s="7"/>
    </row>
    <row r="292" s="3" customFormat="1" ht="14.25" customHeight="1" spans="1:8">
      <c r="A292" s="7">
        <v>289</v>
      </c>
      <c r="B292" s="7" t="str">
        <f>"114020200328204018158052"</f>
        <v>114020200328204018158052</v>
      </c>
      <c r="C292" s="7" t="s">
        <v>285</v>
      </c>
      <c r="D292" s="7" t="str">
        <f>"赵凤翔"</f>
        <v>赵凤翔</v>
      </c>
      <c r="E292" s="7" t="str">
        <f t="shared" si="31"/>
        <v>女</v>
      </c>
      <c r="F292" s="7" t="s">
        <v>303</v>
      </c>
      <c r="G292" s="7" t="s">
        <v>12</v>
      </c>
      <c r="H292" s="7"/>
    </row>
    <row r="293" s="3" customFormat="1" ht="14.25" customHeight="1" spans="1:8">
      <c r="A293" s="7">
        <v>290</v>
      </c>
      <c r="B293" s="7" t="str">
        <f>"114020200328205251158064"</f>
        <v>114020200328205251158064</v>
      </c>
      <c r="C293" s="7" t="s">
        <v>285</v>
      </c>
      <c r="D293" s="7" t="str">
        <f>"黄星星"</f>
        <v>黄星星</v>
      </c>
      <c r="E293" s="7" t="str">
        <f t="shared" si="31"/>
        <v>女</v>
      </c>
      <c r="F293" s="7" t="s">
        <v>304</v>
      </c>
      <c r="G293" s="7" t="s">
        <v>12</v>
      </c>
      <c r="H293" s="7"/>
    </row>
    <row r="294" s="3" customFormat="1" ht="14.25" customHeight="1" spans="1:8">
      <c r="A294" s="7">
        <v>291</v>
      </c>
      <c r="B294" s="7" t="str">
        <f>"114020200328211805158087"</f>
        <v>114020200328211805158087</v>
      </c>
      <c r="C294" s="7" t="s">
        <v>285</v>
      </c>
      <c r="D294" s="7" t="str">
        <f>"陈德兰"</f>
        <v>陈德兰</v>
      </c>
      <c r="E294" s="7" t="str">
        <f t="shared" si="31"/>
        <v>女</v>
      </c>
      <c r="F294" s="7" t="s">
        <v>305</v>
      </c>
      <c r="G294" s="7" t="s">
        <v>12</v>
      </c>
      <c r="H294" s="7"/>
    </row>
    <row r="295" s="3" customFormat="1" ht="14.25" customHeight="1" spans="1:8">
      <c r="A295" s="7">
        <v>292</v>
      </c>
      <c r="B295" s="7" t="str">
        <f>"114020200328214321158106"</f>
        <v>114020200328214321158106</v>
      </c>
      <c r="C295" s="7" t="s">
        <v>285</v>
      </c>
      <c r="D295" s="7" t="str">
        <f>"李艳艳"</f>
        <v>李艳艳</v>
      </c>
      <c r="E295" s="7" t="str">
        <f t="shared" si="31"/>
        <v>女</v>
      </c>
      <c r="F295" s="7" t="s">
        <v>306</v>
      </c>
      <c r="G295" s="7" t="s">
        <v>12</v>
      </c>
      <c r="H295" s="7"/>
    </row>
    <row r="296" s="3" customFormat="1" ht="14.25" customHeight="1" spans="1:8">
      <c r="A296" s="7">
        <v>293</v>
      </c>
      <c r="B296" s="7" t="str">
        <f>"114020200329002725158184"</f>
        <v>114020200329002725158184</v>
      </c>
      <c r="C296" s="7" t="s">
        <v>285</v>
      </c>
      <c r="D296" s="7" t="str">
        <f>"彭夏芳"</f>
        <v>彭夏芳</v>
      </c>
      <c r="E296" s="7" t="str">
        <f t="shared" si="31"/>
        <v>女</v>
      </c>
      <c r="F296" s="7" t="s">
        <v>307</v>
      </c>
      <c r="G296" s="7" t="s">
        <v>12</v>
      </c>
      <c r="H296" s="7"/>
    </row>
    <row r="297" s="3" customFormat="1" ht="14.25" customHeight="1" spans="1:8">
      <c r="A297" s="7">
        <v>294</v>
      </c>
      <c r="B297" s="7" t="str">
        <f>"114020200329114923158337"</f>
        <v>114020200329114923158337</v>
      </c>
      <c r="C297" s="7" t="s">
        <v>285</v>
      </c>
      <c r="D297" s="7" t="str">
        <f>"符文携"</f>
        <v>符文携</v>
      </c>
      <c r="E297" s="7" t="str">
        <f t="shared" si="31"/>
        <v>女</v>
      </c>
      <c r="F297" s="7" t="s">
        <v>308</v>
      </c>
      <c r="G297" s="7" t="s">
        <v>12</v>
      </c>
      <c r="H297" s="7"/>
    </row>
    <row r="298" s="3" customFormat="1" ht="14.25" customHeight="1" spans="1:8">
      <c r="A298" s="7">
        <v>295</v>
      </c>
      <c r="B298" s="7" t="str">
        <f>"114020200329161937158485"</f>
        <v>114020200329161937158485</v>
      </c>
      <c r="C298" s="7" t="s">
        <v>285</v>
      </c>
      <c r="D298" s="7" t="str">
        <f>"陈少盈"</f>
        <v>陈少盈</v>
      </c>
      <c r="E298" s="7" t="str">
        <f t="shared" si="31"/>
        <v>女</v>
      </c>
      <c r="F298" s="7" t="s">
        <v>309</v>
      </c>
      <c r="G298" s="7" t="s">
        <v>12</v>
      </c>
      <c r="H298" s="7"/>
    </row>
    <row r="299" s="3" customFormat="1" ht="14.25" customHeight="1" spans="1:8">
      <c r="A299" s="7">
        <v>296</v>
      </c>
      <c r="B299" s="7" t="str">
        <f>"114020200329175305158537"</f>
        <v>114020200329175305158537</v>
      </c>
      <c r="C299" s="7" t="s">
        <v>285</v>
      </c>
      <c r="D299" s="7" t="str">
        <f>"张茜华"</f>
        <v>张茜华</v>
      </c>
      <c r="E299" s="7" t="str">
        <f t="shared" si="31"/>
        <v>女</v>
      </c>
      <c r="F299" s="7" t="s">
        <v>310</v>
      </c>
      <c r="G299" s="7" t="s">
        <v>12</v>
      </c>
      <c r="H299" s="7"/>
    </row>
    <row r="300" s="3" customFormat="1" ht="14.25" customHeight="1" spans="1:8">
      <c r="A300" s="7">
        <v>297</v>
      </c>
      <c r="B300" s="7" t="str">
        <f>"114020200329221847158699"</f>
        <v>114020200329221847158699</v>
      </c>
      <c r="C300" s="7" t="s">
        <v>285</v>
      </c>
      <c r="D300" s="7" t="str">
        <f>"杨珍"</f>
        <v>杨珍</v>
      </c>
      <c r="E300" s="7" t="str">
        <f t="shared" si="31"/>
        <v>女</v>
      </c>
      <c r="F300" s="7" t="s">
        <v>311</v>
      </c>
      <c r="G300" s="7" t="s">
        <v>12</v>
      </c>
      <c r="H300" s="7"/>
    </row>
    <row r="301" s="3" customFormat="1" ht="14.25" customHeight="1" spans="1:8">
      <c r="A301" s="7">
        <v>298</v>
      </c>
      <c r="B301" s="7" t="str">
        <f>"114020200330070018158755"</f>
        <v>114020200330070018158755</v>
      </c>
      <c r="C301" s="7" t="s">
        <v>285</v>
      </c>
      <c r="D301" s="7" t="str">
        <f>"李娜"</f>
        <v>李娜</v>
      </c>
      <c r="E301" s="7" t="str">
        <f t="shared" si="31"/>
        <v>女</v>
      </c>
      <c r="F301" s="7" t="s">
        <v>312</v>
      </c>
      <c r="G301" s="7" t="s">
        <v>12</v>
      </c>
      <c r="H301" s="7"/>
    </row>
    <row r="302" s="3" customFormat="1" ht="14.25" customHeight="1" spans="1:8">
      <c r="A302" s="7">
        <v>299</v>
      </c>
      <c r="B302" s="7" t="str">
        <f>"114020200330075532158758"</f>
        <v>114020200330075532158758</v>
      </c>
      <c r="C302" s="7" t="s">
        <v>285</v>
      </c>
      <c r="D302" s="7" t="str">
        <f>"林芳周"</f>
        <v>林芳周</v>
      </c>
      <c r="E302" s="7" t="str">
        <f>"男"</f>
        <v>男</v>
      </c>
      <c r="F302" s="7" t="s">
        <v>313</v>
      </c>
      <c r="G302" s="7" t="s">
        <v>12</v>
      </c>
      <c r="H302" s="7"/>
    </row>
    <row r="303" s="3" customFormat="1" ht="14.25" customHeight="1" spans="1:8">
      <c r="A303" s="7">
        <v>300</v>
      </c>
      <c r="B303" s="7" t="str">
        <f>"114020200330085526158781"</f>
        <v>114020200330085526158781</v>
      </c>
      <c r="C303" s="7" t="s">
        <v>285</v>
      </c>
      <c r="D303" s="7" t="str">
        <f>"文淑慧"</f>
        <v>文淑慧</v>
      </c>
      <c r="E303" s="7" t="str">
        <f t="shared" ref="E303:E340" si="32">"女"</f>
        <v>女</v>
      </c>
      <c r="F303" s="7" t="s">
        <v>314</v>
      </c>
      <c r="G303" s="7" t="s">
        <v>12</v>
      </c>
      <c r="H303" s="7"/>
    </row>
    <row r="304" s="3" customFormat="1" ht="14.25" customHeight="1" spans="1:8">
      <c r="A304" s="7">
        <v>301</v>
      </c>
      <c r="B304" s="7" t="str">
        <f>"114020200330095511158842"</f>
        <v>114020200330095511158842</v>
      </c>
      <c r="C304" s="7" t="s">
        <v>285</v>
      </c>
      <c r="D304" s="7" t="str">
        <f>"陈美伶"</f>
        <v>陈美伶</v>
      </c>
      <c r="E304" s="7" t="str">
        <f t="shared" si="32"/>
        <v>女</v>
      </c>
      <c r="F304" s="7" t="s">
        <v>315</v>
      </c>
      <c r="G304" s="7" t="s">
        <v>12</v>
      </c>
      <c r="H304" s="7"/>
    </row>
    <row r="305" s="3" customFormat="1" ht="14.25" customHeight="1" spans="1:8">
      <c r="A305" s="7">
        <v>302</v>
      </c>
      <c r="B305" s="7" t="str">
        <f>"114020200330103642158880"</f>
        <v>114020200330103642158880</v>
      </c>
      <c r="C305" s="7" t="s">
        <v>285</v>
      </c>
      <c r="D305" s="7" t="str">
        <f>"林鸣芙"</f>
        <v>林鸣芙</v>
      </c>
      <c r="E305" s="7" t="str">
        <f t="shared" si="32"/>
        <v>女</v>
      </c>
      <c r="F305" s="7" t="s">
        <v>316</v>
      </c>
      <c r="G305" s="7" t="s">
        <v>12</v>
      </c>
      <c r="H305" s="7"/>
    </row>
    <row r="306" s="3" customFormat="1" ht="14.25" customHeight="1" spans="1:8">
      <c r="A306" s="7">
        <v>303</v>
      </c>
      <c r="B306" s="7" t="str">
        <f>"114020200330104958158894"</f>
        <v>114020200330104958158894</v>
      </c>
      <c r="C306" s="7" t="s">
        <v>285</v>
      </c>
      <c r="D306" s="7" t="str">
        <f>"陈曼莹"</f>
        <v>陈曼莹</v>
      </c>
      <c r="E306" s="7" t="str">
        <f t="shared" si="32"/>
        <v>女</v>
      </c>
      <c r="F306" s="7" t="s">
        <v>317</v>
      </c>
      <c r="G306" s="7" t="s">
        <v>12</v>
      </c>
      <c r="H306" s="7"/>
    </row>
    <row r="307" s="3" customFormat="1" ht="14.25" customHeight="1" spans="1:8">
      <c r="A307" s="7">
        <v>304</v>
      </c>
      <c r="B307" s="7" t="str">
        <f>"114020200330112432158924"</f>
        <v>114020200330112432158924</v>
      </c>
      <c r="C307" s="7" t="s">
        <v>285</v>
      </c>
      <c r="D307" s="7" t="str">
        <f>"陈会"</f>
        <v>陈会</v>
      </c>
      <c r="E307" s="7" t="str">
        <f t="shared" si="32"/>
        <v>女</v>
      </c>
      <c r="F307" s="7" t="s">
        <v>318</v>
      </c>
      <c r="G307" s="7" t="s">
        <v>12</v>
      </c>
      <c r="H307" s="7"/>
    </row>
    <row r="308" s="3" customFormat="1" ht="14.25" customHeight="1" spans="1:8">
      <c r="A308" s="7">
        <v>305</v>
      </c>
      <c r="B308" s="7" t="str">
        <f>"114020200330115044158955"</f>
        <v>114020200330115044158955</v>
      </c>
      <c r="C308" s="7" t="s">
        <v>285</v>
      </c>
      <c r="D308" s="7" t="str">
        <f>"符倩"</f>
        <v>符倩</v>
      </c>
      <c r="E308" s="7" t="str">
        <f t="shared" si="32"/>
        <v>女</v>
      </c>
      <c r="F308" s="7" t="s">
        <v>319</v>
      </c>
      <c r="G308" s="7" t="s">
        <v>12</v>
      </c>
      <c r="H308" s="7"/>
    </row>
    <row r="309" s="3" customFormat="1" ht="14.25" customHeight="1" spans="1:8">
      <c r="A309" s="7">
        <v>306</v>
      </c>
      <c r="B309" s="7" t="str">
        <f>"114020200330143838159059"</f>
        <v>114020200330143838159059</v>
      </c>
      <c r="C309" s="7" t="s">
        <v>285</v>
      </c>
      <c r="D309" s="7" t="str">
        <f>"黄向"</f>
        <v>黄向</v>
      </c>
      <c r="E309" s="7" t="str">
        <f t="shared" si="32"/>
        <v>女</v>
      </c>
      <c r="F309" s="7" t="s">
        <v>320</v>
      </c>
      <c r="G309" s="7" t="s">
        <v>12</v>
      </c>
      <c r="H309" s="7"/>
    </row>
    <row r="310" s="3" customFormat="1" ht="14.25" customHeight="1" spans="1:8">
      <c r="A310" s="7">
        <v>307</v>
      </c>
      <c r="B310" s="7" t="str">
        <f>"114020200330154632159102"</f>
        <v>114020200330154632159102</v>
      </c>
      <c r="C310" s="7" t="s">
        <v>285</v>
      </c>
      <c r="D310" s="7" t="str">
        <f>"陈馨"</f>
        <v>陈馨</v>
      </c>
      <c r="E310" s="7" t="str">
        <f t="shared" si="32"/>
        <v>女</v>
      </c>
      <c r="F310" s="7" t="s">
        <v>321</v>
      </c>
      <c r="G310" s="7" t="s">
        <v>12</v>
      </c>
      <c r="H310" s="7"/>
    </row>
    <row r="311" s="3" customFormat="1" ht="14.25" customHeight="1" spans="1:8">
      <c r="A311" s="7">
        <v>308</v>
      </c>
      <c r="B311" s="7" t="str">
        <f>"114020200330174200159182"</f>
        <v>114020200330174200159182</v>
      </c>
      <c r="C311" s="7" t="s">
        <v>285</v>
      </c>
      <c r="D311" s="7" t="str">
        <f>"张汉娇"</f>
        <v>张汉娇</v>
      </c>
      <c r="E311" s="7" t="str">
        <f t="shared" si="32"/>
        <v>女</v>
      </c>
      <c r="F311" s="7" t="s">
        <v>322</v>
      </c>
      <c r="G311" s="7" t="s">
        <v>12</v>
      </c>
      <c r="H311" s="7"/>
    </row>
    <row r="312" s="3" customFormat="1" ht="14.25" customHeight="1" spans="1:8">
      <c r="A312" s="7">
        <v>309</v>
      </c>
      <c r="B312" s="7" t="str">
        <f>"114020200330194432159232"</f>
        <v>114020200330194432159232</v>
      </c>
      <c r="C312" s="7" t="s">
        <v>285</v>
      </c>
      <c r="D312" s="7" t="str">
        <f>"潘璇"</f>
        <v>潘璇</v>
      </c>
      <c r="E312" s="7" t="str">
        <f t="shared" si="32"/>
        <v>女</v>
      </c>
      <c r="F312" s="7" t="s">
        <v>323</v>
      </c>
      <c r="G312" s="7" t="s">
        <v>12</v>
      </c>
      <c r="H312" s="7"/>
    </row>
    <row r="313" s="3" customFormat="1" ht="14.25" customHeight="1" spans="1:8">
      <c r="A313" s="7">
        <v>310</v>
      </c>
      <c r="B313" s="7" t="str">
        <f>"114020200330202020159249"</f>
        <v>114020200330202020159249</v>
      </c>
      <c r="C313" s="7" t="s">
        <v>285</v>
      </c>
      <c r="D313" s="7" t="str">
        <f>"吴谢苗"</f>
        <v>吴谢苗</v>
      </c>
      <c r="E313" s="7" t="str">
        <f t="shared" si="32"/>
        <v>女</v>
      </c>
      <c r="F313" s="7" t="s">
        <v>324</v>
      </c>
      <c r="G313" s="7" t="s">
        <v>12</v>
      </c>
      <c r="H313" s="7"/>
    </row>
    <row r="314" s="3" customFormat="1" ht="14.25" customHeight="1" spans="1:8">
      <c r="A314" s="7">
        <v>311</v>
      </c>
      <c r="B314" s="7" t="str">
        <f>"114020200330203432159258"</f>
        <v>114020200330203432159258</v>
      </c>
      <c r="C314" s="7" t="s">
        <v>285</v>
      </c>
      <c r="D314" s="7" t="str">
        <f>"彭佳倩"</f>
        <v>彭佳倩</v>
      </c>
      <c r="E314" s="7" t="str">
        <f t="shared" si="32"/>
        <v>女</v>
      </c>
      <c r="F314" s="7" t="s">
        <v>325</v>
      </c>
      <c r="G314" s="7" t="s">
        <v>12</v>
      </c>
      <c r="H314" s="7"/>
    </row>
    <row r="315" s="3" customFormat="1" ht="14.25" customHeight="1" spans="1:8">
      <c r="A315" s="7">
        <v>312</v>
      </c>
      <c r="B315" s="7" t="str">
        <f>"114020200331105227159426"</f>
        <v>114020200331105227159426</v>
      </c>
      <c r="C315" s="7" t="s">
        <v>285</v>
      </c>
      <c r="D315" s="7" t="str">
        <f>"文怡"</f>
        <v>文怡</v>
      </c>
      <c r="E315" s="7" t="str">
        <f t="shared" si="32"/>
        <v>女</v>
      </c>
      <c r="F315" s="7" t="s">
        <v>326</v>
      </c>
      <c r="G315" s="7" t="s">
        <v>12</v>
      </c>
      <c r="H315" s="7"/>
    </row>
    <row r="316" s="3" customFormat="1" ht="14.25" customHeight="1" spans="1:8">
      <c r="A316" s="7">
        <v>313</v>
      </c>
      <c r="B316" s="7" t="str">
        <f>"114020200331121630159467"</f>
        <v>114020200331121630159467</v>
      </c>
      <c r="C316" s="7" t="s">
        <v>285</v>
      </c>
      <c r="D316" s="7" t="str">
        <f>"陈小妹"</f>
        <v>陈小妹</v>
      </c>
      <c r="E316" s="7" t="str">
        <f t="shared" si="32"/>
        <v>女</v>
      </c>
      <c r="F316" s="7" t="s">
        <v>327</v>
      </c>
      <c r="G316" s="7" t="s">
        <v>12</v>
      </c>
      <c r="H316" s="7"/>
    </row>
    <row r="317" s="3" customFormat="1" ht="14.25" customHeight="1" spans="1:8">
      <c r="A317" s="7">
        <v>314</v>
      </c>
      <c r="B317" s="7" t="str">
        <f>"114020200331124106159481"</f>
        <v>114020200331124106159481</v>
      </c>
      <c r="C317" s="7" t="s">
        <v>285</v>
      </c>
      <c r="D317" s="7" t="str">
        <f>"赵月"</f>
        <v>赵月</v>
      </c>
      <c r="E317" s="7" t="str">
        <f t="shared" si="32"/>
        <v>女</v>
      </c>
      <c r="F317" s="7" t="s">
        <v>328</v>
      </c>
      <c r="G317" s="7" t="s">
        <v>12</v>
      </c>
      <c r="H317" s="7"/>
    </row>
    <row r="318" s="3" customFormat="1" ht="14.25" customHeight="1" spans="1:8">
      <c r="A318" s="7">
        <v>315</v>
      </c>
      <c r="B318" s="7" t="str">
        <f>"114020200331130741159498"</f>
        <v>114020200331130741159498</v>
      </c>
      <c r="C318" s="7" t="s">
        <v>285</v>
      </c>
      <c r="D318" s="7" t="str">
        <f>"张昕"</f>
        <v>张昕</v>
      </c>
      <c r="E318" s="7" t="str">
        <f t="shared" si="32"/>
        <v>女</v>
      </c>
      <c r="F318" s="7" t="s">
        <v>329</v>
      </c>
      <c r="G318" s="7" t="s">
        <v>12</v>
      </c>
      <c r="H318" s="7"/>
    </row>
    <row r="319" s="3" customFormat="1" ht="14.25" customHeight="1" spans="1:8">
      <c r="A319" s="7">
        <v>316</v>
      </c>
      <c r="B319" s="7" t="str">
        <f>"114020200331165641159604"</f>
        <v>114020200331165641159604</v>
      </c>
      <c r="C319" s="7" t="s">
        <v>285</v>
      </c>
      <c r="D319" s="7" t="str">
        <f>"陆璐"</f>
        <v>陆璐</v>
      </c>
      <c r="E319" s="7" t="str">
        <f t="shared" si="32"/>
        <v>女</v>
      </c>
      <c r="F319" s="7" t="s">
        <v>330</v>
      </c>
      <c r="G319" s="7" t="s">
        <v>12</v>
      </c>
      <c r="H319" s="7"/>
    </row>
    <row r="320" s="3" customFormat="1" ht="14.25" customHeight="1" spans="1:8">
      <c r="A320" s="7">
        <v>317</v>
      </c>
      <c r="B320" s="7" t="str">
        <f>"114020200331172448159615"</f>
        <v>114020200331172448159615</v>
      </c>
      <c r="C320" s="7" t="s">
        <v>285</v>
      </c>
      <c r="D320" s="7" t="str">
        <f>"薛梅爱"</f>
        <v>薛梅爱</v>
      </c>
      <c r="E320" s="7" t="str">
        <f t="shared" si="32"/>
        <v>女</v>
      </c>
      <c r="F320" s="7" t="s">
        <v>331</v>
      </c>
      <c r="G320" s="7" t="s">
        <v>12</v>
      </c>
      <c r="H320" s="7"/>
    </row>
    <row r="321" s="3" customFormat="1" ht="14.25" customHeight="1" spans="1:8">
      <c r="A321" s="7">
        <v>318</v>
      </c>
      <c r="B321" s="7" t="str">
        <f>"114020200331195601159658"</f>
        <v>114020200331195601159658</v>
      </c>
      <c r="C321" s="7" t="s">
        <v>285</v>
      </c>
      <c r="D321" s="7" t="str">
        <f>"王清丽"</f>
        <v>王清丽</v>
      </c>
      <c r="E321" s="7" t="str">
        <f t="shared" si="32"/>
        <v>女</v>
      </c>
      <c r="F321" s="7" t="s">
        <v>332</v>
      </c>
      <c r="G321" s="7" t="s">
        <v>12</v>
      </c>
      <c r="H321" s="7"/>
    </row>
    <row r="322" s="3" customFormat="1" ht="14.25" customHeight="1" spans="1:8">
      <c r="A322" s="7">
        <v>319</v>
      </c>
      <c r="B322" s="7" t="str">
        <f>"114020200331213936159695"</f>
        <v>114020200331213936159695</v>
      </c>
      <c r="C322" s="7" t="s">
        <v>285</v>
      </c>
      <c r="D322" s="7" t="str">
        <f>"黄瑶瑶"</f>
        <v>黄瑶瑶</v>
      </c>
      <c r="E322" s="7" t="str">
        <f t="shared" si="32"/>
        <v>女</v>
      </c>
      <c r="F322" s="7" t="s">
        <v>333</v>
      </c>
      <c r="G322" s="7" t="s">
        <v>12</v>
      </c>
      <c r="H322" s="7"/>
    </row>
    <row r="323" s="3" customFormat="1" ht="14.25" customHeight="1" spans="1:8">
      <c r="A323" s="7">
        <v>320</v>
      </c>
      <c r="B323" s="7" t="str">
        <f>"114020200331224932159719"</f>
        <v>114020200331224932159719</v>
      </c>
      <c r="C323" s="7" t="s">
        <v>285</v>
      </c>
      <c r="D323" s="7" t="str">
        <f>"崔文倩"</f>
        <v>崔文倩</v>
      </c>
      <c r="E323" s="7" t="str">
        <f t="shared" si="32"/>
        <v>女</v>
      </c>
      <c r="F323" s="7" t="s">
        <v>334</v>
      </c>
      <c r="G323" s="7" t="s">
        <v>12</v>
      </c>
      <c r="H323" s="7"/>
    </row>
    <row r="324" s="3" customFormat="1" ht="14.25" customHeight="1" spans="1:8">
      <c r="A324" s="7">
        <v>321</v>
      </c>
      <c r="B324" s="7" t="str">
        <f>"114020200401103410159783"</f>
        <v>114020200401103410159783</v>
      </c>
      <c r="C324" s="7" t="s">
        <v>285</v>
      </c>
      <c r="D324" s="7" t="str">
        <f>"符方雪"</f>
        <v>符方雪</v>
      </c>
      <c r="E324" s="7" t="str">
        <f t="shared" si="32"/>
        <v>女</v>
      </c>
      <c r="F324" s="7" t="s">
        <v>335</v>
      </c>
      <c r="G324" s="7" t="s">
        <v>12</v>
      </c>
      <c r="H324" s="7"/>
    </row>
    <row r="325" s="3" customFormat="1" ht="14.25" customHeight="1" spans="1:8">
      <c r="A325" s="7">
        <v>322</v>
      </c>
      <c r="B325" s="7" t="str">
        <f>"114020200401103926159787"</f>
        <v>114020200401103926159787</v>
      </c>
      <c r="C325" s="7" t="s">
        <v>285</v>
      </c>
      <c r="D325" s="7" t="str">
        <f>"邢冬银"</f>
        <v>邢冬银</v>
      </c>
      <c r="E325" s="7" t="str">
        <f t="shared" si="32"/>
        <v>女</v>
      </c>
      <c r="F325" s="7" t="s">
        <v>336</v>
      </c>
      <c r="G325" s="7" t="s">
        <v>12</v>
      </c>
      <c r="H325" s="7"/>
    </row>
    <row r="326" s="3" customFormat="1" ht="14.25" customHeight="1" spans="1:8">
      <c r="A326" s="7">
        <v>323</v>
      </c>
      <c r="B326" s="7" t="str">
        <f>"114020200401114410159813"</f>
        <v>114020200401114410159813</v>
      </c>
      <c r="C326" s="7" t="s">
        <v>285</v>
      </c>
      <c r="D326" s="7" t="str">
        <f>"黄祖贤"</f>
        <v>黄祖贤</v>
      </c>
      <c r="E326" s="7" t="str">
        <f t="shared" si="32"/>
        <v>女</v>
      </c>
      <c r="F326" s="7" t="s">
        <v>337</v>
      </c>
      <c r="G326" s="7" t="s">
        <v>12</v>
      </c>
      <c r="H326" s="7"/>
    </row>
    <row r="327" s="3" customFormat="1" ht="14.25" customHeight="1" spans="1:8">
      <c r="A327" s="7">
        <v>324</v>
      </c>
      <c r="B327" s="7" t="str">
        <f>"114020200401114607159815"</f>
        <v>114020200401114607159815</v>
      </c>
      <c r="C327" s="7" t="s">
        <v>285</v>
      </c>
      <c r="D327" s="7" t="str">
        <f>"朱菲"</f>
        <v>朱菲</v>
      </c>
      <c r="E327" s="7" t="str">
        <f t="shared" si="32"/>
        <v>女</v>
      </c>
      <c r="F327" s="7" t="s">
        <v>338</v>
      </c>
      <c r="G327" s="7" t="s">
        <v>12</v>
      </c>
      <c r="H327" s="7"/>
    </row>
    <row r="328" s="3" customFormat="1" ht="14.25" customHeight="1" spans="1:8">
      <c r="A328" s="7">
        <v>325</v>
      </c>
      <c r="B328" s="7" t="str">
        <f>"114020200401202129160018"</f>
        <v>114020200401202129160018</v>
      </c>
      <c r="C328" s="7" t="s">
        <v>285</v>
      </c>
      <c r="D328" s="7" t="str">
        <f>"钟秋琴"</f>
        <v>钟秋琴</v>
      </c>
      <c r="E328" s="7" t="str">
        <f t="shared" si="32"/>
        <v>女</v>
      </c>
      <c r="F328" s="7" t="s">
        <v>339</v>
      </c>
      <c r="G328" s="7" t="s">
        <v>12</v>
      </c>
      <c r="H328" s="7"/>
    </row>
    <row r="329" s="3" customFormat="1" ht="14.25" customHeight="1" spans="1:8">
      <c r="A329" s="7">
        <v>326</v>
      </c>
      <c r="B329" s="7" t="str">
        <f>"114020200402121922160162"</f>
        <v>114020200402121922160162</v>
      </c>
      <c r="C329" s="7" t="s">
        <v>285</v>
      </c>
      <c r="D329" s="7" t="str">
        <f>"吴巨玲"</f>
        <v>吴巨玲</v>
      </c>
      <c r="E329" s="7" t="str">
        <f t="shared" si="32"/>
        <v>女</v>
      </c>
      <c r="F329" s="7" t="s">
        <v>340</v>
      </c>
      <c r="G329" s="7" t="s">
        <v>12</v>
      </c>
      <c r="H329" s="7"/>
    </row>
    <row r="330" s="3" customFormat="1" ht="14.25" customHeight="1" spans="1:8">
      <c r="A330" s="7">
        <v>327</v>
      </c>
      <c r="B330" s="7" t="str">
        <f>"114020200402160436160220"</f>
        <v>114020200402160436160220</v>
      </c>
      <c r="C330" s="7" t="s">
        <v>285</v>
      </c>
      <c r="D330" s="7" t="str">
        <f>"王玉霞"</f>
        <v>王玉霞</v>
      </c>
      <c r="E330" s="7" t="str">
        <f t="shared" si="32"/>
        <v>女</v>
      </c>
      <c r="F330" s="7" t="s">
        <v>341</v>
      </c>
      <c r="G330" s="7" t="s">
        <v>12</v>
      </c>
      <c r="H330" s="7"/>
    </row>
    <row r="331" s="3" customFormat="1" ht="14.25" customHeight="1" spans="1:8">
      <c r="A331" s="7">
        <v>328</v>
      </c>
      <c r="B331" s="7" t="str">
        <f>"114020200402193339160281"</f>
        <v>114020200402193339160281</v>
      </c>
      <c r="C331" s="7" t="s">
        <v>285</v>
      </c>
      <c r="D331" s="7" t="str">
        <f>"林超"</f>
        <v>林超</v>
      </c>
      <c r="E331" s="7" t="str">
        <f t="shared" si="32"/>
        <v>女</v>
      </c>
      <c r="F331" s="7" t="s">
        <v>342</v>
      </c>
      <c r="G331" s="7" t="s">
        <v>12</v>
      </c>
      <c r="H331" s="7"/>
    </row>
    <row r="332" s="3" customFormat="1" ht="14.25" customHeight="1" spans="1:8">
      <c r="A332" s="7">
        <v>329</v>
      </c>
      <c r="B332" s="7" t="str">
        <f>"114020200402195702160287"</f>
        <v>114020200402195702160287</v>
      </c>
      <c r="C332" s="7" t="s">
        <v>285</v>
      </c>
      <c r="D332" s="7" t="str">
        <f>"符谷丹"</f>
        <v>符谷丹</v>
      </c>
      <c r="E332" s="7" t="str">
        <f t="shared" si="32"/>
        <v>女</v>
      </c>
      <c r="F332" s="7" t="s">
        <v>343</v>
      </c>
      <c r="G332" s="7" t="s">
        <v>12</v>
      </c>
      <c r="H332" s="7"/>
    </row>
    <row r="333" s="3" customFormat="1" ht="14.25" customHeight="1" spans="1:8">
      <c r="A333" s="7">
        <v>330</v>
      </c>
      <c r="B333" s="7" t="str">
        <f>"114020200402202220160291"</f>
        <v>114020200402202220160291</v>
      </c>
      <c r="C333" s="7" t="s">
        <v>285</v>
      </c>
      <c r="D333" s="7" t="str">
        <f>"沈彩梦"</f>
        <v>沈彩梦</v>
      </c>
      <c r="E333" s="7" t="str">
        <f t="shared" si="32"/>
        <v>女</v>
      </c>
      <c r="F333" s="7" t="s">
        <v>344</v>
      </c>
      <c r="G333" s="7" t="s">
        <v>12</v>
      </c>
      <c r="H333" s="7"/>
    </row>
    <row r="334" s="3" customFormat="1" ht="14.25" customHeight="1" spans="1:8">
      <c r="A334" s="7">
        <v>331</v>
      </c>
      <c r="B334" s="7" t="str">
        <f>"114020200402213431160313"</f>
        <v>114020200402213431160313</v>
      </c>
      <c r="C334" s="7" t="s">
        <v>285</v>
      </c>
      <c r="D334" s="7" t="str">
        <f>"董钰洁"</f>
        <v>董钰洁</v>
      </c>
      <c r="E334" s="7" t="str">
        <f t="shared" si="32"/>
        <v>女</v>
      </c>
      <c r="F334" s="7" t="s">
        <v>345</v>
      </c>
      <c r="G334" s="7" t="s">
        <v>12</v>
      </c>
      <c r="H334" s="7"/>
    </row>
    <row r="335" s="3" customFormat="1" ht="14.25" customHeight="1" spans="1:8">
      <c r="A335" s="7">
        <v>332</v>
      </c>
      <c r="B335" s="7" t="str">
        <f>"114020200403102252160394"</f>
        <v>114020200403102252160394</v>
      </c>
      <c r="C335" s="7" t="s">
        <v>285</v>
      </c>
      <c r="D335" s="7" t="str">
        <f>"陈水姣"</f>
        <v>陈水姣</v>
      </c>
      <c r="E335" s="7" t="str">
        <f t="shared" si="32"/>
        <v>女</v>
      </c>
      <c r="F335" s="7" t="s">
        <v>346</v>
      </c>
      <c r="G335" s="7" t="s">
        <v>12</v>
      </c>
      <c r="H335" s="7"/>
    </row>
    <row r="336" s="3" customFormat="1" ht="14.25" customHeight="1" spans="1:8">
      <c r="A336" s="7">
        <v>333</v>
      </c>
      <c r="B336" s="7" t="str">
        <f>"114020200403165109160505"</f>
        <v>114020200403165109160505</v>
      </c>
      <c r="C336" s="7" t="s">
        <v>285</v>
      </c>
      <c r="D336" s="7" t="str">
        <f>"黄彩英"</f>
        <v>黄彩英</v>
      </c>
      <c r="E336" s="7" t="str">
        <f t="shared" si="32"/>
        <v>女</v>
      </c>
      <c r="F336" s="7" t="s">
        <v>347</v>
      </c>
      <c r="G336" s="7" t="s">
        <v>12</v>
      </c>
      <c r="H336" s="7"/>
    </row>
    <row r="337" s="3" customFormat="1" ht="14.25" customHeight="1" spans="1:8">
      <c r="A337" s="7">
        <v>334</v>
      </c>
      <c r="B337" s="7" t="str">
        <f>"114020200404123601160606"</f>
        <v>114020200404123601160606</v>
      </c>
      <c r="C337" s="7" t="s">
        <v>285</v>
      </c>
      <c r="D337" s="7" t="str">
        <f>"曾翠妍"</f>
        <v>曾翠妍</v>
      </c>
      <c r="E337" s="7" t="str">
        <f t="shared" si="32"/>
        <v>女</v>
      </c>
      <c r="F337" s="7" t="s">
        <v>348</v>
      </c>
      <c r="G337" s="7" t="s">
        <v>12</v>
      </c>
      <c r="H337" s="7"/>
    </row>
    <row r="338" s="3" customFormat="1" ht="14.25" customHeight="1" spans="1:8">
      <c r="A338" s="7">
        <v>335</v>
      </c>
      <c r="B338" s="7" t="str">
        <f>"114020200404213330160669"</f>
        <v>114020200404213330160669</v>
      </c>
      <c r="C338" s="7" t="s">
        <v>285</v>
      </c>
      <c r="D338" s="7" t="str">
        <f>"孙秋琼"</f>
        <v>孙秋琼</v>
      </c>
      <c r="E338" s="7" t="str">
        <f t="shared" si="32"/>
        <v>女</v>
      </c>
      <c r="F338" s="7" t="s">
        <v>349</v>
      </c>
      <c r="G338" s="7" t="s">
        <v>12</v>
      </c>
      <c r="H338" s="7"/>
    </row>
    <row r="339" s="3" customFormat="1" ht="14.25" customHeight="1" spans="1:8">
      <c r="A339" s="7">
        <v>336</v>
      </c>
      <c r="B339" s="7" t="str">
        <f>"114020200405125006160814"</f>
        <v>114020200405125006160814</v>
      </c>
      <c r="C339" s="7" t="s">
        <v>285</v>
      </c>
      <c r="D339" s="7" t="str">
        <f>"黄慧可"</f>
        <v>黄慧可</v>
      </c>
      <c r="E339" s="7" t="str">
        <f t="shared" si="32"/>
        <v>女</v>
      </c>
      <c r="F339" s="7" t="s">
        <v>350</v>
      </c>
      <c r="G339" s="7" t="s">
        <v>12</v>
      </c>
      <c r="H339" s="7"/>
    </row>
    <row r="340" s="3" customFormat="1" ht="14.25" customHeight="1" spans="1:8">
      <c r="A340" s="7">
        <v>337</v>
      </c>
      <c r="B340" s="7" t="str">
        <f>"114020200405134255160834"</f>
        <v>114020200405134255160834</v>
      </c>
      <c r="C340" s="7" t="s">
        <v>285</v>
      </c>
      <c r="D340" s="7" t="str">
        <f>"高水晶"</f>
        <v>高水晶</v>
      </c>
      <c r="E340" s="7" t="str">
        <f t="shared" si="32"/>
        <v>女</v>
      </c>
      <c r="F340" s="7" t="s">
        <v>351</v>
      </c>
      <c r="G340" s="7" t="s">
        <v>12</v>
      </c>
      <c r="H340" s="7"/>
    </row>
    <row r="341" s="3" customFormat="1" ht="14.25" customHeight="1" spans="1:8">
      <c r="A341" s="7">
        <v>338</v>
      </c>
      <c r="B341" s="7" t="str">
        <f>"114020200405141721160841"</f>
        <v>114020200405141721160841</v>
      </c>
      <c r="C341" s="7" t="s">
        <v>285</v>
      </c>
      <c r="D341" s="7" t="str">
        <f>"邱铄淋"</f>
        <v>邱铄淋</v>
      </c>
      <c r="E341" s="7" t="str">
        <f>"男"</f>
        <v>男</v>
      </c>
      <c r="F341" s="7" t="s">
        <v>352</v>
      </c>
      <c r="G341" s="7" t="s">
        <v>12</v>
      </c>
      <c r="H341" s="7"/>
    </row>
    <row r="342" s="3" customFormat="1" ht="14.25" customHeight="1" spans="1:8">
      <c r="A342" s="7">
        <v>339</v>
      </c>
      <c r="B342" s="7" t="str">
        <f>"114020200405164231160880"</f>
        <v>114020200405164231160880</v>
      </c>
      <c r="C342" s="7" t="s">
        <v>285</v>
      </c>
      <c r="D342" s="7" t="str">
        <f>"冼日成"</f>
        <v>冼日成</v>
      </c>
      <c r="E342" s="7" t="str">
        <f>"男"</f>
        <v>男</v>
      </c>
      <c r="F342" s="7" t="s">
        <v>353</v>
      </c>
      <c r="G342" s="7" t="s">
        <v>12</v>
      </c>
      <c r="H342" s="7"/>
    </row>
    <row r="343" s="3" customFormat="1" ht="14.25" customHeight="1" spans="1:8">
      <c r="A343" s="7">
        <v>340</v>
      </c>
      <c r="B343" s="7" t="str">
        <f>"114020200405213148160991"</f>
        <v>114020200405213148160991</v>
      </c>
      <c r="C343" s="7" t="s">
        <v>285</v>
      </c>
      <c r="D343" s="7" t="str">
        <f>"符慧琴"</f>
        <v>符慧琴</v>
      </c>
      <c r="E343" s="7" t="str">
        <f t="shared" ref="E343:E346" si="33">"女"</f>
        <v>女</v>
      </c>
      <c r="F343" s="7" t="s">
        <v>354</v>
      </c>
      <c r="G343" s="7" t="s">
        <v>12</v>
      </c>
      <c r="H343" s="7"/>
    </row>
    <row r="344" s="3" customFormat="1" ht="14.25" customHeight="1" spans="1:8">
      <c r="A344" s="7">
        <v>341</v>
      </c>
      <c r="B344" s="7" t="str">
        <f>"114020200405213609160995"</f>
        <v>114020200405213609160995</v>
      </c>
      <c r="C344" s="7" t="s">
        <v>285</v>
      </c>
      <c r="D344" s="7" t="str">
        <f>"林小妹"</f>
        <v>林小妹</v>
      </c>
      <c r="E344" s="7" t="str">
        <f t="shared" si="33"/>
        <v>女</v>
      </c>
      <c r="F344" s="7" t="s">
        <v>355</v>
      </c>
      <c r="G344" s="7" t="s">
        <v>12</v>
      </c>
      <c r="H344" s="7"/>
    </row>
    <row r="345" s="3" customFormat="1" ht="14.25" customHeight="1" spans="1:8">
      <c r="A345" s="7">
        <v>342</v>
      </c>
      <c r="B345" s="7" t="str">
        <f>"114020200405214952161000"</f>
        <v>114020200405214952161000</v>
      </c>
      <c r="C345" s="7" t="s">
        <v>285</v>
      </c>
      <c r="D345" s="7" t="str">
        <f>"符娟"</f>
        <v>符娟</v>
      </c>
      <c r="E345" s="7" t="str">
        <f t="shared" si="33"/>
        <v>女</v>
      </c>
      <c r="F345" s="7" t="s">
        <v>356</v>
      </c>
      <c r="G345" s="7" t="s">
        <v>12</v>
      </c>
      <c r="H345" s="7"/>
    </row>
    <row r="346" s="3" customFormat="1" ht="14.25" customHeight="1" spans="1:8">
      <c r="A346" s="7">
        <v>343</v>
      </c>
      <c r="B346" s="7" t="str">
        <f>"114020200405225958161025"</f>
        <v>114020200405225958161025</v>
      </c>
      <c r="C346" s="7" t="s">
        <v>285</v>
      </c>
      <c r="D346" s="7" t="str">
        <f>"陈景寨"</f>
        <v>陈景寨</v>
      </c>
      <c r="E346" s="7" t="str">
        <f t="shared" si="33"/>
        <v>女</v>
      </c>
      <c r="F346" s="7" t="s">
        <v>357</v>
      </c>
      <c r="G346" s="7" t="s">
        <v>12</v>
      </c>
      <c r="H346" s="7"/>
    </row>
    <row r="347" s="3" customFormat="1" ht="14.25" customHeight="1" spans="1:8">
      <c r="A347" s="7">
        <v>344</v>
      </c>
      <c r="B347" s="7" t="str">
        <f>"114020200328094502157243"</f>
        <v>114020200328094502157243</v>
      </c>
      <c r="C347" s="7" t="s">
        <v>358</v>
      </c>
      <c r="D347" s="7" t="str">
        <f>"苏浩然"</f>
        <v>苏浩然</v>
      </c>
      <c r="E347" s="7" t="str">
        <f>"男"</f>
        <v>男</v>
      </c>
      <c r="F347" s="7" t="s">
        <v>359</v>
      </c>
      <c r="G347" s="7" t="s">
        <v>12</v>
      </c>
      <c r="H347" s="7"/>
    </row>
    <row r="348" s="3" customFormat="1" ht="14.25" customHeight="1" spans="1:8">
      <c r="A348" s="7">
        <v>345</v>
      </c>
      <c r="B348" s="7" t="str">
        <f>"114020200328105918157417"</f>
        <v>114020200328105918157417</v>
      </c>
      <c r="C348" s="7" t="s">
        <v>358</v>
      </c>
      <c r="D348" s="7" t="str">
        <f>"卢妃"</f>
        <v>卢妃</v>
      </c>
      <c r="E348" s="7" t="str">
        <f t="shared" ref="E348:E378" si="34">"女"</f>
        <v>女</v>
      </c>
      <c r="F348" s="7" t="s">
        <v>360</v>
      </c>
      <c r="G348" s="7" t="s">
        <v>12</v>
      </c>
      <c r="H348" s="7"/>
    </row>
    <row r="349" s="3" customFormat="1" ht="14.25" customHeight="1" spans="1:8">
      <c r="A349" s="7">
        <v>346</v>
      </c>
      <c r="B349" s="7" t="str">
        <f>"114020200328105936157418"</f>
        <v>114020200328105936157418</v>
      </c>
      <c r="C349" s="7" t="s">
        <v>358</v>
      </c>
      <c r="D349" s="7" t="str">
        <f>"程丹"</f>
        <v>程丹</v>
      </c>
      <c r="E349" s="7" t="str">
        <f t="shared" si="34"/>
        <v>女</v>
      </c>
      <c r="F349" s="7" t="s">
        <v>361</v>
      </c>
      <c r="G349" s="7" t="s">
        <v>12</v>
      </c>
      <c r="H349" s="7"/>
    </row>
    <row r="350" s="3" customFormat="1" ht="14.25" customHeight="1" spans="1:8">
      <c r="A350" s="7">
        <v>347</v>
      </c>
      <c r="B350" s="7" t="str">
        <f>"114020200328122054157573"</f>
        <v>114020200328122054157573</v>
      </c>
      <c r="C350" s="7" t="s">
        <v>358</v>
      </c>
      <c r="D350" s="7" t="str">
        <f>"王文雅"</f>
        <v>王文雅</v>
      </c>
      <c r="E350" s="7" t="str">
        <f t="shared" si="34"/>
        <v>女</v>
      </c>
      <c r="F350" s="7" t="s">
        <v>362</v>
      </c>
      <c r="G350" s="7" t="s">
        <v>12</v>
      </c>
      <c r="H350" s="7"/>
    </row>
    <row r="351" s="3" customFormat="1" ht="14.25" customHeight="1" spans="1:8">
      <c r="A351" s="7">
        <v>348</v>
      </c>
      <c r="B351" s="7" t="str">
        <f>"114020200328123406157598"</f>
        <v>114020200328123406157598</v>
      </c>
      <c r="C351" s="7" t="s">
        <v>358</v>
      </c>
      <c r="D351" s="7" t="str">
        <f>"朱奕烹"</f>
        <v>朱奕烹</v>
      </c>
      <c r="E351" s="7" t="str">
        <f t="shared" si="34"/>
        <v>女</v>
      </c>
      <c r="F351" s="7" t="s">
        <v>363</v>
      </c>
      <c r="G351" s="7" t="s">
        <v>12</v>
      </c>
      <c r="H351" s="7"/>
    </row>
    <row r="352" s="3" customFormat="1" ht="14.25" customHeight="1" spans="1:8">
      <c r="A352" s="7">
        <v>349</v>
      </c>
      <c r="B352" s="7" t="str">
        <f>"114020200328130054157637"</f>
        <v>114020200328130054157637</v>
      </c>
      <c r="C352" s="7" t="s">
        <v>358</v>
      </c>
      <c r="D352" s="7" t="str">
        <f>"李世学"</f>
        <v>李世学</v>
      </c>
      <c r="E352" s="7" t="str">
        <f t="shared" si="34"/>
        <v>女</v>
      </c>
      <c r="F352" s="7" t="s">
        <v>364</v>
      </c>
      <c r="G352" s="7" t="s">
        <v>12</v>
      </c>
      <c r="H352" s="7"/>
    </row>
    <row r="353" s="3" customFormat="1" ht="14.25" customHeight="1" spans="1:8">
      <c r="A353" s="7">
        <v>350</v>
      </c>
      <c r="B353" s="7" t="str">
        <f>"114020200328154558157816"</f>
        <v>114020200328154558157816</v>
      </c>
      <c r="C353" s="7" t="s">
        <v>358</v>
      </c>
      <c r="D353" s="7" t="str">
        <f>"黄小燕"</f>
        <v>黄小燕</v>
      </c>
      <c r="E353" s="7" t="str">
        <f t="shared" si="34"/>
        <v>女</v>
      </c>
      <c r="F353" s="7" t="s">
        <v>365</v>
      </c>
      <c r="G353" s="7" t="s">
        <v>12</v>
      </c>
      <c r="H353" s="7"/>
    </row>
    <row r="354" s="3" customFormat="1" ht="14.25" customHeight="1" spans="1:8">
      <c r="A354" s="7">
        <v>351</v>
      </c>
      <c r="B354" s="7" t="str">
        <f>"114020200328203414158048"</f>
        <v>114020200328203414158048</v>
      </c>
      <c r="C354" s="7" t="s">
        <v>358</v>
      </c>
      <c r="D354" s="7" t="str">
        <f>"邓雪映"</f>
        <v>邓雪映</v>
      </c>
      <c r="E354" s="7" t="str">
        <f t="shared" si="34"/>
        <v>女</v>
      </c>
      <c r="F354" s="7" t="s">
        <v>366</v>
      </c>
      <c r="G354" s="7" t="s">
        <v>12</v>
      </c>
      <c r="H354" s="7"/>
    </row>
    <row r="355" s="3" customFormat="1" ht="14.25" customHeight="1" spans="1:8">
      <c r="A355" s="7">
        <v>352</v>
      </c>
      <c r="B355" s="7" t="str">
        <f>"114020200328212143158089"</f>
        <v>114020200328212143158089</v>
      </c>
      <c r="C355" s="7" t="s">
        <v>358</v>
      </c>
      <c r="D355" s="7" t="str">
        <f>"罗德翠"</f>
        <v>罗德翠</v>
      </c>
      <c r="E355" s="7" t="str">
        <f t="shared" si="34"/>
        <v>女</v>
      </c>
      <c r="F355" s="7" t="s">
        <v>367</v>
      </c>
      <c r="G355" s="7" t="s">
        <v>12</v>
      </c>
      <c r="H355" s="7"/>
    </row>
    <row r="356" s="3" customFormat="1" ht="14.25" customHeight="1" spans="1:8">
      <c r="A356" s="7">
        <v>353</v>
      </c>
      <c r="B356" s="7" t="str">
        <f>"114020200328223531158140"</f>
        <v>114020200328223531158140</v>
      </c>
      <c r="C356" s="7" t="s">
        <v>358</v>
      </c>
      <c r="D356" s="7" t="str">
        <f>"王少环"</f>
        <v>王少环</v>
      </c>
      <c r="E356" s="7" t="str">
        <f t="shared" si="34"/>
        <v>女</v>
      </c>
      <c r="F356" s="7" t="s">
        <v>368</v>
      </c>
      <c r="G356" s="7" t="s">
        <v>12</v>
      </c>
      <c r="H356" s="7"/>
    </row>
    <row r="357" s="3" customFormat="1" ht="14.25" customHeight="1" spans="1:8">
      <c r="A357" s="7">
        <v>354</v>
      </c>
      <c r="B357" s="7" t="str">
        <f>"114020200329104355158288"</f>
        <v>114020200329104355158288</v>
      </c>
      <c r="C357" s="7" t="s">
        <v>358</v>
      </c>
      <c r="D357" s="7" t="str">
        <f>"邓蕊"</f>
        <v>邓蕊</v>
      </c>
      <c r="E357" s="7" t="str">
        <f t="shared" si="34"/>
        <v>女</v>
      </c>
      <c r="F357" s="7" t="s">
        <v>369</v>
      </c>
      <c r="G357" s="7" t="s">
        <v>12</v>
      </c>
      <c r="H357" s="7"/>
    </row>
    <row r="358" s="3" customFormat="1" ht="14.25" customHeight="1" spans="1:8">
      <c r="A358" s="7">
        <v>355</v>
      </c>
      <c r="B358" s="7" t="str">
        <f>"114020200329115927158348"</f>
        <v>114020200329115927158348</v>
      </c>
      <c r="C358" s="7" t="s">
        <v>358</v>
      </c>
      <c r="D358" s="7" t="str">
        <f>"石秀慧"</f>
        <v>石秀慧</v>
      </c>
      <c r="E358" s="7" t="str">
        <f t="shared" si="34"/>
        <v>女</v>
      </c>
      <c r="F358" s="7" t="s">
        <v>195</v>
      </c>
      <c r="G358" s="7" t="s">
        <v>12</v>
      </c>
      <c r="H358" s="7"/>
    </row>
    <row r="359" s="3" customFormat="1" ht="14.25" customHeight="1" spans="1:8">
      <c r="A359" s="7">
        <v>356</v>
      </c>
      <c r="B359" s="7" t="str">
        <f>"114020200329152820158459"</f>
        <v>114020200329152820158459</v>
      </c>
      <c r="C359" s="7" t="s">
        <v>358</v>
      </c>
      <c r="D359" s="7" t="str">
        <f>"李雪妮"</f>
        <v>李雪妮</v>
      </c>
      <c r="E359" s="7" t="str">
        <f t="shared" si="34"/>
        <v>女</v>
      </c>
      <c r="F359" s="7" t="s">
        <v>370</v>
      </c>
      <c r="G359" s="7" t="s">
        <v>12</v>
      </c>
      <c r="H359" s="7"/>
    </row>
    <row r="360" s="3" customFormat="1" ht="14.25" customHeight="1" spans="1:8">
      <c r="A360" s="7">
        <v>357</v>
      </c>
      <c r="B360" s="7" t="str">
        <f>"114020200329162715158489"</f>
        <v>114020200329162715158489</v>
      </c>
      <c r="C360" s="7" t="s">
        <v>358</v>
      </c>
      <c r="D360" s="7" t="str">
        <f>"王锡洁"</f>
        <v>王锡洁</v>
      </c>
      <c r="E360" s="7" t="str">
        <f t="shared" si="34"/>
        <v>女</v>
      </c>
      <c r="F360" s="7" t="s">
        <v>371</v>
      </c>
      <c r="G360" s="7" t="s">
        <v>12</v>
      </c>
      <c r="H360" s="7"/>
    </row>
    <row r="361" s="3" customFormat="1" ht="14.25" customHeight="1" spans="1:8">
      <c r="A361" s="7">
        <v>358</v>
      </c>
      <c r="B361" s="7" t="str">
        <f>"114020200329181820158555"</f>
        <v>114020200329181820158555</v>
      </c>
      <c r="C361" s="7" t="s">
        <v>358</v>
      </c>
      <c r="D361" s="7" t="str">
        <f>"谢爱娜"</f>
        <v>谢爱娜</v>
      </c>
      <c r="E361" s="7" t="str">
        <f t="shared" si="34"/>
        <v>女</v>
      </c>
      <c r="F361" s="7" t="s">
        <v>372</v>
      </c>
      <c r="G361" s="7" t="s">
        <v>12</v>
      </c>
      <c r="H361" s="7"/>
    </row>
    <row r="362" s="3" customFormat="1" ht="14.25" customHeight="1" spans="1:8">
      <c r="A362" s="7">
        <v>359</v>
      </c>
      <c r="B362" s="7" t="str">
        <f>"114020200330141042159039"</f>
        <v>114020200330141042159039</v>
      </c>
      <c r="C362" s="7" t="s">
        <v>358</v>
      </c>
      <c r="D362" s="7" t="str">
        <f>"范传娜"</f>
        <v>范传娜</v>
      </c>
      <c r="E362" s="7" t="str">
        <f t="shared" si="34"/>
        <v>女</v>
      </c>
      <c r="F362" s="7" t="s">
        <v>373</v>
      </c>
      <c r="G362" s="7" t="s">
        <v>12</v>
      </c>
      <c r="H362" s="7"/>
    </row>
    <row r="363" s="3" customFormat="1" ht="14.25" customHeight="1" spans="1:8">
      <c r="A363" s="7">
        <v>360</v>
      </c>
      <c r="B363" s="7" t="str">
        <f>"114020200330141826159043"</f>
        <v>114020200330141826159043</v>
      </c>
      <c r="C363" s="7" t="s">
        <v>358</v>
      </c>
      <c r="D363" s="7" t="str">
        <f>"石一凡"</f>
        <v>石一凡</v>
      </c>
      <c r="E363" s="7" t="str">
        <f t="shared" si="34"/>
        <v>女</v>
      </c>
      <c r="F363" s="7" t="s">
        <v>374</v>
      </c>
      <c r="G363" s="7" t="s">
        <v>12</v>
      </c>
      <c r="H363" s="7"/>
    </row>
    <row r="364" s="3" customFormat="1" ht="14.25" customHeight="1" spans="1:8">
      <c r="A364" s="7">
        <v>361</v>
      </c>
      <c r="B364" s="7" t="str">
        <f>"114020200330160159159111"</f>
        <v>114020200330160159159111</v>
      </c>
      <c r="C364" s="7" t="s">
        <v>358</v>
      </c>
      <c r="D364" s="7" t="str">
        <f>"石紫艳"</f>
        <v>石紫艳</v>
      </c>
      <c r="E364" s="7" t="str">
        <f t="shared" si="34"/>
        <v>女</v>
      </c>
      <c r="F364" s="7" t="s">
        <v>375</v>
      </c>
      <c r="G364" s="7" t="s">
        <v>12</v>
      </c>
      <c r="H364" s="7"/>
    </row>
    <row r="365" s="3" customFormat="1" ht="14.25" customHeight="1" spans="1:8">
      <c r="A365" s="7">
        <v>362</v>
      </c>
      <c r="B365" s="7" t="str">
        <f>"114020200330164136159141"</f>
        <v>114020200330164136159141</v>
      </c>
      <c r="C365" s="7" t="s">
        <v>358</v>
      </c>
      <c r="D365" s="7" t="str">
        <f>"林才庆"</f>
        <v>林才庆</v>
      </c>
      <c r="E365" s="7" t="str">
        <f t="shared" si="34"/>
        <v>女</v>
      </c>
      <c r="F365" s="7" t="s">
        <v>376</v>
      </c>
      <c r="G365" s="7" t="s">
        <v>12</v>
      </c>
      <c r="H365" s="7"/>
    </row>
    <row r="366" s="3" customFormat="1" ht="14.25" customHeight="1" spans="1:8">
      <c r="A366" s="7">
        <v>363</v>
      </c>
      <c r="B366" s="7" t="str">
        <f>"114020200330172849159175"</f>
        <v>114020200330172849159175</v>
      </c>
      <c r="C366" s="7" t="s">
        <v>358</v>
      </c>
      <c r="D366" s="7" t="str">
        <f>"陈常娟"</f>
        <v>陈常娟</v>
      </c>
      <c r="E366" s="7" t="str">
        <f t="shared" si="34"/>
        <v>女</v>
      </c>
      <c r="F366" s="7" t="s">
        <v>377</v>
      </c>
      <c r="G366" s="7" t="s">
        <v>12</v>
      </c>
      <c r="H366" s="7"/>
    </row>
    <row r="367" s="3" customFormat="1" ht="14.25" customHeight="1" spans="1:8">
      <c r="A367" s="7">
        <v>364</v>
      </c>
      <c r="B367" s="7" t="str">
        <f>"114020200330184034159210"</f>
        <v>114020200330184034159210</v>
      </c>
      <c r="C367" s="7" t="s">
        <v>358</v>
      </c>
      <c r="D367" s="7" t="str">
        <f>"郑春花"</f>
        <v>郑春花</v>
      </c>
      <c r="E367" s="7" t="str">
        <f t="shared" si="34"/>
        <v>女</v>
      </c>
      <c r="F367" s="7" t="s">
        <v>378</v>
      </c>
      <c r="G367" s="7" t="s">
        <v>12</v>
      </c>
      <c r="H367" s="7"/>
    </row>
    <row r="368" s="3" customFormat="1" ht="14.25" customHeight="1" spans="1:8">
      <c r="A368" s="7">
        <v>365</v>
      </c>
      <c r="B368" s="7" t="str">
        <f>"114020200330201255159245"</f>
        <v>114020200330201255159245</v>
      </c>
      <c r="C368" s="7" t="s">
        <v>358</v>
      </c>
      <c r="D368" s="7" t="str">
        <f>"王堂栏"</f>
        <v>王堂栏</v>
      </c>
      <c r="E368" s="7" t="str">
        <f t="shared" si="34"/>
        <v>女</v>
      </c>
      <c r="F368" s="7" t="s">
        <v>379</v>
      </c>
      <c r="G368" s="7" t="s">
        <v>12</v>
      </c>
      <c r="H368" s="7"/>
    </row>
    <row r="369" s="3" customFormat="1" ht="14.25" customHeight="1" spans="1:8">
      <c r="A369" s="7">
        <v>366</v>
      </c>
      <c r="B369" s="7" t="str">
        <f>"114020200331232646159726"</f>
        <v>114020200331232646159726</v>
      </c>
      <c r="C369" s="7" t="s">
        <v>358</v>
      </c>
      <c r="D369" s="7" t="str">
        <f>"陈太婷"</f>
        <v>陈太婷</v>
      </c>
      <c r="E369" s="7" t="str">
        <f t="shared" si="34"/>
        <v>女</v>
      </c>
      <c r="F369" s="7" t="s">
        <v>380</v>
      </c>
      <c r="G369" s="7" t="s">
        <v>12</v>
      </c>
      <c r="H369" s="7"/>
    </row>
    <row r="370" s="3" customFormat="1" ht="14.25" customHeight="1" spans="1:8">
      <c r="A370" s="7">
        <v>367</v>
      </c>
      <c r="B370" s="7" t="str">
        <f>"114020200401001152159731"</f>
        <v>114020200401001152159731</v>
      </c>
      <c r="C370" s="7" t="s">
        <v>358</v>
      </c>
      <c r="D370" s="7" t="str">
        <f>"陈婷"</f>
        <v>陈婷</v>
      </c>
      <c r="E370" s="7" t="str">
        <f t="shared" si="34"/>
        <v>女</v>
      </c>
      <c r="F370" s="7" t="s">
        <v>381</v>
      </c>
      <c r="G370" s="7" t="s">
        <v>12</v>
      </c>
      <c r="H370" s="7"/>
    </row>
    <row r="371" s="3" customFormat="1" ht="14.25" customHeight="1" spans="1:8">
      <c r="A371" s="7">
        <v>368</v>
      </c>
      <c r="B371" s="7" t="str">
        <f>"114020200403143821160469"</f>
        <v>114020200403143821160469</v>
      </c>
      <c r="C371" s="7" t="s">
        <v>358</v>
      </c>
      <c r="D371" s="7" t="str">
        <f>"程娟"</f>
        <v>程娟</v>
      </c>
      <c r="E371" s="7" t="str">
        <f t="shared" si="34"/>
        <v>女</v>
      </c>
      <c r="F371" s="7" t="s">
        <v>382</v>
      </c>
      <c r="G371" s="7" t="s">
        <v>12</v>
      </c>
      <c r="H371" s="7"/>
    </row>
    <row r="372" s="3" customFormat="1" ht="14.25" customHeight="1" spans="1:8">
      <c r="A372" s="7">
        <v>369</v>
      </c>
      <c r="B372" s="7" t="str">
        <f>"114020200403220530160557"</f>
        <v>114020200403220530160557</v>
      </c>
      <c r="C372" s="7" t="s">
        <v>358</v>
      </c>
      <c r="D372" s="7" t="str">
        <f>"王小美"</f>
        <v>王小美</v>
      </c>
      <c r="E372" s="7" t="str">
        <f t="shared" si="34"/>
        <v>女</v>
      </c>
      <c r="F372" s="7" t="s">
        <v>383</v>
      </c>
      <c r="G372" s="7" t="s">
        <v>12</v>
      </c>
      <c r="H372" s="7"/>
    </row>
    <row r="373" s="3" customFormat="1" ht="14.25" customHeight="1" spans="1:8">
      <c r="A373" s="7">
        <v>370</v>
      </c>
      <c r="B373" s="7" t="str">
        <f>"114020200403221228160560"</f>
        <v>114020200403221228160560</v>
      </c>
      <c r="C373" s="7" t="s">
        <v>358</v>
      </c>
      <c r="D373" s="7" t="str">
        <f>"王雅婷"</f>
        <v>王雅婷</v>
      </c>
      <c r="E373" s="7" t="str">
        <f t="shared" si="34"/>
        <v>女</v>
      </c>
      <c r="F373" s="7" t="s">
        <v>384</v>
      </c>
      <c r="G373" s="7" t="s">
        <v>12</v>
      </c>
      <c r="H373" s="7"/>
    </row>
    <row r="374" s="3" customFormat="1" ht="14.25" customHeight="1" spans="1:8">
      <c r="A374" s="7">
        <v>371</v>
      </c>
      <c r="B374" s="7" t="str">
        <f>"114020200405164852160884"</f>
        <v>114020200405164852160884</v>
      </c>
      <c r="C374" s="7" t="s">
        <v>358</v>
      </c>
      <c r="D374" s="7" t="str">
        <f>"周妹果"</f>
        <v>周妹果</v>
      </c>
      <c r="E374" s="7" t="str">
        <f t="shared" si="34"/>
        <v>女</v>
      </c>
      <c r="F374" s="7" t="s">
        <v>385</v>
      </c>
      <c r="G374" s="7" t="s">
        <v>12</v>
      </c>
      <c r="H374" s="7"/>
    </row>
    <row r="375" s="3" customFormat="1" ht="14.25" customHeight="1" spans="1:8">
      <c r="A375" s="7">
        <v>372</v>
      </c>
      <c r="B375" s="7" t="str">
        <f>"114020200406095932161093"</f>
        <v>114020200406095932161093</v>
      </c>
      <c r="C375" s="7" t="s">
        <v>358</v>
      </c>
      <c r="D375" s="7" t="str">
        <f>"符翠向"</f>
        <v>符翠向</v>
      </c>
      <c r="E375" s="7" t="str">
        <f t="shared" si="34"/>
        <v>女</v>
      </c>
      <c r="F375" s="7" t="s">
        <v>386</v>
      </c>
      <c r="G375" s="7" t="s">
        <v>12</v>
      </c>
      <c r="H375" s="7"/>
    </row>
    <row r="376" s="3" customFormat="1" ht="14.25" customHeight="1" spans="1:8">
      <c r="A376" s="7">
        <v>373</v>
      </c>
      <c r="B376" s="7" t="str">
        <f>"114020200328090248157138"</f>
        <v>114020200328090248157138</v>
      </c>
      <c r="C376" s="7" t="s">
        <v>387</v>
      </c>
      <c r="D376" s="7" t="str">
        <f>"林子靖"</f>
        <v>林子靖</v>
      </c>
      <c r="E376" s="7" t="str">
        <f t="shared" si="34"/>
        <v>女</v>
      </c>
      <c r="F376" s="7" t="s">
        <v>388</v>
      </c>
      <c r="G376" s="7" t="s">
        <v>12</v>
      </c>
      <c r="H376" s="7"/>
    </row>
    <row r="377" s="3" customFormat="1" ht="14.25" customHeight="1" spans="1:8">
      <c r="A377" s="7">
        <v>374</v>
      </c>
      <c r="B377" s="7" t="str">
        <f>"114020200328120255157539"</f>
        <v>114020200328120255157539</v>
      </c>
      <c r="C377" s="7" t="s">
        <v>387</v>
      </c>
      <c r="D377" s="7" t="str">
        <f>"黄芝妍"</f>
        <v>黄芝妍</v>
      </c>
      <c r="E377" s="7" t="str">
        <f t="shared" si="34"/>
        <v>女</v>
      </c>
      <c r="F377" s="7" t="s">
        <v>389</v>
      </c>
      <c r="G377" s="7" t="s">
        <v>12</v>
      </c>
      <c r="H377" s="7"/>
    </row>
    <row r="378" s="3" customFormat="1" ht="14.25" customHeight="1" spans="1:8">
      <c r="A378" s="7">
        <v>375</v>
      </c>
      <c r="B378" s="7" t="str">
        <f>"114020200328135250157711"</f>
        <v>114020200328135250157711</v>
      </c>
      <c r="C378" s="7" t="s">
        <v>387</v>
      </c>
      <c r="D378" s="7" t="str">
        <f>"文隋江"</f>
        <v>文隋江</v>
      </c>
      <c r="E378" s="7" t="str">
        <f t="shared" si="34"/>
        <v>女</v>
      </c>
      <c r="F378" s="7" t="s">
        <v>390</v>
      </c>
      <c r="G378" s="7" t="s">
        <v>12</v>
      </c>
      <c r="H378" s="7"/>
    </row>
    <row r="379" s="3" customFormat="1" ht="14.25" customHeight="1" spans="1:8">
      <c r="A379" s="7">
        <v>376</v>
      </c>
      <c r="B379" s="7" t="str">
        <f>"114020200328150527157775"</f>
        <v>114020200328150527157775</v>
      </c>
      <c r="C379" s="7" t="s">
        <v>387</v>
      </c>
      <c r="D379" s="7" t="str">
        <f>"尹世海"</f>
        <v>尹世海</v>
      </c>
      <c r="E379" s="7" t="str">
        <f t="shared" ref="E379:E385" si="35">"男"</f>
        <v>男</v>
      </c>
      <c r="F379" s="7" t="s">
        <v>391</v>
      </c>
      <c r="G379" s="7" t="s">
        <v>12</v>
      </c>
      <c r="H379" s="7"/>
    </row>
    <row r="380" s="3" customFormat="1" ht="14.25" customHeight="1" spans="1:8">
      <c r="A380" s="7">
        <v>377</v>
      </c>
      <c r="B380" s="7" t="str">
        <f>"114020200328162707157859"</f>
        <v>114020200328162707157859</v>
      </c>
      <c r="C380" s="7" t="s">
        <v>387</v>
      </c>
      <c r="D380" s="7" t="str">
        <f>"任丽颖"</f>
        <v>任丽颖</v>
      </c>
      <c r="E380" s="7" t="str">
        <f t="shared" ref="E380:E383" si="36">"女"</f>
        <v>女</v>
      </c>
      <c r="F380" s="7" t="s">
        <v>392</v>
      </c>
      <c r="G380" s="7" t="s">
        <v>12</v>
      </c>
      <c r="H380" s="7"/>
    </row>
    <row r="381" s="3" customFormat="1" ht="14.25" customHeight="1" spans="1:8">
      <c r="A381" s="7">
        <v>378</v>
      </c>
      <c r="B381" s="7" t="str">
        <f>"114020200328174342157929"</f>
        <v>114020200328174342157929</v>
      </c>
      <c r="C381" s="7" t="s">
        <v>387</v>
      </c>
      <c r="D381" s="7" t="str">
        <f>"郭传艳"</f>
        <v>郭传艳</v>
      </c>
      <c r="E381" s="7" t="str">
        <f t="shared" si="36"/>
        <v>女</v>
      </c>
      <c r="F381" s="7" t="s">
        <v>393</v>
      </c>
      <c r="G381" s="7" t="s">
        <v>12</v>
      </c>
      <c r="H381" s="7"/>
    </row>
    <row r="382" s="3" customFormat="1" ht="14.25" customHeight="1" spans="1:8">
      <c r="A382" s="7">
        <v>379</v>
      </c>
      <c r="B382" s="7" t="str">
        <f>"114020200328185705157984"</f>
        <v>114020200328185705157984</v>
      </c>
      <c r="C382" s="7" t="s">
        <v>387</v>
      </c>
      <c r="D382" s="7" t="str">
        <f>"张展"</f>
        <v>张展</v>
      </c>
      <c r="E382" s="7" t="str">
        <f t="shared" si="35"/>
        <v>男</v>
      </c>
      <c r="F382" s="7" t="s">
        <v>394</v>
      </c>
      <c r="G382" s="7" t="s">
        <v>12</v>
      </c>
      <c r="H382" s="7"/>
    </row>
    <row r="383" s="3" customFormat="1" ht="14.25" customHeight="1" spans="1:8">
      <c r="A383" s="7">
        <v>380</v>
      </c>
      <c r="B383" s="7" t="str">
        <f>"114020200328210037158069"</f>
        <v>114020200328210037158069</v>
      </c>
      <c r="C383" s="7" t="s">
        <v>387</v>
      </c>
      <c r="D383" s="7" t="str">
        <f>"王娜"</f>
        <v>王娜</v>
      </c>
      <c r="E383" s="7" t="str">
        <f t="shared" si="36"/>
        <v>女</v>
      </c>
      <c r="F383" s="7" t="s">
        <v>395</v>
      </c>
      <c r="G383" s="7" t="s">
        <v>12</v>
      </c>
      <c r="H383" s="7"/>
    </row>
    <row r="384" s="3" customFormat="1" ht="14.25" customHeight="1" spans="1:8">
      <c r="A384" s="7">
        <v>381</v>
      </c>
      <c r="B384" s="7" t="str">
        <f>"114020200328213534158099"</f>
        <v>114020200328213534158099</v>
      </c>
      <c r="C384" s="7" t="s">
        <v>387</v>
      </c>
      <c r="D384" s="7" t="str">
        <f>"周麒"</f>
        <v>周麒</v>
      </c>
      <c r="E384" s="7" t="str">
        <f t="shared" si="35"/>
        <v>男</v>
      </c>
      <c r="F384" s="7" t="s">
        <v>396</v>
      </c>
      <c r="G384" s="7" t="s">
        <v>12</v>
      </c>
      <c r="H384" s="7"/>
    </row>
    <row r="385" s="3" customFormat="1" ht="14.25" customHeight="1" spans="1:8">
      <c r="A385" s="7">
        <v>382</v>
      </c>
      <c r="B385" s="7" t="str">
        <f>"114020200328222927158134"</f>
        <v>114020200328222927158134</v>
      </c>
      <c r="C385" s="7" t="s">
        <v>387</v>
      </c>
      <c r="D385" s="7" t="str">
        <f>"邢玉华"</f>
        <v>邢玉华</v>
      </c>
      <c r="E385" s="7" t="str">
        <f t="shared" si="35"/>
        <v>男</v>
      </c>
      <c r="F385" s="7" t="s">
        <v>397</v>
      </c>
      <c r="G385" s="7" t="s">
        <v>12</v>
      </c>
      <c r="H385" s="7"/>
    </row>
    <row r="386" s="3" customFormat="1" ht="14.25" customHeight="1" spans="1:8">
      <c r="A386" s="7">
        <v>383</v>
      </c>
      <c r="B386" s="7" t="str">
        <f>"114020200328235210158172"</f>
        <v>114020200328235210158172</v>
      </c>
      <c r="C386" s="7" t="s">
        <v>387</v>
      </c>
      <c r="D386" s="7" t="str">
        <f>"梁为丽"</f>
        <v>梁为丽</v>
      </c>
      <c r="E386" s="7" t="str">
        <f t="shared" ref="E386:E388" si="37">"女"</f>
        <v>女</v>
      </c>
      <c r="F386" s="7" t="s">
        <v>398</v>
      </c>
      <c r="G386" s="7" t="s">
        <v>12</v>
      </c>
      <c r="H386" s="7"/>
    </row>
    <row r="387" s="3" customFormat="1" ht="14.25" customHeight="1" spans="1:8">
      <c r="A387" s="7">
        <v>384</v>
      </c>
      <c r="B387" s="7" t="str">
        <f>"114020200329093704158234"</f>
        <v>114020200329093704158234</v>
      </c>
      <c r="C387" s="7" t="s">
        <v>387</v>
      </c>
      <c r="D387" s="7" t="str">
        <f>"吴舒翔"</f>
        <v>吴舒翔</v>
      </c>
      <c r="E387" s="7" t="str">
        <f t="shared" si="37"/>
        <v>女</v>
      </c>
      <c r="F387" s="7" t="s">
        <v>399</v>
      </c>
      <c r="G387" s="7" t="s">
        <v>12</v>
      </c>
      <c r="H387" s="7"/>
    </row>
    <row r="388" s="3" customFormat="1" ht="14.25" customHeight="1" spans="1:8">
      <c r="A388" s="7">
        <v>385</v>
      </c>
      <c r="B388" s="7" t="str">
        <f>"114020200329231258158730"</f>
        <v>114020200329231258158730</v>
      </c>
      <c r="C388" s="7" t="s">
        <v>387</v>
      </c>
      <c r="D388" s="7" t="str">
        <f>"高家凤"</f>
        <v>高家凤</v>
      </c>
      <c r="E388" s="7" t="str">
        <f t="shared" si="37"/>
        <v>女</v>
      </c>
      <c r="F388" s="7" t="s">
        <v>400</v>
      </c>
      <c r="G388" s="7" t="s">
        <v>12</v>
      </c>
      <c r="H388" s="7"/>
    </row>
    <row r="389" s="3" customFormat="1" ht="14.25" customHeight="1" spans="1:8">
      <c r="A389" s="7">
        <v>386</v>
      </c>
      <c r="B389" s="7" t="str">
        <f>"114020200330013423158752"</f>
        <v>114020200330013423158752</v>
      </c>
      <c r="C389" s="7" t="s">
        <v>387</v>
      </c>
      <c r="D389" s="7" t="str">
        <f>"符苏克"</f>
        <v>符苏克</v>
      </c>
      <c r="E389" s="7" t="str">
        <f>"男"</f>
        <v>男</v>
      </c>
      <c r="F389" s="7" t="s">
        <v>401</v>
      </c>
      <c r="G389" s="7" t="s">
        <v>12</v>
      </c>
      <c r="H389" s="7"/>
    </row>
    <row r="390" s="3" customFormat="1" ht="14.25" customHeight="1" spans="1:8">
      <c r="A390" s="7">
        <v>387</v>
      </c>
      <c r="B390" s="7" t="str">
        <f>"114020200330132237159010"</f>
        <v>114020200330132237159010</v>
      </c>
      <c r="C390" s="7" t="s">
        <v>387</v>
      </c>
      <c r="D390" s="7" t="str">
        <f>"黄柳"</f>
        <v>黄柳</v>
      </c>
      <c r="E390" s="7" t="str">
        <f t="shared" ref="E390:E398" si="38">"女"</f>
        <v>女</v>
      </c>
      <c r="F390" s="7" t="s">
        <v>402</v>
      </c>
      <c r="G390" s="7" t="s">
        <v>12</v>
      </c>
      <c r="H390" s="7"/>
    </row>
    <row r="391" s="3" customFormat="1" ht="14.25" customHeight="1" spans="1:8">
      <c r="A391" s="7">
        <v>388</v>
      </c>
      <c r="B391" s="7" t="str">
        <f>"114020200330135735159030"</f>
        <v>114020200330135735159030</v>
      </c>
      <c r="C391" s="7" t="s">
        <v>387</v>
      </c>
      <c r="D391" s="7" t="str">
        <f>"陈梅菊"</f>
        <v>陈梅菊</v>
      </c>
      <c r="E391" s="7" t="str">
        <f t="shared" si="38"/>
        <v>女</v>
      </c>
      <c r="F391" s="7" t="s">
        <v>403</v>
      </c>
      <c r="G391" s="7" t="s">
        <v>12</v>
      </c>
      <c r="H391" s="7"/>
    </row>
    <row r="392" s="3" customFormat="1" ht="14.25" customHeight="1" spans="1:8">
      <c r="A392" s="7">
        <v>389</v>
      </c>
      <c r="B392" s="7" t="str">
        <f>"114020200330153001159084"</f>
        <v>114020200330153001159084</v>
      </c>
      <c r="C392" s="7" t="s">
        <v>387</v>
      </c>
      <c r="D392" s="7" t="str">
        <f>"邢腾巧"</f>
        <v>邢腾巧</v>
      </c>
      <c r="E392" s="7" t="str">
        <f t="shared" si="38"/>
        <v>女</v>
      </c>
      <c r="F392" s="7" t="s">
        <v>404</v>
      </c>
      <c r="G392" s="7" t="s">
        <v>12</v>
      </c>
      <c r="H392" s="7"/>
    </row>
    <row r="393" s="3" customFormat="1" ht="14.25" customHeight="1" spans="1:8">
      <c r="A393" s="7">
        <v>390</v>
      </c>
      <c r="B393" s="7" t="str">
        <f>"114020200330195516159236"</f>
        <v>114020200330195516159236</v>
      </c>
      <c r="C393" s="7" t="s">
        <v>387</v>
      </c>
      <c r="D393" s="7" t="str">
        <f>"陈建爱"</f>
        <v>陈建爱</v>
      </c>
      <c r="E393" s="7" t="str">
        <f t="shared" si="38"/>
        <v>女</v>
      </c>
      <c r="F393" s="7" t="s">
        <v>405</v>
      </c>
      <c r="G393" s="7" t="s">
        <v>12</v>
      </c>
      <c r="H393" s="7"/>
    </row>
    <row r="394" s="3" customFormat="1" ht="14.25" customHeight="1" spans="1:8">
      <c r="A394" s="7">
        <v>391</v>
      </c>
      <c r="B394" s="7" t="str">
        <f>"114020200330200136159240"</f>
        <v>114020200330200136159240</v>
      </c>
      <c r="C394" s="7" t="s">
        <v>387</v>
      </c>
      <c r="D394" s="7" t="str">
        <f>"黄雅莉"</f>
        <v>黄雅莉</v>
      </c>
      <c r="E394" s="7" t="str">
        <f t="shared" si="38"/>
        <v>女</v>
      </c>
      <c r="F394" s="7" t="s">
        <v>406</v>
      </c>
      <c r="G394" s="7" t="s">
        <v>12</v>
      </c>
      <c r="H394" s="7"/>
    </row>
    <row r="395" s="3" customFormat="1" ht="14.25" customHeight="1" spans="1:8">
      <c r="A395" s="7">
        <v>392</v>
      </c>
      <c r="B395" s="7" t="str">
        <f>"114020200331212917159689"</f>
        <v>114020200331212917159689</v>
      </c>
      <c r="C395" s="7" t="s">
        <v>387</v>
      </c>
      <c r="D395" s="7" t="str">
        <f>"王慧玲"</f>
        <v>王慧玲</v>
      </c>
      <c r="E395" s="7" t="str">
        <f t="shared" si="38"/>
        <v>女</v>
      </c>
      <c r="F395" s="7" t="s">
        <v>407</v>
      </c>
      <c r="G395" s="7" t="s">
        <v>12</v>
      </c>
      <c r="H395" s="7"/>
    </row>
    <row r="396" s="3" customFormat="1" ht="14.25" customHeight="1" spans="1:8">
      <c r="A396" s="7">
        <v>393</v>
      </c>
      <c r="B396" s="7" t="str">
        <f>"114020200401105257159792"</f>
        <v>114020200401105257159792</v>
      </c>
      <c r="C396" s="7" t="s">
        <v>387</v>
      </c>
      <c r="D396" s="7" t="str">
        <f>"周明崖"</f>
        <v>周明崖</v>
      </c>
      <c r="E396" s="7" t="str">
        <f t="shared" si="38"/>
        <v>女</v>
      </c>
      <c r="F396" s="7" t="s">
        <v>408</v>
      </c>
      <c r="G396" s="7" t="s">
        <v>12</v>
      </c>
      <c r="H396" s="7"/>
    </row>
    <row r="397" s="3" customFormat="1" ht="14.25" customHeight="1" spans="1:8">
      <c r="A397" s="7">
        <v>394</v>
      </c>
      <c r="B397" s="7" t="str">
        <f>"114020200402115329160152"</f>
        <v>114020200402115329160152</v>
      </c>
      <c r="C397" s="7" t="s">
        <v>387</v>
      </c>
      <c r="D397" s="7" t="str">
        <f>"卢千穗"</f>
        <v>卢千穗</v>
      </c>
      <c r="E397" s="7" t="str">
        <f t="shared" si="38"/>
        <v>女</v>
      </c>
      <c r="F397" s="7" t="s">
        <v>409</v>
      </c>
      <c r="G397" s="7" t="s">
        <v>12</v>
      </c>
      <c r="H397" s="7"/>
    </row>
    <row r="398" s="3" customFormat="1" ht="14.25" customHeight="1" spans="1:8">
      <c r="A398" s="7">
        <v>395</v>
      </c>
      <c r="B398" s="7" t="str">
        <f>"114020200402135619160183"</f>
        <v>114020200402135619160183</v>
      </c>
      <c r="C398" s="7" t="s">
        <v>387</v>
      </c>
      <c r="D398" s="7" t="str">
        <f>"王春香"</f>
        <v>王春香</v>
      </c>
      <c r="E398" s="7" t="str">
        <f t="shared" si="38"/>
        <v>女</v>
      </c>
      <c r="F398" s="7" t="s">
        <v>410</v>
      </c>
      <c r="G398" s="7" t="s">
        <v>12</v>
      </c>
      <c r="H398" s="7"/>
    </row>
    <row r="399" s="3" customFormat="1" ht="14.25" customHeight="1" spans="1:8">
      <c r="A399" s="7">
        <v>396</v>
      </c>
      <c r="B399" s="7" t="str">
        <f>"114020200402230949160342"</f>
        <v>114020200402230949160342</v>
      </c>
      <c r="C399" s="7" t="s">
        <v>387</v>
      </c>
      <c r="D399" s="7" t="str">
        <f>"吴文道"</f>
        <v>吴文道</v>
      </c>
      <c r="E399" s="7" t="str">
        <f>"男"</f>
        <v>男</v>
      </c>
      <c r="F399" s="7" t="s">
        <v>411</v>
      </c>
      <c r="G399" s="7" t="s">
        <v>12</v>
      </c>
      <c r="H399" s="7"/>
    </row>
    <row r="400" s="3" customFormat="1" ht="14.25" customHeight="1" spans="1:8">
      <c r="A400" s="7">
        <v>397</v>
      </c>
      <c r="B400" s="7" t="str">
        <f>"114020200403134710160458"</f>
        <v>114020200403134710160458</v>
      </c>
      <c r="C400" s="7" t="s">
        <v>387</v>
      </c>
      <c r="D400" s="7" t="str">
        <f>"吴芳梅"</f>
        <v>吴芳梅</v>
      </c>
      <c r="E400" s="7" t="str">
        <f t="shared" ref="E400:E408" si="39">"女"</f>
        <v>女</v>
      </c>
      <c r="F400" s="7" t="s">
        <v>412</v>
      </c>
      <c r="G400" s="7" t="s">
        <v>12</v>
      </c>
      <c r="H400" s="7"/>
    </row>
    <row r="401" s="3" customFormat="1" ht="14.25" customHeight="1" spans="1:8">
      <c r="A401" s="7">
        <v>398</v>
      </c>
      <c r="B401" s="7" t="str">
        <f>"114020200404213938160673"</f>
        <v>114020200404213938160673</v>
      </c>
      <c r="C401" s="7" t="s">
        <v>387</v>
      </c>
      <c r="D401" s="7" t="str">
        <f>"符周娜"</f>
        <v>符周娜</v>
      </c>
      <c r="E401" s="7" t="str">
        <f t="shared" si="39"/>
        <v>女</v>
      </c>
      <c r="F401" s="7" t="s">
        <v>413</v>
      </c>
      <c r="G401" s="7" t="s">
        <v>12</v>
      </c>
      <c r="H401" s="7"/>
    </row>
    <row r="402" s="3" customFormat="1" ht="14.25" customHeight="1" spans="1:8">
      <c r="A402" s="7">
        <v>399</v>
      </c>
      <c r="B402" s="7" t="str">
        <f>"114020200406103107161110"</f>
        <v>114020200406103107161110</v>
      </c>
      <c r="C402" s="7" t="s">
        <v>387</v>
      </c>
      <c r="D402" s="7" t="str">
        <f>"许华平"</f>
        <v>许华平</v>
      </c>
      <c r="E402" s="7" t="str">
        <f t="shared" si="39"/>
        <v>女</v>
      </c>
      <c r="F402" s="7" t="s">
        <v>414</v>
      </c>
      <c r="G402" s="7" t="s">
        <v>12</v>
      </c>
      <c r="H402" s="7"/>
    </row>
    <row r="403" s="3" customFormat="1" ht="14.25" customHeight="1" spans="1:8">
      <c r="A403" s="7">
        <v>400</v>
      </c>
      <c r="B403" s="7" t="str">
        <f>"114020200328102547157344"</f>
        <v>114020200328102547157344</v>
      </c>
      <c r="C403" s="7" t="s">
        <v>415</v>
      </c>
      <c r="D403" s="7" t="str">
        <f>"苏青"</f>
        <v>苏青</v>
      </c>
      <c r="E403" s="7" t="str">
        <f t="shared" si="39"/>
        <v>女</v>
      </c>
      <c r="F403" s="7" t="s">
        <v>416</v>
      </c>
      <c r="G403" s="7" t="s">
        <v>12</v>
      </c>
      <c r="H403" s="7"/>
    </row>
    <row r="404" s="3" customFormat="1" ht="14.25" customHeight="1" spans="1:8">
      <c r="A404" s="7">
        <v>401</v>
      </c>
      <c r="B404" s="7" t="str">
        <f>"114020200328171002157900"</f>
        <v>114020200328171002157900</v>
      </c>
      <c r="C404" s="7" t="s">
        <v>415</v>
      </c>
      <c r="D404" s="7" t="str">
        <f>"蒋婷婷"</f>
        <v>蒋婷婷</v>
      </c>
      <c r="E404" s="7" t="str">
        <f t="shared" si="39"/>
        <v>女</v>
      </c>
      <c r="F404" s="7" t="s">
        <v>417</v>
      </c>
      <c r="G404" s="7" t="s">
        <v>12</v>
      </c>
      <c r="H404" s="7"/>
    </row>
    <row r="405" s="3" customFormat="1" ht="14.25" customHeight="1" spans="1:8">
      <c r="A405" s="7">
        <v>402</v>
      </c>
      <c r="B405" s="7" t="str">
        <f>"114020200330072120158756"</f>
        <v>114020200330072120158756</v>
      </c>
      <c r="C405" s="7" t="s">
        <v>415</v>
      </c>
      <c r="D405" s="7" t="str">
        <f>"王妙仙"</f>
        <v>王妙仙</v>
      </c>
      <c r="E405" s="7" t="str">
        <f t="shared" si="39"/>
        <v>女</v>
      </c>
      <c r="F405" s="7" t="s">
        <v>418</v>
      </c>
      <c r="G405" s="7" t="s">
        <v>12</v>
      </c>
      <c r="H405" s="7"/>
    </row>
    <row r="406" s="3" customFormat="1" ht="14.25" customHeight="1" spans="1:8">
      <c r="A406" s="7">
        <v>403</v>
      </c>
      <c r="B406" s="7" t="str">
        <f>"114020200330101638158864"</f>
        <v>114020200330101638158864</v>
      </c>
      <c r="C406" s="7" t="s">
        <v>415</v>
      </c>
      <c r="D406" s="7" t="str">
        <f>"卢雅欣"</f>
        <v>卢雅欣</v>
      </c>
      <c r="E406" s="7" t="str">
        <f t="shared" si="39"/>
        <v>女</v>
      </c>
      <c r="F406" s="7" t="s">
        <v>419</v>
      </c>
      <c r="G406" s="7" t="s">
        <v>12</v>
      </c>
      <c r="H406" s="7"/>
    </row>
    <row r="407" s="3" customFormat="1" ht="14.25" customHeight="1" spans="1:8">
      <c r="A407" s="7">
        <v>404</v>
      </c>
      <c r="B407" s="7" t="str">
        <f>"114020200330114125158946"</f>
        <v>114020200330114125158946</v>
      </c>
      <c r="C407" s="7" t="s">
        <v>415</v>
      </c>
      <c r="D407" s="7" t="str">
        <f>"林可欣"</f>
        <v>林可欣</v>
      </c>
      <c r="E407" s="7" t="str">
        <f t="shared" si="39"/>
        <v>女</v>
      </c>
      <c r="F407" s="7" t="s">
        <v>420</v>
      </c>
      <c r="G407" s="7" t="s">
        <v>12</v>
      </c>
      <c r="H407" s="7"/>
    </row>
    <row r="408" s="3" customFormat="1" ht="14.25" customHeight="1" spans="1:8">
      <c r="A408" s="7">
        <v>405</v>
      </c>
      <c r="B408" s="7" t="str">
        <f>"114020200330150610159070"</f>
        <v>114020200330150610159070</v>
      </c>
      <c r="C408" s="7" t="s">
        <v>415</v>
      </c>
      <c r="D408" s="7" t="str">
        <f>"苏小凤"</f>
        <v>苏小凤</v>
      </c>
      <c r="E408" s="7" t="str">
        <f t="shared" si="39"/>
        <v>女</v>
      </c>
      <c r="F408" s="7" t="s">
        <v>421</v>
      </c>
      <c r="G408" s="7" t="s">
        <v>12</v>
      </c>
      <c r="H408" s="7"/>
    </row>
    <row r="409" s="3" customFormat="1" ht="14.25" customHeight="1" spans="1:8">
      <c r="A409" s="7">
        <v>406</v>
      </c>
      <c r="B409" s="7" t="str">
        <f>"114020200330162317159124"</f>
        <v>114020200330162317159124</v>
      </c>
      <c r="C409" s="7" t="s">
        <v>415</v>
      </c>
      <c r="D409" s="7" t="str">
        <f>"姜垂贤"</f>
        <v>姜垂贤</v>
      </c>
      <c r="E409" s="7" t="str">
        <f>"男"</f>
        <v>男</v>
      </c>
      <c r="F409" s="7" t="s">
        <v>422</v>
      </c>
      <c r="G409" s="7" t="s">
        <v>12</v>
      </c>
      <c r="H409" s="7"/>
    </row>
    <row r="410" s="3" customFormat="1" ht="14.25" customHeight="1" spans="1:8">
      <c r="A410" s="7">
        <v>407</v>
      </c>
      <c r="B410" s="7" t="str">
        <f>"114020200331121247159464"</f>
        <v>114020200331121247159464</v>
      </c>
      <c r="C410" s="7" t="s">
        <v>415</v>
      </c>
      <c r="D410" s="7" t="str">
        <f>"王桂兰"</f>
        <v>王桂兰</v>
      </c>
      <c r="E410" s="7" t="str">
        <f t="shared" ref="E410:E424" si="40">"女"</f>
        <v>女</v>
      </c>
      <c r="F410" s="7" t="s">
        <v>423</v>
      </c>
      <c r="G410" s="7" t="s">
        <v>12</v>
      </c>
      <c r="H410" s="7"/>
    </row>
    <row r="411" s="3" customFormat="1" ht="14.25" customHeight="1" spans="1:8">
      <c r="A411" s="7">
        <v>408</v>
      </c>
      <c r="B411" s="7" t="str">
        <f>"114020200328090616157149"</f>
        <v>114020200328090616157149</v>
      </c>
      <c r="C411" s="7" t="s">
        <v>424</v>
      </c>
      <c r="D411" s="7" t="str">
        <f>"文吉设"</f>
        <v>文吉设</v>
      </c>
      <c r="E411" s="7" t="str">
        <f t="shared" si="40"/>
        <v>女</v>
      </c>
      <c r="F411" s="7" t="s">
        <v>425</v>
      </c>
      <c r="G411" s="7" t="s">
        <v>12</v>
      </c>
      <c r="H411" s="7"/>
    </row>
    <row r="412" s="3" customFormat="1" ht="14.25" customHeight="1" spans="1:8">
      <c r="A412" s="7">
        <v>409</v>
      </c>
      <c r="B412" s="7" t="str">
        <f>"114020200328091559157171"</f>
        <v>114020200328091559157171</v>
      </c>
      <c r="C412" s="7" t="s">
        <v>424</v>
      </c>
      <c r="D412" s="7" t="str">
        <f>"蔡兴静"</f>
        <v>蔡兴静</v>
      </c>
      <c r="E412" s="7" t="str">
        <f t="shared" si="40"/>
        <v>女</v>
      </c>
      <c r="F412" s="7" t="s">
        <v>426</v>
      </c>
      <c r="G412" s="7" t="s">
        <v>12</v>
      </c>
      <c r="H412" s="7"/>
    </row>
    <row r="413" s="3" customFormat="1" ht="14.25" customHeight="1" spans="1:8">
      <c r="A413" s="7">
        <v>410</v>
      </c>
      <c r="B413" s="7" t="str">
        <f>"114020200328092050157180"</f>
        <v>114020200328092050157180</v>
      </c>
      <c r="C413" s="7" t="s">
        <v>424</v>
      </c>
      <c r="D413" s="7" t="str">
        <f>"陈秋谷"</f>
        <v>陈秋谷</v>
      </c>
      <c r="E413" s="7" t="str">
        <f t="shared" si="40"/>
        <v>女</v>
      </c>
      <c r="F413" s="7" t="s">
        <v>427</v>
      </c>
      <c r="G413" s="7" t="s">
        <v>12</v>
      </c>
      <c r="H413" s="7"/>
    </row>
    <row r="414" s="3" customFormat="1" ht="14.25" customHeight="1" spans="1:8">
      <c r="A414" s="7">
        <v>411</v>
      </c>
      <c r="B414" s="7" t="str">
        <f>"114020200328093653157218"</f>
        <v>114020200328093653157218</v>
      </c>
      <c r="C414" s="7" t="s">
        <v>424</v>
      </c>
      <c r="D414" s="7" t="str">
        <f>"陈华蕊"</f>
        <v>陈华蕊</v>
      </c>
      <c r="E414" s="7" t="str">
        <f t="shared" si="40"/>
        <v>女</v>
      </c>
      <c r="F414" s="7" t="s">
        <v>428</v>
      </c>
      <c r="G414" s="7" t="s">
        <v>12</v>
      </c>
      <c r="H414" s="7"/>
    </row>
    <row r="415" s="3" customFormat="1" ht="14.25" customHeight="1" spans="1:8">
      <c r="A415" s="7">
        <v>412</v>
      </c>
      <c r="B415" s="7" t="str">
        <f>"114020200328094122157233"</f>
        <v>114020200328094122157233</v>
      </c>
      <c r="C415" s="7" t="s">
        <v>424</v>
      </c>
      <c r="D415" s="7" t="str">
        <f>"陈泰茜"</f>
        <v>陈泰茜</v>
      </c>
      <c r="E415" s="7" t="str">
        <f t="shared" si="40"/>
        <v>女</v>
      </c>
      <c r="F415" s="7" t="s">
        <v>429</v>
      </c>
      <c r="G415" s="7" t="s">
        <v>12</v>
      </c>
      <c r="H415" s="7"/>
    </row>
    <row r="416" s="3" customFormat="1" ht="14.25" customHeight="1" spans="1:8">
      <c r="A416" s="7">
        <v>413</v>
      </c>
      <c r="B416" s="7" t="str">
        <f>"114020200328094206157235"</f>
        <v>114020200328094206157235</v>
      </c>
      <c r="C416" s="7" t="s">
        <v>424</v>
      </c>
      <c r="D416" s="7" t="str">
        <f>"钟惠"</f>
        <v>钟惠</v>
      </c>
      <c r="E416" s="7" t="str">
        <f t="shared" si="40"/>
        <v>女</v>
      </c>
      <c r="F416" s="7" t="s">
        <v>430</v>
      </c>
      <c r="G416" s="7" t="s">
        <v>12</v>
      </c>
      <c r="H416" s="7"/>
    </row>
    <row r="417" s="3" customFormat="1" ht="14.25" customHeight="1" spans="1:8">
      <c r="A417" s="7">
        <v>414</v>
      </c>
      <c r="B417" s="7" t="str">
        <f>"114020200328095424157259"</f>
        <v>114020200328095424157259</v>
      </c>
      <c r="C417" s="7" t="s">
        <v>424</v>
      </c>
      <c r="D417" s="7" t="str">
        <f>"陈东霞"</f>
        <v>陈东霞</v>
      </c>
      <c r="E417" s="7" t="str">
        <f t="shared" si="40"/>
        <v>女</v>
      </c>
      <c r="F417" s="7" t="s">
        <v>431</v>
      </c>
      <c r="G417" s="7" t="s">
        <v>12</v>
      </c>
      <c r="H417" s="7"/>
    </row>
    <row r="418" s="3" customFormat="1" ht="14.25" customHeight="1" spans="1:8">
      <c r="A418" s="7">
        <v>415</v>
      </c>
      <c r="B418" s="7" t="str">
        <f>"114020200328101439157315"</f>
        <v>114020200328101439157315</v>
      </c>
      <c r="C418" s="7" t="s">
        <v>424</v>
      </c>
      <c r="D418" s="7" t="str">
        <f>"柯家妹"</f>
        <v>柯家妹</v>
      </c>
      <c r="E418" s="7" t="str">
        <f t="shared" si="40"/>
        <v>女</v>
      </c>
      <c r="F418" s="7" t="s">
        <v>432</v>
      </c>
      <c r="G418" s="7" t="s">
        <v>12</v>
      </c>
      <c r="H418" s="7"/>
    </row>
    <row r="419" s="3" customFormat="1" ht="14.25" customHeight="1" spans="1:8">
      <c r="A419" s="7">
        <v>416</v>
      </c>
      <c r="B419" s="7" t="str">
        <f>"114020200328102840157356"</f>
        <v>114020200328102840157356</v>
      </c>
      <c r="C419" s="7" t="s">
        <v>424</v>
      </c>
      <c r="D419" s="7" t="str">
        <f>"吴钟霞"</f>
        <v>吴钟霞</v>
      </c>
      <c r="E419" s="7" t="str">
        <f t="shared" si="40"/>
        <v>女</v>
      </c>
      <c r="F419" s="7" t="s">
        <v>433</v>
      </c>
      <c r="G419" s="7" t="s">
        <v>12</v>
      </c>
      <c r="H419" s="7"/>
    </row>
    <row r="420" s="3" customFormat="1" ht="14.25" customHeight="1" spans="1:8">
      <c r="A420" s="7">
        <v>417</v>
      </c>
      <c r="B420" s="7" t="str">
        <f>"114020200328104248157379"</f>
        <v>114020200328104248157379</v>
      </c>
      <c r="C420" s="7" t="s">
        <v>424</v>
      </c>
      <c r="D420" s="7" t="str">
        <f>"蔡金芝"</f>
        <v>蔡金芝</v>
      </c>
      <c r="E420" s="7" t="str">
        <f t="shared" si="40"/>
        <v>女</v>
      </c>
      <c r="F420" s="7" t="s">
        <v>434</v>
      </c>
      <c r="G420" s="7" t="s">
        <v>12</v>
      </c>
      <c r="H420" s="7"/>
    </row>
    <row r="421" s="3" customFormat="1" ht="14.25" customHeight="1" spans="1:8">
      <c r="A421" s="7">
        <v>418</v>
      </c>
      <c r="B421" s="7" t="str">
        <f>"114020200328105009157399"</f>
        <v>114020200328105009157399</v>
      </c>
      <c r="C421" s="7" t="s">
        <v>424</v>
      </c>
      <c r="D421" s="7" t="str">
        <f>"庞云引"</f>
        <v>庞云引</v>
      </c>
      <c r="E421" s="7" t="str">
        <f t="shared" si="40"/>
        <v>女</v>
      </c>
      <c r="F421" s="7" t="s">
        <v>435</v>
      </c>
      <c r="G421" s="7" t="s">
        <v>12</v>
      </c>
      <c r="H421" s="7"/>
    </row>
    <row r="422" s="3" customFormat="1" ht="14.25" customHeight="1" spans="1:8">
      <c r="A422" s="7">
        <v>419</v>
      </c>
      <c r="B422" s="7" t="str">
        <f>"114020200328110055157423"</f>
        <v>114020200328110055157423</v>
      </c>
      <c r="C422" s="7" t="s">
        <v>424</v>
      </c>
      <c r="D422" s="7" t="str">
        <f>"李小婷"</f>
        <v>李小婷</v>
      </c>
      <c r="E422" s="7" t="str">
        <f t="shared" si="40"/>
        <v>女</v>
      </c>
      <c r="F422" s="7" t="s">
        <v>99</v>
      </c>
      <c r="G422" s="7" t="s">
        <v>12</v>
      </c>
      <c r="H422" s="7"/>
    </row>
    <row r="423" s="3" customFormat="1" ht="14.25" customHeight="1" spans="1:8">
      <c r="A423" s="7">
        <v>420</v>
      </c>
      <c r="B423" s="7" t="str">
        <f>"114020200328110308157426"</f>
        <v>114020200328110308157426</v>
      </c>
      <c r="C423" s="7" t="s">
        <v>424</v>
      </c>
      <c r="D423" s="7" t="str">
        <f>"于婷"</f>
        <v>于婷</v>
      </c>
      <c r="E423" s="7" t="str">
        <f t="shared" si="40"/>
        <v>女</v>
      </c>
      <c r="F423" s="7" t="s">
        <v>436</v>
      </c>
      <c r="G423" s="7" t="s">
        <v>12</v>
      </c>
      <c r="H423" s="7"/>
    </row>
    <row r="424" s="3" customFormat="1" ht="14.25" customHeight="1" spans="1:8">
      <c r="A424" s="7">
        <v>421</v>
      </c>
      <c r="B424" s="7" t="str">
        <f>"114020200328111538157454"</f>
        <v>114020200328111538157454</v>
      </c>
      <c r="C424" s="7" t="s">
        <v>424</v>
      </c>
      <c r="D424" s="7" t="str">
        <f>"蔡亲梅"</f>
        <v>蔡亲梅</v>
      </c>
      <c r="E424" s="7" t="str">
        <f t="shared" si="40"/>
        <v>女</v>
      </c>
      <c r="F424" s="7" t="s">
        <v>437</v>
      </c>
      <c r="G424" s="7" t="s">
        <v>12</v>
      </c>
      <c r="H424" s="7"/>
    </row>
    <row r="425" s="3" customFormat="1" ht="14.25" customHeight="1" spans="1:8">
      <c r="A425" s="7">
        <v>422</v>
      </c>
      <c r="B425" s="7" t="str">
        <f>"114020200328113822157497"</f>
        <v>114020200328113822157497</v>
      </c>
      <c r="C425" s="7" t="s">
        <v>424</v>
      </c>
      <c r="D425" s="7" t="str">
        <f>"杨顺"</f>
        <v>杨顺</v>
      </c>
      <c r="E425" s="7" t="str">
        <f>"男"</f>
        <v>男</v>
      </c>
      <c r="F425" s="7" t="s">
        <v>438</v>
      </c>
      <c r="G425" s="7" t="s">
        <v>12</v>
      </c>
      <c r="H425" s="7"/>
    </row>
    <row r="426" s="3" customFormat="1" ht="14.25" customHeight="1" spans="1:8">
      <c r="A426" s="7">
        <v>423</v>
      </c>
      <c r="B426" s="7" t="str">
        <f>"114020200328113839157498"</f>
        <v>114020200328113839157498</v>
      </c>
      <c r="C426" s="7" t="s">
        <v>424</v>
      </c>
      <c r="D426" s="7" t="str">
        <f>"符青坛"</f>
        <v>符青坛</v>
      </c>
      <c r="E426" s="7" t="str">
        <f t="shared" ref="E426:E440" si="41">"女"</f>
        <v>女</v>
      </c>
      <c r="F426" s="7" t="s">
        <v>439</v>
      </c>
      <c r="G426" s="7" t="s">
        <v>12</v>
      </c>
      <c r="H426" s="7"/>
    </row>
    <row r="427" s="3" customFormat="1" ht="14.25" customHeight="1" spans="1:8">
      <c r="A427" s="7">
        <v>424</v>
      </c>
      <c r="B427" s="7" t="str">
        <f>"114020200328114712157510"</f>
        <v>114020200328114712157510</v>
      </c>
      <c r="C427" s="7" t="s">
        <v>424</v>
      </c>
      <c r="D427" s="7" t="str">
        <f>"何友桃"</f>
        <v>何友桃</v>
      </c>
      <c r="E427" s="7" t="str">
        <f t="shared" si="41"/>
        <v>女</v>
      </c>
      <c r="F427" s="7" t="s">
        <v>440</v>
      </c>
      <c r="G427" s="7" t="s">
        <v>12</v>
      </c>
      <c r="H427" s="7"/>
    </row>
    <row r="428" s="3" customFormat="1" ht="14.25" customHeight="1" spans="1:8">
      <c r="A428" s="7">
        <v>425</v>
      </c>
      <c r="B428" s="7" t="str">
        <f>"114020200328122120157575"</f>
        <v>114020200328122120157575</v>
      </c>
      <c r="C428" s="7" t="s">
        <v>424</v>
      </c>
      <c r="D428" s="7" t="str">
        <f>"王雅游"</f>
        <v>王雅游</v>
      </c>
      <c r="E428" s="7" t="str">
        <f t="shared" si="41"/>
        <v>女</v>
      </c>
      <c r="F428" s="7" t="s">
        <v>441</v>
      </c>
      <c r="G428" s="7" t="s">
        <v>12</v>
      </c>
      <c r="H428" s="7"/>
    </row>
    <row r="429" s="3" customFormat="1" ht="14.25" customHeight="1" spans="1:8">
      <c r="A429" s="7">
        <v>426</v>
      </c>
      <c r="B429" s="7" t="str">
        <f>"114020200328131902157668"</f>
        <v>114020200328131902157668</v>
      </c>
      <c r="C429" s="7" t="s">
        <v>424</v>
      </c>
      <c r="D429" s="7" t="str">
        <f>"符杏燕"</f>
        <v>符杏燕</v>
      </c>
      <c r="E429" s="7" t="str">
        <f t="shared" si="41"/>
        <v>女</v>
      </c>
      <c r="F429" s="7" t="s">
        <v>442</v>
      </c>
      <c r="G429" s="7" t="s">
        <v>12</v>
      </c>
      <c r="H429" s="7"/>
    </row>
    <row r="430" s="3" customFormat="1" ht="14.25" customHeight="1" spans="1:8">
      <c r="A430" s="7">
        <v>427</v>
      </c>
      <c r="B430" s="7" t="str">
        <f>"114020200328132817157680"</f>
        <v>114020200328132817157680</v>
      </c>
      <c r="C430" s="7" t="s">
        <v>424</v>
      </c>
      <c r="D430" s="7" t="str">
        <f>"符永银"</f>
        <v>符永银</v>
      </c>
      <c r="E430" s="7" t="str">
        <f t="shared" si="41"/>
        <v>女</v>
      </c>
      <c r="F430" s="7" t="s">
        <v>443</v>
      </c>
      <c r="G430" s="7" t="s">
        <v>12</v>
      </c>
      <c r="H430" s="7"/>
    </row>
    <row r="431" s="3" customFormat="1" ht="14.25" customHeight="1" spans="1:8">
      <c r="A431" s="7">
        <v>428</v>
      </c>
      <c r="B431" s="7" t="str">
        <f>"114020200328135923157719"</f>
        <v>114020200328135923157719</v>
      </c>
      <c r="C431" s="7" t="s">
        <v>424</v>
      </c>
      <c r="D431" s="7" t="str">
        <f>"潘国萍"</f>
        <v>潘国萍</v>
      </c>
      <c r="E431" s="7" t="str">
        <f t="shared" si="41"/>
        <v>女</v>
      </c>
      <c r="F431" s="7" t="s">
        <v>444</v>
      </c>
      <c r="G431" s="7" t="s">
        <v>12</v>
      </c>
      <c r="H431" s="7"/>
    </row>
    <row r="432" s="3" customFormat="1" ht="14.25" customHeight="1" spans="1:8">
      <c r="A432" s="7">
        <v>429</v>
      </c>
      <c r="B432" s="7" t="str">
        <f>"114020200328142606157742"</f>
        <v>114020200328142606157742</v>
      </c>
      <c r="C432" s="7" t="s">
        <v>424</v>
      </c>
      <c r="D432" s="7" t="str">
        <f>"梁燕丹"</f>
        <v>梁燕丹</v>
      </c>
      <c r="E432" s="7" t="str">
        <f t="shared" si="41"/>
        <v>女</v>
      </c>
      <c r="F432" s="7" t="s">
        <v>445</v>
      </c>
      <c r="G432" s="7" t="s">
        <v>12</v>
      </c>
      <c r="H432" s="7"/>
    </row>
    <row r="433" s="3" customFormat="1" ht="14.25" customHeight="1" spans="1:8">
      <c r="A433" s="7">
        <v>430</v>
      </c>
      <c r="B433" s="7" t="str">
        <f>"114020200328153149157802"</f>
        <v>114020200328153149157802</v>
      </c>
      <c r="C433" s="7" t="s">
        <v>424</v>
      </c>
      <c r="D433" s="7" t="str">
        <f>"陈彬彬"</f>
        <v>陈彬彬</v>
      </c>
      <c r="E433" s="7" t="str">
        <f t="shared" si="41"/>
        <v>女</v>
      </c>
      <c r="F433" s="7" t="s">
        <v>446</v>
      </c>
      <c r="G433" s="7" t="s">
        <v>12</v>
      </c>
      <c r="H433" s="7"/>
    </row>
    <row r="434" s="3" customFormat="1" ht="14.25" customHeight="1" spans="1:8">
      <c r="A434" s="7">
        <v>431</v>
      </c>
      <c r="B434" s="7" t="str">
        <f>"114020200328160520157835"</f>
        <v>114020200328160520157835</v>
      </c>
      <c r="C434" s="7" t="s">
        <v>424</v>
      </c>
      <c r="D434" s="7" t="str">
        <f>"张玉"</f>
        <v>张玉</v>
      </c>
      <c r="E434" s="7" t="str">
        <f t="shared" si="41"/>
        <v>女</v>
      </c>
      <c r="F434" s="7" t="s">
        <v>447</v>
      </c>
      <c r="G434" s="7" t="s">
        <v>12</v>
      </c>
      <c r="H434" s="7"/>
    </row>
    <row r="435" s="3" customFormat="1" ht="14.25" customHeight="1" spans="1:8">
      <c r="A435" s="7">
        <v>432</v>
      </c>
      <c r="B435" s="7" t="str">
        <f>"114020200328161310157843"</f>
        <v>114020200328161310157843</v>
      </c>
      <c r="C435" s="7" t="s">
        <v>424</v>
      </c>
      <c r="D435" s="7" t="str">
        <f>"林礼妙"</f>
        <v>林礼妙</v>
      </c>
      <c r="E435" s="7" t="str">
        <f t="shared" si="41"/>
        <v>女</v>
      </c>
      <c r="F435" s="7" t="s">
        <v>448</v>
      </c>
      <c r="G435" s="7" t="s">
        <v>12</v>
      </c>
      <c r="H435" s="7"/>
    </row>
    <row r="436" s="3" customFormat="1" ht="14.25" customHeight="1" spans="1:8">
      <c r="A436" s="7">
        <v>433</v>
      </c>
      <c r="B436" s="7" t="str">
        <f>"114020200328174502157931"</f>
        <v>114020200328174502157931</v>
      </c>
      <c r="C436" s="7" t="s">
        <v>424</v>
      </c>
      <c r="D436" s="7" t="str">
        <f>"谢宗胶"</f>
        <v>谢宗胶</v>
      </c>
      <c r="E436" s="7" t="str">
        <f t="shared" si="41"/>
        <v>女</v>
      </c>
      <c r="F436" s="7" t="s">
        <v>449</v>
      </c>
      <c r="G436" s="7" t="s">
        <v>12</v>
      </c>
      <c r="H436" s="7"/>
    </row>
    <row r="437" s="3" customFormat="1" ht="14.25" customHeight="1" spans="1:8">
      <c r="A437" s="7">
        <v>434</v>
      </c>
      <c r="B437" s="7" t="str">
        <f>"114020200328175844157941"</f>
        <v>114020200328175844157941</v>
      </c>
      <c r="C437" s="7" t="s">
        <v>424</v>
      </c>
      <c r="D437" s="7" t="str">
        <f>"文美方"</f>
        <v>文美方</v>
      </c>
      <c r="E437" s="7" t="str">
        <f t="shared" si="41"/>
        <v>女</v>
      </c>
      <c r="F437" s="7" t="s">
        <v>450</v>
      </c>
      <c r="G437" s="7" t="s">
        <v>12</v>
      </c>
      <c r="H437" s="7"/>
    </row>
    <row r="438" s="3" customFormat="1" ht="14.25" customHeight="1" spans="1:8">
      <c r="A438" s="7">
        <v>435</v>
      </c>
      <c r="B438" s="7" t="str">
        <f>"114020200328180012157942"</f>
        <v>114020200328180012157942</v>
      </c>
      <c r="C438" s="7" t="s">
        <v>424</v>
      </c>
      <c r="D438" s="7" t="str">
        <f>"王明婷"</f>
        <v>王明婷</v>
      </c>
      <c r="E438" s="7" t="str">
        <f t="shared" si="41"/>
        <v>女</v>
      </c>
      <c r="F438" s="7" t="s">
        <v>451</v>
      </c>
      <c r="G438" s="7" t="s">
        <v>12</v>
      </c>
      <c r="H438" s="7"/>
    </row>
    <row r="439" s="3" customFormat="1" ht="14.25" customHeight="1" spans="1:8">
      <c r="A439" s="7">
        <v>436</v>
      </c>
      <c r="B439" s="7" t="str">
        <f>"114020200328181013157946"</f>
        <v>114020200328181013157946</v>
      </c>
      <c r="C439" s="7" t="s">
        <v>424</v>
      </c>
      <c r="D439" s="7" t="str">
        <f>"吴小灵"</f>
        <v>吴小灵</v>
      </c>
      <c r="E439" s="7" t="str">
        <f t="shared" si="41"/>
        <v>女</v>
      </c>
      <c r="F439" s="7" t="s">
        <v>452</v>
      </c>
      <c r="G439" s="7" t="s">
        <v>12</v>
      </c>
      <c r="H439" s="7"/>
    </row>
    <row r="440" s="3" customFormat="1" ht="14.25" customHeight="1" spans="1:8">
      <c r="A440" s="7">
        <v>437</v>
      </c>
      <c r="B440" s="7" t="str">
        <f>"114020200328181418157953"</f>
        <v>114020200328181418157953</v>
      </c>
      <c r="C440" s="7" t="s">
        <v>424</v>
      </c>
      <c r="D440" s="7" t="str">
        <f>"符妹弟"</f>
        <v>符妹弟</v>
      </c>
      <c r="E440" s="7" t="str">
        <f t="shared" si="41"/>
        <v>女</v>
      </c>
      <c r="F440" s="7" t="s">
        <v>453</v>
      </c>
      <c r="G440" s="7" t="s">
        <v>12</v>
      </c>
      <c r="H440" s="7"/>
    </row>
    <row r="441" s="3" customFormat="1" ht="14.25" customHeight="1" spans="1:8">
      <c r="A441" s="7">
        <v>438</v>
      </c>
      <c r="B441" s="7" t="str">
        <f>"114020200328182401157958"</f>
        <v>114020200328182401157958</v>
      </c>
      <c r="C441" s="7" t="s">
        <v>424</v>
      </c>
      <c r="D441" s="7" t="str">
        <f>"周熠"</f>
        <v>周熠</v>
      </c>
      <c r="E441" s="7" t="str">
        <f>"男"</f>
        <v>男</v>
      </c>
      <c r="F441" s="7" t="s">
        <v>454</v>
      </c>
      <c r="G441" s="7" t="s">
        <v>12</v>
      </c>
      <c r="H441" s="7"/>
    </row>
    <row r="442" s="3" customFormat="1" ht="14.25" customHeight="1" spans="1:8">
      <c r="A442" s="7">
        <v>439</v>
      </c>
      <c r="B442" s="7" t="str">
        <f>"114020200328190311157985"</f>
        <v>114020200328190311157985</v>
      </c>
      <c r="C442" s="7" t="s">
        <v>424</v>
      </c>
      <c r="D442" s="7" t="str">
        <f>"姚美珍"</f>
        <v>姚美珍</v>
      </c>
      <c r="E442" s="7" t="str">
        <f t="shared" ref="E442:E451" si="42">"女"</f>
        <v>女</v>
      </c>
      <c r="F442" s="7" t="s">
        <v>455</v>
      </c>
      <c r="G442" s="7" t="s">
        <v>12</v>
      </c>
      <c r="H442" s="7"/>
    </row>
    <row r="443" s="3" customFormat="1" ht="14.25" customHeight="1" spans="1:8">
      <c r="A443" s="7">
        <v>440</v>
      </c>
      <c r="B443" s="7" t="str">
        <f>"114020200328191227157992"</f>
        <v>114020200328191227157992</v>
      </c>
      <c r="C443" s="7" t="s">
        <v>424</v>
      </c>
      <c r="D443" s="7" t="str">
        <f>"谢芳妍"</f>
        <v>谢芳妍</v>
      </c>
      <c r="E443" s="7" t="str">
        <f t="shared" si="42"/>
        <v>女</v>
      </c>
      <c r="F443" s="7" t="s">
        <v>456</v>
      </c>
      <c r="G443" s="7" t="s">
        <v>12</v>
      </c>
      <c r="H443" s="7"/>
    </row>
    <row r="444" s="3" customFormat="1" ht="14.25" customHeight="1" spans="1:8">
      <c r="A444" s="7">
        <v>441</v>
      </c>
      <c r="B444" s="7" t="str">
        <f>"114020200328192650158000"</f>
        <v>114020200328192650158000</v>
      </c>
      <c r="C444" s="7" t="s">
        <v>424</v>
      </c>
      <c r="D444" s="7" t="str">
        <f>"何桂玉"</f>
        <v>何桂玉</v>
      </c>
      <c r="E444" s="7" t="str">
        <f t="shared" si="42"/>
        <v>女</v>
      </c>
      <c r="F444" s="7" t="s">
        <v>457</v>
      </c>
      <c r="G444" s="7" t="s">
        <v>12</v>
      </c>
      <c r="H444" s="7"/>
    </row>
    <row r="445" s="3" customFormat="1" ht="14.25" customHeight="1" spans="1:8">
      <c r="A445" s="7">
        <v>442</v>
      </c>
      <c r="B445" s="7" t="str">
        <f>"114020200328192651158001"</f>
        <v>114020200328192651158001</v>
      </c>
      <c r="C445" s="7" t="s">
        <v>424</v>
      </c>
      <c r="D445" s="7" t="str">
        <f>"蒙博珍"</f>
        <v>蒙博珍</v>
      </c>
      <c r="E445" s="7" t="str">
        <f t="shared" si="42"/>
        <v>女</v>
      </c>
      <c r="F445" s="7" t="s">
        <v>458</v>
      </c>
      <c r="G445" s="7" t="s">
        <v>12</v>
      </c>
      <c r="H445" s="7"/>
    </row>
    <row r="446" s="3" customFormat="1" ht="14.25" customHeight="1" spans="1:8">
      <c r="A446" s="7">
        <v>443</v>
      </c>
      <c r="B446" s="7" t="str">
        <f>"114020200328213112158095"</f>
        <v>114020200328213112158095</v>
      </c>
      <c r="C446" s="7" t="s">
        <v>424</v>
      </c>
      <c r="D446" s="7" t="str">
        <f>"周炳丹"</f>
        <v>周炳丹</v>
      </c>
      <c r="E446" s="7" t="str">
        <f t="shared" si="42"/>
        <v>女</v>
      </c>
      <c r="F446" s="7" t="s">
        <v>459</v>
      </c>
      <c r="G446" s="7" t="s">
        <v>12</v>
      </c>
      <c r="H446" s="7"/>
    </row>
    <row r="447" s="3" customFormat="1" ht="14.25" customHeight="1" spans="1:8">
      <c r="A447" s="7">
        <v>444</v>
      </c>
      <c r="B447" s="7" t="str">
        <f>"114020200328214313158105"</f>
        <v>114020200328214313158105</v>
      </c>
      <c r="C447" s="7" t="s">
        <v>424</v>
      </c>
      <c r="D447" s="7" t="str">
        <f>"高平霞"</f>
        <v>高平霞</v>
      </c>
      <c r="E447" s="7" t="str">
        <f t="shared" si="42"/>
        <v>女</v>
      </c>
      <c r="F447" s="7" t="s">
        <v>460</v>
      </c>
      <c r="G447" s="7" t="s">
        <v>12</v>
      </c>
      <c r="H447" s="7"/>
    </row>
    <row r="448" s="3" customFormat="1" ht="14.25" customHeight="1" spans="1:8">
      <c r="A448" s="7">
        <v>445</v>
      </c>
      <c r="B448" s="7" t="str">
        <f>"114020200328222337158128"</f>
        <v>114020200328222337158128</v>
      </c>
      <c r="C448" s="7" t="s">
        <v>424</v>
      </c>
      <c r="D448" s="7" t="str">
        <f>"党晶"</f>
        <v>党晶</v>
      </c>
      <c r="E448" s="7" t="str">
        <f t="shared" si="42"/>
        <v>女</v>
      </c>
      <c r="F448" s="7" t="s">
        <v>461</v>
      </c>
      <c r="G448" s="7" t="s">
        <v>12</v>
      </c>
      <c r="H448" s="7"/>
    </row>
    <row r="449" s="3" customFormat="1" ht="14.25" customHeight="1" spans="1:8">
      <c r="A449" s="7">
        <v>446</v>
      </c>
      <c r="B449" s="7" t="str">
        <f>"114020200328224642158150"</f>
        <v>114020200328224642158150</v>
      </c>
      <c r="C449" s="7" t="s">
        <v>424</v>
      </c>
      <c r="D449" s="7" t="str">
        <f>"曾悦"</f>
        <v>曾悦</v>
      </c>
      <c r="E449" s="7" t="str">
        <f t="shared" si="42"/>
        <v>女</v>
      </c>
      <c r="F449" s="7" t="s">
        <v>462</v>
      </c>
      <c r="G449" s="7" t="s">
        <v>12</v>
      </c>
      <c r="H449" s="7"/>
    </row>
    <row r="450" s="3" customFormat="1" ht="14.25" customHeight="1" spans="1:8">
      <c r="A450" s="7">
        <v>447</v>
      </c>
      <c r="B450" s="7" t="str">
        <f>"114020200328231549158160"</f>
        <v>114020200328231549158160</v>
      </c>
      <c r="C450" s="7" t="s">
        <v>424</v>
      </c>
      <c r="D450" s="7" t="str">
        <f>"王霞琳"</f>
        <v>王霞琳</v>
      </c>
      <c r="E450" s="7" t="str">
        <f t="shared" si="42"/>
        <v>女</v>
      </c>
      <c r="F450" s="7" t="s">
        <v>463</v>
      </c>
      <c r="G450" s="7" t="s">
        <v>12</v>
      </c>
      <c r="H450" s="7"/>
    </row>
    <row r="451" s="3" customFormat="1" ht="14.25" customHeight="1" spans="1:8">
      <c r="A451" s="7">
        <v>448</v>
      </c>
      <c r="B451" s="7" t="str">
        <f>"114020200328231757158161"</f>
        <v>114020200328231757158161</v>
      </c>
      <c r="C451" s="7" t="s">
        <v>424</v>
      </c>
      <c r="D451" s="7" t="str">
        <f>"罗少婷"</f>
        <v>罗少婷</v>
      </c>
      <c r="E451" s="7" t="str">
        <f t="shared" si="42"/>
        <v>女</v>
      </c>
      <c r="F451" s="7" t="s">
        <v>464</v>
      </c>
      <c r="G451" s="7" t="s">
        <v>12</v>
      </c>
      <c r="H451" s="7"/>
    </row>
    <row r="452" s="3" customFormat="1" ht="14.25" customHeight="1" spans="1:8">
      <c r="A452" s="7">
        <v>449</v>
      </c>
      <c r="B452" s="7" t="str">
        <f>"114020200329091019158216"</f>
        <v>114020200329091019158216</v>
      </c>
      <c r="C452" s="7" t="s">
        <v>424</v>
      </c>
      <c r="D452" s="7" t="str">
        <f>"林芳松"</f>
        <v>林芳松</v>
      </c>
      <c r="E452" s="7" t="str">
        <f>"男"</f>
        <v>男</v>
      </c>
      <c r="F452" s="7" t="s">
        <v>465</v>
      </c>
      <c r="G452" s="7" t="s">
        <v>12</v>
      </c>
      <c r="H452" s="7"/>
    </row>
    <row r="453" s="3" customFormat="1" ht="14.25" customHeight="1" spans="1:8">
      <c r="A453" s="7">
        <v>450</v>
      </c>
      <c r="B453" s="7" t="str">
        <f>"114020200329091703158220"</f>
        <v>114020200329091703158220</v>
      </c>
      <c r="C453" s="7" t="s">
        <v>424</v>
      </c>
      <c r="D453" s="7" t="str">
        <f>"郑远霞"</f>
        <v>郑远霞</v>
      </c>
      <c r="E453" s="7" t="str">
        <f t="shared" ref="E453:E456" si="43">"女"</f>
        <v>女</v>
      </c>
      <c r="F453" s="7" t="s">
        <v>466</v>
      </c>
      <c r="G453" s="7" t="s">
        <v>12</v>
      </c>
      <c r="H453" s="7"/>
    </row>
    <row r="454" s="3" customFormat="1" ht="14.25" customHeight="1" spans="1:8">
      <c r="A454" s="7">
        <v>451</v>
      </c>
      <c r="B454" s="7" t="str">
        <f>"114020200329092300158225"</f>
        <v>114020200329092300158225</v>
      </c>
      <c r="C454" s="7" t="s">
        <v>424</v>
      </c>
      <c r="D454" s="7" t="str">
        <f>"符远玲"</f>
        <v>符远玲</v>
      </c>
      <c r="E454" s="7" t="str">
        <f t="shared" si="43"/>
        <v>女</v>
      </c>
      <c r="F454" s="7" t="s">
        <v>467</v>
      </c>
      <c r="G454" s="7" t="s">
        <v>12</v>
      </c>
      <c r="H454" s="7"/>
    </row>
    <row r="455" s="3" customFormat="1" ht="14.25" customHeight="1" spans="1:8">
      <c r="A455" s="7">
        <v>452</v>
      </c>
      <c r="B455" s="7" t="str">
        <f>"114020200329092943158228"</f>
        <v>114020200329092943158228</v>
      </c>
      <c r="C455" s="7" t="s">
        <v>424</v>
      </c>
      <c r="D455" s="7" t="str">
        <f>"陶婷婷"</f>
        <v>陶婷婷</v>
      </c>
      <c r="E455" s="7" t="str">
        <f t="shared" si="43"/>
        <v>女</v>
      </c>
      <c r="F455" s="7" t="s">
        <v>468</v>
      </c>
      <c r="G455" s="7" t="s">
        <v>12</v>
      </c>
      <c r="H455" s="7"/>
    </row>
    <row r="456" s="3" customFormat="1" ht="14.25" customHeight="1" spans="1:8">
      <c r="A456" s="7">
        <v>453</v>
      </c>
      <c r="B456" s="7" t="str">
        <f>"114020200329095905158242"</f>
        <v>114020200329095905158242</v>
      </c>
      <c r="C456" s="7" t="s">
        <v>424</v>
      </c>
      <c r="D456" s="7" t="str">
        <f>"黄少梅"</f>
        <v>黄少梅</v>
      </c>
      <c r="E456" s="7" t="str">
        <f t="shared" si="43"/>
        <v>女</v>
      </c>
      <c r="F456" s="7" t="s">
        <v>469</v>
      </c>
      <c r="G456" s="7" t="s">
        <v>12</v>
      </c>
      <c r="H456" s="7"/>
    </row>
    <row r="457" s="3" customFormat="1" ht="14.25" customHeight="1" spans="1:8">
      <c r="A457" s="7">
        <v>454</v>
      </c>
      <c r="B457" s="7" t="str">
        <f>"114020200329102432158265"</f>
        <v>114020200329102432158265</v>
      </c>
      <c r="C457" s="7" t="s">
        <v>424</v>
      </c>
      <c r="D457" s="7" t="str">
        <f>"卢海能"</f>
        <v>卢海能</v>
      </c>
      <c r="E457" s="7" t="str">
        <f>"男"</f>
        <v>男</v>
      </c>
      <c r="F457" s="7" t="s">
        <v>470</v>
      </c>
      <c r="G457" s="7" t="s">
        <v>12</v>
      </c>
      <c r="H457" s="7"/>
    </row>
    <row r="458" s="3" customFormat="1" ht="14.25" customHeight="1" spans="1:8">
      <c r="A458" s="7">
        <v>455</v>
      </c>
      <c r="B458" s="7" t="str">
        <f>"114020200329104234158286"</f>
        <v>114020200329104234158286</v>
      </c>
      <c r="C458" s="7" t="s">
        <v>424</v>
      </c>
      <c r="D458" s="7" t="str">
        <f>"康国娇 "</f>
        <v>康国娇 </v>
      </c>
      <c r="E458" s="7" t="str">
        <f t="shared" ref="E458:E465" si="44">"女"</f>
        <v>女</v>
      </c>
      <c r="F458" s="7" t="s">
        <v>471</v>
      </c>
      <c r="G458" s="7" t="s">
        <v>12</v>
      </c>
      <c r="H458" s="7"/>
    </row>
    <row r="459" s="3" customFormat="1" ht="14.25" customHeight="1" spans="1:8">
      <c r="A459" s="7">
        <v>456</v>
      </c>
      <c r="B459" s="7" t="str">
        <f>"114020200329105530158298"</f>
        <v>114020200329105530158298</v>
      </c>
      <c r="C459" s="7" t="s">
        <v>424</v>
      </c>
      <c r="D459" s="7" t="str">
        <f>"关少丽"</f>
        <v>关少丽</v>
      </c>
      <c r="E459" s="7" t="str">
        <f t="shared" si="44"/>
        <v>女</v>
      </c>
      <c r="F459" s="7" t="s">
        <v>472</v>
      </c>
      <c r="G459" s="7" t="s">
        <v>12</v>
      </c>
      <c r="H459" s="7"/>
    </row>
    <row r="460" s="3" customFormat="1" ht="14.25" customHeight="1" spans="1:8">
      <c r="A460" s="7">
        <v>457</v>
      </c>
      <c r="B460" s="7" t="str">
        <f>"114020200329152704158458"</f>
        <v>114020200329152704158458</v>
      </c>
      <c r="C460" s="7" t="s">
        <v>424</v>
      </c>
      <c r="D460" s="7" t="str">
        <f>"文婷婷"</f>
        <v>文婷婷</v>
      </c>
      <c r="E460" s="7" t="str">
        <f t="shared" si="44"/>
        <v>女</v>
      </c>
      <c r="F460" s="7" t="s">
        <v>473</v>
      </c>
      <c r="G460" s="7" t="s">
        <v>12</v>
      </c>
      <c r="H460" s="7"/>
    </row>
    <row r="461" s="3" customFormat="1" ht="14.25" customHeight="1" spans="1:8">
      <c r="A461" s="7">
        <v>458</v>
      </c>
      <c r="B461" s="7" t="str">
        <f>"114020200329161031158479"</f>
        <v>114020200329161031158479</v>
      </c>
      <c r="C461" s="7" t="s">
        <v>424</v>
      </c>
      <c r="D461" s="7" t="str">
        <f>"蔡盈盈"</f>
        <v>蔡盈盈</v>
      </c>
      <c r="E461" s="7" t="str">
        <f t="shared" si="44"/>
        <v>女</v>
      </c>
      <c r="F461" s="7" t="s">
        <v>474</v>
      </c>
      <c r="G461" s="7" t="s">
        <v>12</v>
      </c>
      <c r="H461" s="7"/>
    </row>
    <row r="462" s="3" customFormat="1" ht="14.25" customHeight="1" spans="1:8">
      <c r="A462" s="7">
        <v>459</v>
      </c>
      <c r="B462" s="7" t="str">
        <f>"114020200329175822158539"</f>
        <v>114020200329175822158539</v>
      </c>
      <c r="C462" s="7" t="s">
        <v>424</v>
      </c>
      <c r="D462" s="7" t="str">
        <f>"许花秀"</f>
        <v>许花秀</v>
      </c>
      <c r="E462" s="7" t="str">
        <f t="shared" si="44"/>
        <v>女</v>
      </c>
      <c r="F462" s="7" t="s">
        <v>475</v>
      </c>
      <c r="G462" s="7" t="s">
        <v>12</v>
      </c>
      <c r="H462" s="7"/>
    </row>
    <row r="463" s="3" customFormat="1" ht="14.25" customHeight="1" spans="1:8">
      <c r="A463" s="7">
        <v>460</v>
      </c>
      <c r="B463" s="7" t="str">
        <f>"114020200329194328158595"</f>
        <v>114020200329194328158595</v>
      </c>
      <c r="C463" s="7" t="s">
        <v>424</v>
      </c>
      <c r="D463" s="7" t="str">
        <f>"文昌钰"</f>
        <v>文昌钰</v>
      </c>
      <c r="E463" s="7" t="str">
        <f t="shared" si="44"/>
        <v>女</v>
      </c>
      <c r="F463" s="7" t="s">
        <v>476</v>
      </c>
      <c r="G463" s="7" t="s">
        <v>12</v>
      </c>
      <c r="H463" s="7"/>
    </row>
    <row r="464" s="3" customFormat="1" ht="14.25" customHeight="1" spans="1:8">
      <c r="A464" s="7">
        <v>461</v>
      </c>
      <c r="B464" s="7" t="str">
        <f>"114020200329195500158600"</f>
        <v>114020200329195500158600</v>
      </c>
      <c r="C464" s="7" t="s">
        <v>424</v>
      </c>
      <c r="D464" s="7" t="str">
        <f>"李铮艺"</f>
        <v>李铮艺</v>
      </c>
      <c r="E464" s="7" t="str">
        <f t="shared" si="44"/>
        <v>女</v>
      </c>
      <c r="F464" s="7" t="s">
        <v>477</v>
      </c>
      <c r="G464" s="7" t="s">
        <v>12</v>
      </c>
      <c r="H464" s="7"/>
    </row>
    <row r="465" s="3" customFormat="1" ht="14.25" customHeight="1" spans="1:8">
      <c r="A465" s="7">
        <v>462</v>
      </c>
      <c r="B465" s="7" t="str">
        <f>"114020200329200801158608"</f>
        <v>114020200329200801158608</v>
      </c>
      <c r="C465" s="7" t="s">
        <v>424</v>
      </c>
      <c r="D465" s="7" t="str">
        <f>"吴小妹"</f>
        <v>吴小妹</v>
      </c>
      <c r="E465" s="7" t="str">
        <f t="shared" si="44"/>
        <v>女</v>
      </c>
      <c r="F465" s="7" t="s">
        <v>478</v>
      </c>
      <c r="G465" s="7" t="s">
        <v>12</v>
      </c>
      <c r="H465" s="7"/>
    </row>
    <row r="466" s="3" customFormat="1" ht="14.25" customHeight="1" spans="1:8">
      <c r="A466" s="7">
        <v>463</v>
      </c>
      <c r="B466" s="7" t="str">
        <f>"114020200329212038158662"</f>
        <v>114020200329212038158662</v>
      </c>
      <c r="C466" s="7" t="s">
        <v>424</v>
      </c>
      <c r="D466" s="7" t="str">
        <f>"王栋"</f>
        <v>王栋</v>
      </c>
      <c r="E466" s="7" t="str">
        <f>"男"</f>
        <v>男</v>
      </c>
      <c r="F466" s="7" t="s">
        <v>479</v>
      </c>
      <c r="G466" s="7" t="s">
        <v>12</v>
      </c>
      <c r="H466" s="7"/>
    </row>
    <row r="467" s="3" customFormat="1" ht="14.25" customHeight="1" spans="1:8">
      <c r="A467" s="7">
        <v>464</v>
      </c>
      <c r="B467" s="7" t="str">
        <f>"114020200329215440158685"</f>
        <v>114020200329215440158685</v>
      </c>
      <c r="C467" s="7" t="s">
        <v>424</v>
      </c>
      <c r="D467" s="7" t="str">
        <f>"邓恒劳"</f>
        <v>邓恒劳</v>
      </c>
      <c r="E467" s="7" t="str">
        <f t="shared" ref="E467:E471" si="45">"女"</f>
        <v>女</v>
      </c>
      <c r="F467" s="7" t="s">
        <v>480</v>
      </c>
      <c r="G467" s="7" t="s">
        <v>12</v>
      </c>
      <c r="H467" s="7"/>
    </row>
    <row r="468" s="3" customFormat="1" ht="14.25" customHeight="1" spans="1:8">
      <c r="A468" s="7">
        <v>465</v>
      </c>
      <c r="B468" s="7" t="str">
        <f>"114020200330092027158804"</f>
        <v>114020200330092027158804</v>
      </c>
      <c r="C468" s="7" t="s">
        <v>424</v>
      </c>
      <c r="D468" s="7" t="str">
        <f>"朱婷婷"</f>
        <v>朱婷婷</v>
      </c>
      <c r="E468" s="7" t="str">
        <f t="shared" si="45"/>
        <v>女</v>
      </c>
      <c r="F468" s="7" t="s">
        <v>481</v>
      </c>
      <c r="G468" s="7" t="s">
        <v>12</v>
      </c>
      <c r="H468" s="7"/>
    </row>
    <row r="469" s="3" customFormat="1" ht="14.25" customHeight="1" spans="1:8">
      <c r="A469" s="7">
        <v>466</v>
      </c>
      <c r="B469" s="7" t="str">
        <f>"114020200330092835158809"</f>
        <v>114020200330092835158809</v>
      </c>
      <c r="C469" s="7" t="s">
        <v>424</v>
      </c>
      <c r="D469" s="7" t="str">
        <f>"熊海娟"</f>
        <v>熊海娟</v>
      </c>
      <c r="E469" s="7" t="str">
        <f t="shared" si="45"/>
        <v>女</v>
      </c>
      <c r="F469" s="7" t="s">
        <v>482</v>
      </c>
      <c r="G469" s="7" t="s">
        <v>12</v>
      </c>
      <c r="H469" s="7"/>
    </row>
    <row r="470" s="3" customFormat="1" ht="14.25" customHeight="1" spans="1:8">
      <c r="A470" s="7">
        <v>467</v>
      </c>
      <c r="B470" s="7" t="str">
        <f>"114020200330101406158861"</f>
        <v>114020200330101406158861</v>
      </c>
      <c r="C470" s="7" t="s">
        <v>424</v>
      </c>
      <c r="D470" s="7" t="str">
        <f>"吉如科"</f>
        <v>吉如科</v>
      </c>
      <c r="E470" s="7" t="str">
        <f t="shared" si="45"/>
        <v>女</v>
      </c>
      <c r="F470" s="7" t="s">
        <v>483</v>
      </c>
      <c r="G470" s="7" t="s">
        <v>12</v>
      </c>
      <c r="H470" s="7"/>
    </row>
    <row r="471" s="3" customFormat="1" ht="14.25" customHeight="1" spans="1:8">
      <c r="A471" s="7">
        <v>468</v>
      </c>
      <c r="B471" s="7" t="str">
        <f>"114020200330114048158944"</f>
        <v>114020200330114048158944</v>
      </c>
      <c r="C471" s="7" t="s">
        <v>424</v>
      </c>
      <c r="D471" s="7" t="str">
        <f>"李如桂"</f>
        <v>李如桂</v>
      </c>
      <c r="E471" s="7" t="str">
        <f t="shared" si="45"/>
        <v>女</v>
      </c>
      <c r="F471" s="7" t="s">
        <v>484</v>
      </c>
      <c r="G471" s="7" t="s">
        <v>12</v>
      </c>
      <c r="H471" s="7"/>
    </row>
    <row r="472" s="3" customFormat="1" ht="14.25" customHeight="1" spans="1:8">
      <c r="A472" s="7">
        <v>469</v>
      </c>
      <c r="B472" s="7" t="str">
        <f>"114020200330115115158956"</f>
        <v>114020200330115115158956</v>
      </c>
      <c r="C472" s="7" t="s">
        <v>424</v>
      </c>
      <c r="D472" s="7" t="str">
        <f>"李玉华"</f>
        <v>李玉华</v>
      </c>
      <c r="E472" s="7" t="str">
        <f>"男"</f>
        <v>男</v>
      </c>
      <c r="F472" s="7" t="s">
        <v>485</v>
      </c>
      <c r="G472" s="7" t="s">
        <v>12</v>
      </c>
      <c r="H472" s="7"/>
    </row>
    <row r="473" s="3" customFormat="1" ht="14.25" customHeight="1" spans="1:8">
      <c r="A473" s="7">
        <v>470</v>
      </c>
      <c r="B473" s="7" t="str">
        <f>"114020200330123135158980"</f>
        <v>114020200330123135158980</v>
      </c>
      <c r="C473" s="7" t="s">
        <v>424</v>
      </c>
      <c r="D473" s="7" t="str">
        <f>"孙转"</f>
        <v>孙转</v>
      </c>
      <c r="E473" s="7" t="str">
        <f t="shared" ref="E473:E484" si="46">"女"</f>
        <v>女</v>
      </c>
      <c r="F473" s="7" t="s">
        <v>486</v>
      </c>
      <c r="G473" s="7" t="s">
        <v>12</v>
      </c>
      <c r="H473" s="7"/>
    </row>
    <row r="474" s="3" customFormat="1" ht="14.25" customHeight="1" spans="1:8">
      <c r="A474" s="7">
        <v>471</v>
      </c>
      <c r="B474" s="7" t="str">
        <f>"114020200330140829159037"</f>
        <v>114020200330140829159037</v>
      </c>
      <c r="C474" s="7" t="s">
        <v>424</v>
      </c>
      <c r="D474" s="7" t="str">
        <f>"秦翠燕"</f>
        <v>秦翠燕</v>
      </c>
      <c r="E474" s="7" t="str">
        <f t="shared" si="46"/>
        <v>女</v>
      </c>
      <c r="F474" s="7" t="s">
        <v>487</v>
      </c>
      <c r="G474" s="7" t="s">
        <v>12</v>
      </c>
      <c r="H474" s="7"/>
    </row>
    <row r="475" s="3" customFormat="1" ht="14.25" customHeight="1" spans="1:8">
      <c r="A475" s="7">
        <v>472</v>
      </c>
      <c r="B475" s="7" t="str">
        <f>"114020200330141927159045"</f>
        <v>114020200330141927159045</v>
      </c>
      <c r="C475" s="7" t="s">
        <v>424</v>
      </c>
      <c r="D475" s="7" t="str">
        <f>"周静"</f>
        <v>周静</v>
      </c>
      <c r="E475" s="7" t="str">
        <f t="shared" si="46"/>
        <v>女</v>
      </c>
      <c r="F475" s="7" t="s">
        <v>488</v>
      </c>
      <c r="G475" s="7" t="s">
        <v>12</v>
      </c>
      <c r="H475" s="7"/>
    </row>
    <row r="476" s="3" customFormat="1" ht="14.25" customHeight="1" spans="1:8">
      <c r="A476" s="7">
        <v>473</v>
      </c>
      <c r="B476" s="7" t="str">
        <f>"114020200330153905159095"</f>
        <v>114020200330153905159095</v>
      </c>
      <c r="C476" s="7" t="s">
        <v>424</v>
      </c>
      <c r="D476" s="7" t="str">
        <f>"扈雅宁"</f>
        <v>扈雅宁</v>
      </c>
      <c r="E476" s="7" t="str">
        <f t="shared" si="46"/>
        <v>女</v>
      </c>
      <c r="F476" s="7" t="s">
        <v>489</v>
      </c>
      <c r="G476" s="7" t="s">
        <v>12</v>
      </c>
      <c r="H476" s="7"/>
    </row>
    <row r="477" s="3" customFormat="1" ht="14.25" customHeight="1" spans="1:8">
      <c r="A477" s="7">
        <v>474</v>
      </c>
      <c r="B477" s="7" t="str">
        <f>"114020200330154853159103"</f>
        <v>114020200330154853159103</v>
      </c>
      <c r="C477" s="7" t="s">
        <v>424</v>
      </c>
      <c r="D477" s="7" t="str">
        <f>"林怡"</f>
        <v>林怡</v>
      </c>
      <c r="E477" s="7" t="str">
        <f t="shared" si="46"/>
        <v>女</v>
      </c>
      <c r="F477" s="7" t="s">
        <v>490</v>
      </c>
      <c r="G477" s="7" t="s">
        <v>12</v>
      </c>
      <c r="H477" s="7"/>
    </row>
    <row r="478" s="3" customFormat="1" ht="14.25" customHeight="1" spans="1:8">
      <c r="A478" s="7">
        <v>475</v>
      </c>
      <c r="B478" s="7" t="str">
        <f>"114020200330163530159136"</f>
        <v>114020200330163530159136</v>
      </c>
      <c r="C478" s="7" t="s">
        <v>424</v>
      </c>
      <c r="D478" s="7" t="str">
        <f>"曾婆玉"</f>
        <v>曾婆玉</v>
      </c>
      <c r="E478" s="7" t="str">
        <f t="shared" si="46"/>
        <v>女</v>
      </c>
      <c r="F478" s="7" t="s">
        <v>491</v>
      </c>
      <c r="G478" s="7" t="s">
        <v>12</v>
      </c>
      <c r="H478" s="7"/>
    </row>
    <row r="479" s="3" customFormat="1" ht="14.25" customHeight="1" spans="1:8">
      <c r="A479" s="7">
        <v>476</v>
      </c>
      <c r="B479" s="7" t="str">
        <f>"114020200330164142159142"</f>
        <v>114020200330164142159142</v>
      </c>
      <c r="C479" s="7" t="s">
        <v>424</v>
      </c>
      <c r="D479" s="7" t="str">
        <f>"姚春妙"</f>
        <v>姚春妙</v>
      </c>
      <c r="E479" s="7" t="str">
        <f t="shared" si="46"/>
        <v>女</v>
      </c>
      <c r="F479" s="7" t="s">
        <v>492</v>
      </c>
      <c r="G479" s="7" t="s">
        <v>12</v>
      </c>
      <c r="H479" s="7"/>
    </row>
    <row r="480" s="3" customFormat="1" ht="14.25" customHeight="1" spans="1:8">
      <c r="A480" s="7">
        <v>477</v>
      </c>
      <c r="B480" s="7" t="str">
        <f>"114020200330165203159150"</f>
        <v>114020200330165203159150</v>
      </c>
      <c r="C480" s="7" t="s">
        <v>424</v>
      </c>
      <c r="D480" s="7" t="str">
        <f>"尹燕梅"</f>
        <v>尹燕梅</v>
      </c>
      <c r="E480" s="7" t="str">
        <f t="shared" si="46"/>
        <v>女</v>
      </c>
      <c r="F480" s="7" t="s">
        <v>493</v>
      </c>
      <c r="G480" s="7" t="s">
        <v>12</v>
      </c>
      <c r="H480" s="7"/>
    </row>
    <row r="481" s="3" customFormat="1" ht="14.25" customHeight="1" spans="1:8">
      <c r="A481" s="7">
        <v>478</v>
      </c>
      <c r="B481" s="7" t="str">
        <f>"114020200330165943159158"</f>
        <v>114020200330165943159158</v>
      </c>
      <c r="C481" s="7" t="s">
        <v>424</v>
      </c>
      <c r="D481" s="7" t="str">
        <f>"陈丽娇"</f>
        <v>陈丽娇</v>
      </c>
      <c r="E481" s="7" t="str">
        <f t="shared" si="46"/>
        <v>女</v>
      </c>
      <c r="F481" s="7" t="s">
        <v>494</v>
      </c>
      <c r="G481" s="7" t="s">
        <v>12</v>
      </c>
      <c r="H481" s="7"/>
    </row>
    <row r="482" s="3" customFormat="1" ht="14.25" customHeight="1" spans="1:8">
      <c r="A482" s="7">
        <v>479</v>
      </c>
      <c r="B482" s="7" t="str">
        <f>"114020200330170840159167"</f>
        <v>114020200330170840159167</v>
      </c>
      <c r="C482" s="7" t="s">
        <v>424</v>
      </c>
      <c r="D482" s="7" t="str">
        <f>"孙小惠"</f>
        <v>孙小惠</v>
      </c>
      <c r="E482" s="7" t="str">
        <f t="shared" si="46"/>
        <v>女</v>
      </c>
      <c r="F482" s="7" t="s">
        <v>495</v>
      </c>
      <c r="G482" s="7" t="s">
        <v>12</v>
      </c>
      <c r="H482" s="7"/>
    </row>
    <row r="483" s="3" customFormat="1" ht="14.25" customHeight="1" spans="1:8">
      <c r="A483" s="7">
        <v>480</v>
      </c>
      <c r="B483" s="7" t="str">
        <f>"114020200330181613159203"</f>
        <v>114020200330181613159203</v>
      </c>
      <c r="C483" s="7" t="s">
        <v>424</v>
      </c>
      <c r="D483" s="7" t="str">
        <f>"符衍婷"</f>
        <v>符衍婷</v>
      </c>
      <c r="E483" s="7" t="str">
        <f t="shared" si="46"/>
        <v>女</v>
      </c>
      <c r="F483" s="7" t="s">
        <v>496</v>
      </c>
      <c r="G483" s="7" t="s">
        <v>12</v>
      </c>
      <c r="H483" s="7"/>
    </row>
    <row r="484" s="3" customFormat="1" ht="14.25" customHeight="1" spans="1:8">
      <c r="A484" s="7">
        <v>481</v>
      </c>
      <c r="B484" s="7" t="str">
        <f>"114020200330212607159286"</f>
        <v>114020200330212607159286</v>
      </c>
      <c r="C484" s="7" t="s">
        <v>424</v>
      </c>
      <c r="D484" s="7" t="str">
        <f>"陈青慧"</f>
        <v>陈青慧</v>
      </c>
      <c r="E484" s="7" t="str">
        <f t="shared" si="46"/>
        <v>女</v>
      </c>
      <c r="F484" s="7" t="s">
        <v>497</v>
      </c>
      <c r="G484" s="7" t="s">
        <v>12</v>
      </c>
      <c r="H484" s="7"/>
    </row>
    <row r="485" s="3" customFormat="1" ht="14.25" customHeight="1" spans="1:8">
      <c r="A485" s="7">
        <v>482</v>
      </c>
      <c r="B485" s="7" t="str">
        <f>"114020200331072451159370"</f>
        <v>114020200331072451159370</v>
      </c>
      <c r="C485" s="7" t="s">
        <v>424</v>
      </c>
      <c r="D485" s="7" t="str">
        <f>"李志"</f>
        <v>李志</v>
      </c>
      <c r="E485" s="7" t="str">
        <f>"男"</f>
        <v>男</v>
      </c>
      <c r="F485" s="7" t="s">
        <v>498</v>
      </c>
      <c r="G485" s="7" t="s">
        <v>12</v>
      </c>
      <c r="H485" s="7"/>
    </row>
    <row r="486" s="3" customFormat="1" ht="14.25" customHeight="1" spans="1:8">
      <c r="A486" s="7">
        <v>483</v>
      </c>
      <c r="B486" s="7" t="str">
        <f>"114020200331095253159395"</f>
        <v>114020200331095253159395</v>
      </c>
      <c r="C486" s="7" t="s">
        <v>424</v>
      </c>
      <c r="D486" s="7" t="str">
        <f>"符磊"</f>
        <v>符磊</v>
      </c>
      <c r="E486" s="7" t="str">
        <f t="shared" ref="E486:E493" si="47">"女"</f>
        <v>女</v>
      </c>
      <c r="F486" s="7" t="s">
        <v>499</v>
      </c>
      <c r="G486" s="7" t="s">
        <v>12</v>
      </c>
      <c r="H486" s="7"/>
    </row>
    <row r="487" s="3" customFormat="1" ht="14.25" customHeight="1" spans="1:8">
      <c r="A487" s="7">
        <v>484</v>
      </c>
      <c r="B487" s="7" t="str">
        <f>"114020200331100238159400"</f>
        <v>114020200331100238159400</v>
      </c>
      <c r="C487" s="7" t="s">
        <v>424</v>
      </c>
      <c r="D487" s="7" t="str">
        <f>"陈世礼"</f>
        <v>陈世礼</v>
      </c>
      <c r="E487" s="7" t="str">
        <f t="shared" si="47"/>
        <v>女</v>
      </c>
      <c r="F487" s="7" t="s">
        <v>500</v>
      </c>
      <c r="G487" s="7" t="s">
        <v>12</v>
      </c>
      <c r="H487" s="7"/>
    </row>
    <row r="488" s="3" customFormat="1" ht="14.25" customHeight="1" spans="1:8">
      <c r="A488" s="7">
        <v>485</v>
      </c>
      <c r="B488" s="7" t="str">
        <f>"114020200331101535159407"</f>
        <v>114020200331101535159407</v>
      </c>
      <c r="C488" s="7" t="s">
        <v>424</v>
      </c>
      <c r="D488" s="7" t="str">
        <f>"黄秋义"</f>
        <v>黄秋义</v>
      </c>
      <c r="E488" s="7" t="str">
        <f t="shared" si="47"/>
        <v>女</v>
      </c>
      <c r="F488" s="7" t="s">
        <v>501</v>
      </c>
      <c r="G488" s="7" t="s">
        <v>12</v>
      </c>
      <c r="H488" s="7"/>
    </row>
    <row r="489" s="3" customFormat="1" ht="14.25" customHeight="1" spans="1:8">
      <c r="A489" s="7">
        <v>486</v>
      </c>
      <c r="B489" s="7" t="str">
        <f>"114020200331102615159413"</f>
        <v>114020200331102615159413</v>
      </c>
      <c r="C489" s="7" t="s">
        <v>424</v>
      </c>
      <c r="D489" s="7" t="str">
        <f>"苏小妹"</f>
        <v>苏小妹</v>
      </c>
      <c r="E489" s="7" t="str">
        <f t="shared" si="47"/>
        <v>女</v>
      </c>
      <c r="F489" s="7" t="s">
        <v>502</v>
      </c>
      <c r="G489" s="7" t="s">
        <v>12</v>
      </c>
      <c r="H489" s="7"/>
    </row>
    <row r="490" s="3" customFormat="1" ht="14.25" customHeight="1" spans="1:8">
      <c r="A490" s="7">
        <v>487</v>
      </c>
      <c r="B490" s="7" t="str">
        <f>"114020200331131020159501"</f>
        <v>114020200331131020159501</v>
      </c>
      <c r="C490" s="7" t="s">
        <v>424</v>
      </c>
      <c r="D490" s="7" t="str">
        <f>"郝亚姣"</f>
        <v>郝亚姣</v>
      </c>
      <c r="E490" s="7" t="str">
        <f t="shared" si="47"/>
        <v>女</v>
      </c>
      <c r="F490" s="7" t="s">
        <v>503</v>
      </c>
      <c r="G490" s="7" t="s">
        <v>12</v>
      </c>
      <c r="H490" s="7"/>
    </row>
    <row r="491" s="3" customFormat="1" ht="14.25" customHeight="1" spans="1:8">
      <c r="A491" s="7">
        <v>488</v>
      </c>
      <c r="B491" s="7" t="str">
        <f>"114020200331135306159518"</f>
        <v>114020200331135306159518</v>
      </c>
      <c r="C491" s="7" t="s">
        <v>424</v>
      </c>
      <c r="D491" s="7" t="str">
        <f>"吴金代"</f>
        <v>吴金代</v>
      </c>
      <c r="E491" s="7" t="str">
        <f t="shared" si="47"/>
        <v>女</v>
      </c>
      <c r="F491" s="7" t="s">
        <v>504</v>
      </c>
      <c r="G491" s="7" t="s">
        <v>12</v>
      </c>
      <c r="H491" s="7"/>
    </row>
    <row r="492" s="3" customFormat="1" ht="14.25" customHeight="1" spans="1:8">
      <c r="A492" s="7">
        <v>489</v>
      </c>
      <c r="B492" s="7" t="str">
        <f>"114020200331141110159526"</f>
        <v>114020200331141110159526</v>
      </c>
      <c r="C492" s="7" t="s">
        <v>424</v>
      </c>
      <c r="D492" s="7" t="str">
        <f>"朱小颖"</f>
        <v>朱小颖</v>
      </c>
      <c r="E492" s="7" t="str">
        <f t="shared" si="47"/>
        <v>女</v>
      </c>
      <c r="F492" s="7" t="s">
        <v>505</v>
      </c>
      <c r="G492" s="7" t="s">
        <v>12</v>
      </c>
      <c r="H492" s="7"/>
    </row>
    <row r="493" s="3" customFormat="1" ht="14.25" customHeight="1" spans="1:8">
      <c r="A493" s="7">
        <v>490</v>
      </c>
      <c r="B493" s="7" t="str">
        <f>"114020200331143828159541"</f>
        <v>114020200331143828159541</v>
      </c>
      <c r="C493" s="7" t="s">
        <v>424</v>
      </c>
      <c r="D493" s="7" t="str">
        <f>"王冬梅"</f>
        <v>王冬梅</v>
      </c>
      <c r="E493" s="7" t="str">
        <f t="shared" si="47"/>
        <v>女</v>
      </c>
      <c r="F493" s="7" t="s">
        <v>506</v>
      </c>
      <c r="G493" s="7" t="s">
        <v>12</v>
      </c>
      <c r="H493" s="7"/>
    </row>
    <row r="494" s="3" customFormat="1" ht="14.25" customHeight="1" spans="1:8">
      <c r="A494" s="7">
        <v>491</v>
      </c>
      <c r="B494" s="7" t="str">
        <f>"114020200331150412159551"</f>
        <v>114020200331150412159551</v>
      </c>
      <c r="C494" s="7" t="s">
        <v>424</v>
      </c>
      <c r="D494" s="7" t="str">
        <f>"汤世松"</f>
        <v>汤世松</v>
      </c>
      <c r="E494" s="7" t="str">
        <f>"男"</f>
        <v>男</v>
      </c>
      <c r="F494" s="7" t="s">
        <v>507</v>
      </c>
      <c r="G494" s="7" t="s">
        <v>12</v>
      </c>
      <c r="H494" s="7"/>
    </row>
    <row r="495" s="3" customFormat="1" ht="14.25" customHeight="1" spans="1:8">
      <c r="A495" s="7">
        <v>492</v>
      </c>
      <c r="B495" s="7" t="str">
        <f>"114020200331170625159609"</f>
        <v>114020200331170625159609</v>
      </c>
      <c r="C495" s="7" t="s">
        <v>424</v>
      </c>
      <c r="D495" s="7" t="str">
        <f>"高元娜"</f>
        <v>高元娜</v>
      </c>
      <c r="E495" s="7" t="str">
        <f t="shared" ref="E495:E498" si="48">"女"</f>
        <v>女</v>
      </c>
      <c r="F495" s="7" t="s">
        <v>508</v>
      </c>
      <c r="G495" s="7" t="s">
        <v>12</v>
      </c>
      <c r="H495" s="7"/>
    </row>
    <row r="496" s="3" customFormat="1" ht="14.25" customHeight="1" spans="1:8">
      <c r="A496" s="7">
        <v>493</v>
      </c>
      <c r="B496" s="7" t="str">
        <f>"114020200331180439159626"</f>
        <v>114020200331180439159626</v>
      </c>
      <c r="C496" s="7" t="s">
        <v>424</v>
      </c>
      <c r="D496" s="7" t="str">
        <f>"姚常利"</f>
        <v>姚常利</v>
      </c>
      <c r="E496" s="7" t="str">
        <f t="shared" si="48"/>
        <v>女</v>
      </c>
      <c r="F496" s="7" t="s">
        <v>509</v>
      </c>
      <c r="G496" s="7" t="s">
        <v>12</v>
      </c>
      <c r="H496" s="7"/>
    </row>
    <row r="497" s="3" customFormat="1" ht="14.25" customHeight="1" spans="1:8">
      <c r="A497" s="7">
        <v>494</v>
      </c>
      <c r="B497" s="7" t="str">
        <f>"114020200331201944159665"</f>
        <v>114020200331201944159665</v>
      </c>
      <c r="C497" s="7" t="s">
        <v>424</v>
      </c>
      <c r="D497" s="7" t="str">
        <f>"陈琳"</f>
        <v>陈琳</v>
      </c>
      <c r="E497" s="7" t="str">
        <f t="shared" si="48"/>
        <v>女</v>
      </c>
      <c r="F497" s="7" t="s">
        <v>510</v>
      </c>
      <c r="G497" s="7" t="s">
        <v>12</v>
      </c>
      <c r="H497" s="7"/>
    </row>
    <row r="498" s="3" customFormat="1" ht="14.25" customHeight="1" spans="1:8">
      <c r="A498" s="7">
        <v>495</v>
      </c>
      <c r="B498" s="7" t="str">
        <f>"114020200331205522159675"</f>
        <v>114020200331205522159675</v>
      </c>
      <c r="C498" s="7" t="s">
        <v>424</v>
      </c>
      <c r="D498" s="7" t="str">
        <f>"曾妙意"</f>
        <v>曾妙意</v>
      </c>
      <c r="E498" s="7" t="str">
        <f t="shared" si="48"/>
        <v>女</v>
      </c>
      <c r="F498" s="7" t="s">
        <v>511</v>
      </c>
      <c r="G498" s="7" t="s">
        <v>12</v>
      </c>
      <c r="H498" s="7"/>
    </row>
    <row r="499" s="3" customFormat="1" ht="14.25" customHeight="1" spans="1:8">
      <c r="A499" s="7">
        <v>496</v>
      </c>
      <c r="B499" s="7" t="str">
        <f>"114020200331211218159684"</f>
        <v>114020200331211218159684</v>
      </c>
      <c r="C499" s="7" t="s">
        <v>424</v>
      </c>
      <c r="D499" s="7" t="str">
        <f>"陈希达"</f>
        <v>陈希达</v>
      </c>
      <c r="E499" s="7" t="str">
        <f>"男"</f>
        <v>男</v>
      </c>
      <c r="F499" s="7" t="s">
        <v>512</v>
      </c>
      <c r="G499" s="7" t="s">
        <v>12</v>
      </c>
      <c r="H499" s="7"/>
    </row>
    <row r="500" s="3" customFormat="1" ht="14.25" customHeight="1" spans="1:8">
      <c r="A500" s="7">
        <v>497</v>
      </c>
      <c r="B500" s="7" t="str">
        <f>"114020200401111029159800"</f>
        <v>114020200401111029159800</v>
      </c>
      <c r="C500" s="7" t="s">
        <v>424</v>
      </c>
      <c r="D500" s="7" t="str">
        <f>"杨蓝英"</f>
        <v>杨蓝英</v>
      </c>
      <c r="E500" s="7" t="str">
        <f t="shared" ref="E500:E510" si="49">"女"</f>
        <v>女</v>
      </c>
      <c r="F500" s="7" t="s">
        <v>513</v>
      </c>
      <c r="G500" s="7" t="s">
        <v>12</v>
      </c>
      <c r="H500" s="7"/>
    </row>
    <row r="501" s="3" customFormat="1" ht="14.25" customHeight="1" spans="1:8">
      <c r="A501" s="7">
        <v>498</v>
      </c>
      <c r="B501" s="7" t="str">
        <f>"114020200401133637159854"</f>
        <v>114020200401133637159854</v>
      </c>
      <c r="C501" s="7" t="s">
        <v>424</v>
      </c>
      <c r="D501" s="7" t="str">
        <f>"杨秀燕"</f>
        <v>杨秀燕</v>
      </c>
      <c r="E501" s="7" t="str">
        <f t="shared" si="49"/>
        <v>女</v>
      </c>
      <c r="F501" s="7" t="s">
        <v>514</v>
      </c>
      <c r="G501" s="7" t="s">
        <v>12</v>
      </c>
      <c r="H501" s="7"/>
    </row>
    <row r="502" s="3" customFormat="1" ht="14.25" customHeight="1" spans="1:8">
      <c r="A502" s="7">
        <v>499</v>
      </c>
      <c r="B502" s="7" t="str">
        <f>"114020200401135718159860"</f>
        <v>114020200401135718159860</v>
      </c>
      <c r="C502" s="7" t="s">
        <v>424</v>
      </c>
      <c r="D502" s="7" t="str">
        <f>"杨萍璉"</f>
        <v>杨萍璉</v>
      </c>
      <c r="E502" s="7" t="str">
        <f t="shared" si="49"/>
        <v>女</v>
      </c>
      <c r="F502" s="7" t="s">
        <v>515</v>
      </c>
      <c r="G502" s="7" t="s">
        <v>12</v>
      </c>
      <c r="H502" s="7"/>
    </row>
    <row r="503" s="3" customFormat="1" ht="14.25" customHeight="1" spans="1:8">
      <c r="A503" s="7">
        <v>500</v>
      </c>
      <c r="B503" s="7" t="str">
        <f>"114020200401192226160000"</f>
        <v>114020200401192226160000</v>
      </c>
      <c r="C503" s="7" t="s">
        <v>424</v>
      </c>
      <c r="D503" s="7" t="str">
        <f>"张祺"</f>
        <v>张祺</v>
      </c>
      <c r="E503" s="7" t="str">
        <f t="shared" si="49"/>
        <v>女</v>
      </c>
      <c r="F503" s="7" t="s">
        <v>516</v>
      </c>
      <c r="G503" s="7" t="s">
        <v>12</v>
      </c>
      <c r="H503" s="7"/>
    </row>
    <row r="504" s="3" customFormat="1" ht="14.25" customHeight="1" spans="1:8">
      <c r="A504" s="7">
        <v>501</v>
      </c>
      <c r="B504" s="7" t="str">
        <f>"114020200401210111160031"</f>
        <v>114020200401210111160031</v>
      </c>
      <c r="C504" s="7" t="s">
        <v>424</v>
      </c>
      <c r="D504" s="7" t="str">
        <f>"吴小红"</f>
        <v>吴小红</v>
      </c>
      <c r="E504" s="7" t="str">
        <f t="shared" si="49"/>
        <v>女</v>
      </c>
      <c r="F504" s="7" t="s">
        <v>517</v>
      </c>
      <c r="G504" s="7" t="s">
        <v>12</v>
      </c>
      <c r="H504" s="7"/>
    </row>
    <row r="505" s="3" customFormat="1" ht="14.25" customHeight="1" spans="1:8">
      <c r="A505" s="7">
        <v>502</v>
      </c>
      <c r="B505" s="7" t="str">
        <f>"114020200401223043160070"</f>
        <v>114020200401223043160070</v>
      </c>
      <c r="C505" s="7" t="s">
        <v>424</v>
      </c>
      <c r="D505" s="7" t="str">
        <f>"符陈娇"</f>
        <v>符陈娇</v>
      </c>
      <c r="E505" s="7" t="str">
        <f t="shared" si="49"/>
        <v>女</v>
      </c>
      <c r="F505" s="7" t="s">
        <v>518</v>
      </c>
      <c r="G505" s="7" t="s">
        <v>12</v>
      </c>
      <c r="H505" s="7"/>
    </row>
    <row r="506" s="3" customFormat="1" ht="14.25" customHeight="1" spans="1:8">
      <c r="A506" s="7">
        <v>503</v>
      </c>
      <c r="B506" s="7" t="str">
        <f>"114020200401223147160071"</f>
        <v>114020200401223147160071</v>
      </c>
      <c r="C506" s="7" t="s">
        <v>424</v>
      </c>
      <c r="D506" s="7" t="str">
        <f>"徐虹翡"</f>
        <v>徐虹翡</v>
      </c>
      <c r="E506" s="7" t="str">
        <f t="shared" si="49"/>
        <v>女</v>
      </c>
      <c r="F506" s="7" t="s">
        <v>519</v>
      </c>
      <c r="G506" s="7" t="s">
        <v>12</v>
      </c>
      <c r="H506" s="7"/>
    </row>
    <row r="507" s="3" customFormat="1" ht="14.25" customHeight="1" spans="1:8">
      <c r="A507" s="7">
        <v>504</v>
      </c>
      <c r="B507" s="7" t="str">
        <f>"114020200402130816160168"</f>
        <v>114020200402130816160168</v>
      </c>
      <c r="C507" s="7" t="s">
        <v>424</v>
      </c>
      <c r="D507" s="7" t="str">
        <f>"何振柳"</f>
        <v>何振柳</v>
      </c>
      <c r="E507" s="7" t="str">
        <f t="shared" si="49"/>
        <v>女</v>
      </c>
      <c r="F507" s="7" t="s">
        <v>520</v>
      </c>
      <c r="G507" s="7" t="s">
        <v>12</v>
      </c>
      <c r="H507" s="7"/>
    </row>
    <row r="508" s="3" customFormat="1" ht="14.25" customHeight="1" spans="1:8">
      <c r="A508" s="7">
        <v>505</v>
      </c>
      <c r="B508" s="7" t="str">
        <f>"114020200402180306160265"</f>
        <v>114020200402180306160265</v>
      </c>
      <c r="C508" s="7" t="s">
        <v>424</v>
      </c>
      <c r="D508" s="7" t="str">
        <f>"符瑞羽"</f>
        <v>符瑞羽</v>
      </c>
      <c r="E508" s="7" t="str">
        <f t="shared" si="49"/>
        <v>女</v>
      </c>
      <c r="F508" s="7" t="s">
        <v>521</v>
      </c>
      <c r="G508" s="7" t="s">
        <v>12</v>
      </c>
      <c r="H508" s="7"/>
    </row>
    <row r="509" s="3" customFormat="1" ht="14.25" customHeight="1" spans="1:8">
      <c r="A509" s="7">
        <v>506</v>
      </c>
      <c r="B509" s="7" t="str">
        <f>"114020200403090435160373"</f>
        <v>114020200403090435160373</v>
      </c>
      <c r="C509" s="7" t="s">
        <v>424</v>
      </c>
      <c r="D509" s="7" t="str">
        <f>"谢正杏"</f>
        <v>谢正杏</v>
      </c>
      <c r="E509" s="7" t="str">
        <f t="shared" si="49"/>
        <v>女</v>
      </c>
      <c r="F509" s="7" t="s">
        <v>522</v>
      </c>
      <c r="G509" s="7" t="s">
        <v>12</v>
      </c>
      <c r="H509" s="7"/>
    </row>
    <row r="510" s="3" customFormat="1" ht="14.25" customHeight="1" spans="1:8">
      <c r="A510" s="7">
        <v>507</v>
      </c>
      <c r="B510" s="7" t="str">
        <f>"114020200403151347160479"</f>
        <v>114020200403151347160479</v>
      </c>
      <c r="C510" s="7" t="s">
        <v>424</v>
      </c>
      <c r="D510" s="7" t="str">
        <f>"符翠"</f>
        <v>符翠</v>
      </c>
      <c r="E510" s="7" t="str">
        <f t="shared" si="49"/>
        <v>女</v>
      </c>
      <c r="F510" s="7" t="s">
        <v>523</v>
      </c>
      <c r="G510" s="7" t="s">
        <v>12</v>
      </c>
      <c r="H510" s="7"/>
    </row>
    <row r="511" s="3" customFormat="1" ht="14.25" customHeight="1" spans="1:8">
      <c r="A511" s="7">
        <v>508</v>
      </c>
      <c r="B511" s="7" t="str">
        <f>"114020200403173901160515"</f>
        <v>114020200403173901160515</v>
      </c>
      <c r="C511" s="7" t="s">
        <v>424</v>
      </c>
      <c r="D511" s="7" t="str">
        <f>"王大君"</f>
        <v>王大君</v>
      </c>
      <c r="E511" s="7" t="str">
        <f>"男"</f>
        <v>男</v>
      </c>
      <c r="F511" s="7" t="s">
        <v>524</v>
      </c>
      <c r="G511" s="7" t="s">
        <v>12</v>
      </c>
      <c r="H511" s="7"/>
    </row>
    <row r="512" s="3" customFormat="1" ht="14.25" customHeight="1" spans="1:8">
      <c r="A512" s="7">
        <v>509</v>
      </c>
      <c r="B512" s="7" t="str">
        <f>"114020200403174336160518"</f>
        <v>114020200403174336160518</v>
      </c>
      <c r="C512" s="7" t="s">
        <v>424</v>
      </c>
      <c r="D512" s="7" t="str">
        <f>"林仙蕾"</f>
        <v>林仙蕾</v>
      </c>
      <c r="E512" s="7" t="str">
        <f t="shared" ref="E512:E516" si="50">"女"</f>
        <v>女</v>
      </c>
      <c r="F512" s="7" t="s">
        <v>525</v>
      </c>
      <c r="G512" s="7" t="s">
        <v>12</v>
      </c>
      <c r="H512" s="7"/>
    </row>
    <row r="513" s="3" customFormat="1" ht="14.25" customHeight="1" spans="1:8">
      <c r="A513" s="7">
        <v>510</v>
      </c>
      <c r="B513" s="7" t="str">
        <f>"114020200403184427160530"</f>
        <v>114020200403184427160530</v>
      </c>
      <c r="C513" s="7" t="s">
        <v>424</v>
      </c>
      <c r="D513" s="7" t="str">
        <f>"董丽涵"</f>
        <v>董丽涵</v>
      </c>
      <c r="E513" s="7" t="str">
        <f t="shared" si="50"/>
        <v>女</v>
      </c>
      <c r="F513" s="7" t="s">
        <v>526</v>
      </c>
      <c r="G513" s="7" t="s">
        <v>12</v>
      </c>
      <c r="H513" s="7"/>
    </row>
    <row r="514" s="3" customFormat="1" ht="14.25" customHeight="1" spans="1:8">
      <c r="A514" s="7">
        <v>511</v>
      </c>
      <c r="B514" s="7" t="str">
        <f>"114020200404183714160642"</f>
        <v>114020200404183714160642</v>
      </c>
      <c r="C514" s="7" t="s">
        <v>424</v>
      </c>
      <c r="D514" s="7" t="str">
        <f>"陈亚完"</f>
        <v>陈亚完</v>
      </c>
      <c r="E514" s="7" t="str">
        <f t="shared" si="50"/>
        <v>女</v>
      </c>
      <c r="F514" s="7" t="s">
        <v>527</v>
      </c>
      <c r="G514" s="7" t="s">
        <v>12</v>
      </c>
      <c r="H514" s="7"/>
    </row>
    <row r="515" s="3" customFormat="1" ht="14.25" customHeight="1" spans="1:8">
      <c r="A515" s="7">
        <v>512</v>
      </c>
      <c r="B515" s="7" t="str">
        <f>"114020200404213127160667"</f>
        <v>114020200404213127160667</v>
      </c>
      <c r="C515" s="7" t="s">
        <v>424</v>
      </c>
      <c r="D515" s="7" t="str">
        <f>"李强梅"</f>
        <v>李强梅</v>
      </c>
      <c r="E515" s="7" t="str">
        <f t="shared" si="50"/>
        <v>女</v>
      </c>
      <c r="F515" s="7" t="s">
        <v>528</v>
      </c>
      <c r="G515" s="7" t="s">
        <v>12</v>
      </c>
      <c r="H515" s="7"/>
    </row>
    <row r="516" s="3" customFormat="1" ht="14.25" customHeight="1" spans="1:8">
      <c r="A516" s="7">
        <v>513</v>
      </c>
      <c r="B516" s="7" t="str">
        <f>"114020200405002706160702"</f>
        <v>114020200405002706160702</v>
      </c>
      <c r="C516" s="7" t="s">
        <v>424</v>
      </c>
      <c r="D516" s="7" t="str">
        <f>"吉训玲"</f>
        <v>吉训玲</v>
      </c>
      <c r="E516" s="7" t="str">
        <f t="shared" si="50"/>
        <v>女</v>
      </c>
      <c r="F516" s="7" t="s">
        <v>529</v>
      </c>
      <c r="G516" s="7" t="s">
        <v>12</v>
      </c>
      <c r="H516" s="7"/>
    </row>
    <row r="517" s="3" customFormat="1" ht="14.25" customHeight="1" spans="1:8">
      <c r="A517" s="7">
        <v>514</v>
      </c>
      <c r="B517" s="7" t="str">
        <f>"114020200405111205160787"</f>
        <v>114020200405111205160787</v>
      </c>
      <c r="C517" s="7" t="s">
        <v>424</v>
      </c>
      <c r="D517" s="7" t="str">
        <f>"吴凌志"</f>
        <v>吴凌志</v>
      </c>
      <c r="E517" s="7" t="str">
        <f>"男"</f>
        <v>男</v>
      </c>
      <c r="F517" s="7" t="s">
        <v>530</v>
      </c>
      <c r="G517" s="7" t="s">
        <v>12</v>
      </c>
      <c r="H517" s="7"/>
    </row>
    <row r="518" s="3" customFormat="1" ht="14.25" customHeight="1" spans="1:8">
      <c r="A518" s="7">
        <v>515</v>
      </c>
      <c r="B518" s="7" t="str">
        <f>"114020200405173018160899"</f>
        <v>114020200405173018160899</v>
      </c>
      <c r="C518" s="7" t="s">
        <v>424</v>
      </c>
      <c r="D518" s="7" t="str">
        <f>"王文明"</f>
        <v>王文明</v>
      </c>
      <c r="E518" s="7" t="str">
        <f t="shared" ref="E518:E525" si="51">"女"</f>
        <v>女</v>
      </c>
      <c r="F518" s="7" t="s">
        <v>531</v>
      </c>
      <c r="G518" s="7" t="s">
        <v>12</v>
      </c>
      <c r="H518" s="7"/>
    </row>
    <row r="519" s="3" customFormat="1" ht="14.25" customHeight="1" spans="1:8">
      <c r="A519" s="7">
        <v>516</v>
      </c>
      <c r="B519" s="7" t="str">
        <f>"114020200405212852160989"</f>
        <v>114020200405212852160989</v>
      </c>
      <c r="C519" s="7" t="s">
        <v>424</v>
      </c>
      <c r="D519" s="7" t="str">
        <f>"丁在勇"</f>
        <v>丁在勇</v>
      </c>
      <c r="E519" s="7" t="str">
        <f>"男"</f>
        <v>男</v>
      </c>
      <c r="F519" s="7" t="s">
        <v>532</v>
      </c>
      <c r="G519" s="7" t="s">
        <v>12</v>
      </c>
      <c r="H519" s="7"/>
    </row>
    <row r="520" s="3" customFormat="1" ht="14.25" customHeight="1" spans="1:8">
      <c r="A520" s="7">
        <v>517</v>
      </c>
      <c r="B520" s="7" t="str">
        <f>"114020200405215026161004"</f>
        <v>114020200405215026161004</v>
      </c>
      <c r="C520" s="7" t="s">
        <v>424</v>
      </c>
      <c r="D520" s="7" t="str">
        <f>"黄梦婷"</f>
        <v>黄梦婷</v>
      </c>
      <c r="E520" s="7" t="str">
        <f t="shared" si="51"/>
        <v>女</v>
      </c>
      <c r="F520" s="7" t="s">
        <v>533</v>
      </c>
      <c r="G520" s="7" t="s">
        <v>12</v>
      </c>
      <c r="H520" s="7"/>
    </row>
    <row r="521" s="3" customFormat="1" ht="14.25" customHeight="1" spans="1:8">
      <c r="A521" s="7">
        <v>518</v>
      </c>
      <c r="B521" s="7" t="str">
        <f>"114020200405220634161012"</f>
        <v>114020200405220634161012</v>
      </c>
      <c r="C521" s="7" t="s">
        <v>424</v>
      </c>
      <c r="D521" s="7" t="str">
        <f>"吴丽婷"</f>
        <v>吴丽婷</v>
      </c>
      <c r="E521" s="7" t="str">
        <f t="shared" si="51"/>
        <v>女</v>
      </c>
      <c r="F521" s="7" t="s">
        <v>534</v>
      </c>
      <c r="G521" s="7" t="s">
        <v>12</v>
      </c>
      <c r="H521" s="7"/>
    </row>
    <row r="522" s="3" customFormat="1" ht="14.25" customHeight="1" spans="1:8">
      <c r="A522" s="7">
        <v>519</v>
      </c>
      <c r="B522" s="7" t="str">
        <f>"114020200405231155161028"</f>
        <v>114020200405231155161028</v>
      </c>
      <c r="C522" s="7" t="s">
        <v>424</v>
      </c>
      <c r="D522" s="7" t="str">
        <f>"刘雅然"</f>
        <v>刘雅然</v>
      </c>
      <c r="E522" s="7" t="str">
        <f t="shared" si="51"/>
        <v>女</v>
      </c>
      <c r="F522" s="7" t="s">
        <v>535</v>
      </c>
      <c r="G522" s="7" t="s">
        <v>12</v>
      </c>
      <c r="H522" s="7"/>
    </row>
    <row r="523" s="3" customFormat="1" ht="14.25" customHeight="1" spans="1:8">
      <c r="A523" s="7">
        <v>520</v>
      </c>
      <c r="B523" s="7" t="str">
        <f>"114020200405232945161033"</f>
        <v>114020200405232945161033</v>
      </c>
      <c r="C523" s="7" t="s">
        <v>424</v>
      </c>
      <c r="D523" s="7" t="str">
        <f>"林柳红"</f>
        <v>林柳红</v>
      </c>
      <c r="E523" s="7" t="str">
        <f t="shared" si="51"/>
        <v>女</v>
      </c>
      <c r="F523" s="7" t="s">
        <v>536</v>
      </c>
      <c r="G523" s="7" t="s">
        <v>12</v>
      </c>
      <c r="H523" s="7"/>
    </row>
    <row r="524" s="3" customFormat="1" ht="14.25" customHeight="1" spans="1:8">
      <c r="A524" s="7">
        <v>521</v>
      </c>
      <c r="B524" s="7" t="str">
        <f>"114020200406115102161178"</f>
        <v>114020200406115102161178</v>
      </c>
      <c r="C524" s="7" t="s">
        <v>424</v>
      </c>
      <c r="D524" s="7" t="str">
        <f>"王慧"</f>
        <v>王慧</v>
      </c>
      <c r="E524" s="7" t="str">
        <f t="shared" si="51"/>
        <v>女</v>
      </c>
      <c r="F524" s="7" t="s">
        <v>537</v>
      </c>
      <c r="G524" s="7" t="s">
        <v>12</v>
      </c>
      <c r="H524" s="7"/>
    </row>
    <row r="525" s="3" customFormat="1" ht="14.25" customHeight="1" spans="1:8">
      <c r="A525" s="7">
        <v>522</v>
      </c>
      <c r="B525" s="7" t="str">
        <f>"114020200328095825157268"</f>
        <v>114020200328095825157268</v>
      </c>
      <c r="C525" s="7" t="s">
        <v>538</v>
      </c>
      <c r="D525" s="7" t="str">
        <f>"陈够燕"</f>
        <v>陈够燕</v>
      </c>
      <c r="E525" s="7" t="str">
        <f t="shared" si="51"/>
        <v>女</v>
      </c>
      <c r="F525" s="7" t="s">
        <v>539</v>
      </c>
      <c r="G525" s="7" t="s">
        <v>12</v>
      </c>
      <c r="H525" s="7"/>
    </row>
    <row r="526" s="3" customFormat="1" ht="14.25" customHeight="1" spans="1:8">
      <c r="A526" s="7">
        <v>523</v>
      </c>
      <c r="B526" s="7" t="str">
        <f>"114020200328103927157374"</f>
        <v>114020200328103927157374</v>
      </c>
      <c r="C526" s="7" t="s">
        <v>538</v>
      </c>
      <c r="D526" s="7" t="str">
        <f>"郑森"</f>
        <v>郑森</v>
      </c>
      <c r="E526" s="7" t="str">
        <f>"男"</f>
        <v>男</v>
      </c>
      <c r="F526" s="7" t="s">
        <v>540</v>
      </c>
      <c r="G526" s="7" t="s">
        <v>12</v>
      </c>
      <c r="H526" s="7"/>
    </row>
    <row r="527" s="3" customFormat="1" ht="14.25" customHeight="1" spans="1:8">
      <c r="A527" s="7">
        <v>524</v>
      </c>
      <c r="B527" s="7" t="str">
        <f>"114020200328110632157433"</f>
        <v>114020200328110632157433</v>
      </c>
      <c r="C527" s="7" t="s">
        <v>538</v>
      </c>
      <c r="D527" s="7" t="str">
        <f>"张莹"</f>
        <v>张莹</v>
      </c>
      <c r="E527" s="7" t="str">
        <f t="shared" ref="E527:E532" si="52">"女"</f>
        <v>女</v>
      </c>
      <c r="F527" s="7" t="s">
        <v>541</v>
      </c>
      <c r="G527" s="7" t="s">
        <v>12</v>
      </c>
      <c r="H527" s="7"/>
    </row>
    <row r="528" s="3" customFormat="1" ht="14.25" customHeight="1" spans="1:8">
      <c r="A528" s="7">
        <v>525</v>
      </c>
      <c r="B528" s="7" t="str">
        <f>"114020200328112102157468"</f>
        <v>114020200328112102157468</v>
      </c>
      <c r="C528" s="7" t="s">
        <v>538</v>
      </c>
      <c r="D528" s="7" t="str">
        <f>"陈敏"</f>
        <v>陈敏</v>
      </c>
      <c r="E528" s="7" t="str">
        <f t="shared" si="52"/>
        <v>女</v>
      </c>
      <c r="F528" s="7" t="s">
        <v>542</v>
      </c>
      <c r="G528" s="7" t="s">
        <v>12</v>
      </c>
      <c r="H528" s="7"/>
    </row>
    <row r="529" s="3" customFormat="1" ht="14.25" customHeight="1" spans="1:8">
      <c r="A529" s="7">
        <v>526</v>
      </c>
      <c r="B529" s="7" t="str">
        <f>"114020200328114836157513"</f>
        <v>114020200328114836157513</v>
      </c>
      <c r="C529" s="7" t="s">
        <v>538</v>
      </c>
      <c r="D529" s="7" t="str">
        <f>"文凤"</f>
        <v>文凤</v>
      </c>
      <c r="E529" s="7" t="str">
        <f t="shared" si="52"/>
        <v>女</v>
      </c>
      <c r="F529" s="7" t="s">
        <v>543</v>
      </c>
      <c r="G529" s="7" t="s">
        <v>12</v>
      </c>
      <c r="H529" s="7"/>
    </row>
    <row r="530" s="3" customFormat="1" ht="14.25" customHeight="1" spans="1:8">
      <c r="A530" s="7">
        <v>527</v>
      </c>
      <c r="B530" s="7" t="str">
        <f>"114020200328123318157597"</f>
        <v>114020200328123318157597</v>
      </c>
      <c r="C530" s="7" t="s">
        <v>538</v>
      </c>
      <c r="D530" s="7" t="str">
        <f>"潘倩纱"</f>
        <v>潘倩纱</v>
      </c>
      <c r="E530" s="7" t="str">
        <f t="shared" si="52"/>
        <v>女</v>
      </c>
      <c r="F530" s="7" t="s">
        <v>544</v>
      </c>
      <c r="G530" s="7" t="s">
        <v>12</v>
      </c>
      <c r="H530" s="7"/>
    </row>
    <row r="531" s="3" customFormat="1" ht="14.25" customHeight="1" spans="1:8">
      <c r="A531" s="7">
        <v>528</v>
      </c>
      <c r="B531" s="7" t="str">
        <f>"114020200328132845157681"</f>
        <v>114020200328132845157681</v>
      </c>
      <c r="C531" s="7" t="s">
        <v>538</v>
      </c>
      <c r="D531" s="7" t="str">
        <f>"方铝玲"</f>
        <v>方铝玲</v>
      </c>
      <c r="E531" s="7" t="str">
        <f t="shared" si="52"/>
        <v>女</v>
      </c>
      <c r="F531" s="7" t="s">
        <v>545</v>
      </c>
      <c r="G531" s="7" t="s">
        <v>12</v>
      </c>
      <c r="H531" s="7"/>
    </row>
    <row r="532" s="3" customFormat="1" ht="14.25" customHeight="1" spans="1:8">
      <c r="A532" s="7">
        <v>529</v>
      </c>
      <c r="B532" s="7" t="str">
        <f>"114020200328134503157705"</f>
        <v>114020200328134503157705</v>
      </c>
      <c r="C532" s="7" t="s">
        <v>538</v>
      </c>
      <c r="D532" s="7" t="str">
        <f>"麦桑桑"</f>
        <v>麦桑桑</v>
      </c>
      <c r="E532" s="7" t="str">
        <f t="shared" si="52"/>
        <v>女</v>
      </c>
      <c r="F532" s="7" t="s">
        <v>546</v>
      </c>
      <c r="G532" s="7" t="s">
        <v>12</v>
      </c>
      <c r="H532" s="7"/>
    </row>
    <row r="533" s="3" customFormat="1" ht="14.25" customHeight="1" spans="1:8">
      <c r="A533" s="7">
        <v>530</v>
      </c>
      <c r="B533" s="7" t="str">
        <f>"114020200328135530157716"</f>
        <v>114020200328135530157716</v>
      </c>
      <c r="C533" s="7" t="s">
        <v>538</v>
      </c>
      <c r="D533" s="7" t="str">
        <f>"陆有龙"</f>
        <v>陆有龙</v>
      </c>
      <c r="E533" s="7" t="str">
        <f t="shared" ref="E533:E537" si="53">"男"</f>
        <v>男</v>
      </c>
      <c r="F533" s="7" t="s">
        <v>547</v>
      </c>
      <c r="G533" s="7" t="s">
        <v>12</v>
      </c>
      <c r="H533" s="7"/>
    </row>
    <row r="534" s="3" customFormat="1" ht="14.25" customHeight="1" spans="1:8">
      <c r="A534" s="7">
        <v>531</v>
      </c>
      <c r="B534" s="7" t="str">
        <f>"114020200328160008157832"</f>
        <v>114020200328160008157832</v>
      </c>
      <c r="C534" s="7" t="s">
        <v>538</v>
      </c>
      <c r="D534" s="7" t="str">
        <f>"王雪慧"</f>
        <v>王雪慧</v>
      </c>
      <c r="E534" s="7" t="str">
        <f t="shared" ref="E534:E541" si="54">"女"</f>
        <v>女</v>
      </c>
      <c r="F534" s="7" t="s">
        <v>548</v>
      </c>
      <c r="G534" s="7" t="s">
        <v>12</v>
      </c>
      <c r="H534" s="7"/>
    </row>
    <row r="535" s="3" customFormat="1" ht="14.25" customHeight="1" spans="1:8">
      <c r="A535" s="7">
        <v>532</v>
      </c>
      <c r="B535" s="7" t="str">
        <f>"114020200328162333157853"</f>
        <v>114020200328162333157853</v>
      </c>
      <c r="C535" s="7" t="s">
        <v>538</v>
      </c>
      <c r="D535" s="7" t="str">
        <f>"冯译"</f>
        <v>冯译</v>
      </c>
      <c r="E535" s="7" t="str">
        <f t="shared" si="53"/>
        <v>男</v>
      </c>
      <c r="F535" s="7" t="s">
        <v>549</v>
      </c>
      <c r="G535" s="7" t="s">
        <v>12</v>
      </c>
      <c r="H535" s="7"/>
    </row>
    <row r="536" s="3" customFormat="1" ht="14.25" customHeight="1" spans="1:8">
      <c r="A536" s="7">
        <v>533</v>
      </c>
      <c r="B536" s="7" t="str">
        <f>"114020200328171535157906"</f>
        <v>114020200328171535157906</v>
      </c>
      <c r="C536" s="7" t="s">
        <v>538</v>
      </c>
      <c r="D536" s="7" t="str">
        <f>"陈秋霞"</f>
        <v>陈秋霞</v>
      </c>
      <c r="E536" s="7" t="str">
        <f t="shared" si="54"/>
        <v>女</v>
      </c>
      <c r="F536" s="7" t="s">
        <v>550</v>
      </c>
      <c r="G536" s="7" t="s">
        <v>12</v>
      </c>
      <c r="H536" s="7"/>
    </row>
    <row r="537" s="3" customFormat="1" ht="14.25" customHeight="1" spans="1:8">
      <c r="A537" s="7">
        <v>534</v>
      </c>
      <c r="B537" s="7" t="str">
        <f>"114020200328201208158034"</f>
        <v>114020200328201208158034</v>
      </c>
      <c r="C537" s="7" t="s">
        <v>538</v>
      </c>
      <c r="D537" s="7" t="str">
        <f>"赵光隆"</f>
        <v>赵光隆</v>
      </c>
      <c r="E537" s="7" t="str">
        <f t="shared" si="53"/>
        <v>男</v>
      </c>
      <c r="F537" s="7" t="s">
        <v>551</v>
      </c>
      <c r="G537" s="7" t="s">
        <v>12</v>
      </c>
      <c r="H537" s="7"/>
    </row>
    <row r="538" s="3" customFormat="1" ht="14.25" customHeight="1" spans="1:8">
      <c r="A538" s="7">
        <v>535</v>
      </c>
      <c r="B538" s="7" t="str">
        <f>"114020200328205811158067"</f>
        <v>114020200328205811158067</v>
      </c>
      <c r="C538" s="7" t="s">
        <v>538</v>
      </c>
      <c r="D538" s="7" t="str">
        <f>"陈文娇"</f>
        <v>陈文娇</v>
      </c>
      <c r="E538" s="7" t="str">
        <f t="shared" si="54"/>
        <v>女</v>
      </c>
      <c r="F538" s="7" t="s">
        <v>552</v>
      </c>
      <c r="G538" s="7" t="s">
        <v>12</v>
      </c>
      <c r="H538" s="7"/>
    </row>
    <row r="539" s="3" customFormat="1" ht="14.25" customHeight="1" spans="1:8">
      <c r="A539" s="7">
        <v>536</v>
      </c>
      <c r="B539" s="7" t="str">
        <f>"114020200329011855158190"</f>
        <v>114020200329011855158190</v>
      </c>
      <c r="C539" s="7" t="s">
        <v>538</v>
      </c>
      <c r="D539" s="7" t="str">
        <f>"钟惠"</f>
        <v>钟惠</v>
      </c>
      <c r="E539" s="7" t="str">
        <f t="shared" si="54"/>
        <v>女</v>
      </c>
      <c r="F539" s="7" t="s">
        <v>553</v>
      </c>
      <c r="G539" s="7" t="s">
        <v>12</v>
      </c>
      <c r="H539" s="7"/>
    </row>
    <row r="540" s="3" customFormat="1" ht="14.25" customHeight="1" spans="1:8">
      <c r="A540" s="7">
        <v>537</v>
      </c>
      <c r="B540" s="7" t="str">
        <f>"114020200329103527158277"</f>
        <v>114020200329103527158277</v>
      </c>
      <c r="C540" s="7" t="s">
        <v>538</v>
      </c>
      <c r="D540" s="7" t="str">
        <f>"文海婷"</f>
        <v>文海婷</v>
      </c>
      <c r="E540" s="7" t="str">
        <f t="shared" si="54"/>
        <v>女</v>
      </c>
      <c r="F540" s="7" t="s">
        <v>554</v>
      </c>
      <c r="G540" s="7" t="s">
        <v>12</v>
      </c>
      <c r="H540" s="7"/>
    </row>
    <row r="541" s="3" customFormat="1" ht="14.25" customHeight="1" spans="1:8">
      <c r="A541" s="7">
        <v>538</v>
      </c>
      <c r="B541" s="7" t="str">
        <f>"114020200329162206158487"</f>
        <v>114020200329162206158487</v>
      </c>
      <c r="C541" s="7" t="s">
        <v>538</v>
      </c>
      <c r="D541" s="7" t="str">
        <f>"李秋萍"</f>
        <v>李秋萍</v>
      </c>
      <c r="E541" s="7" t="str">
        <f t="shared" si="54"/>
        <v>女</v>
      </c>
      <c r="F541" s="7" t="s">
        <v>555</v>
      </c>
      <c r="G541" s="7" t="s">
        <v>12</v>
      </c>
      <c r="H541" s="7"/>
    </row>
    <row r="542" s="3" customFormat="1" ht="14.25" customHeight="1" spans="1:8">
      <c r="A542" s="7">
        <v>539</v>
      </c>
      <c r="B542" s="7" t="str">
        <f>"114020200329170524158513"</f>
        <v>114020200329170524158513</v>
      </c>
      <c r="C542" s="7" t="s">
        <v>538</v>
      </c>
      <c r="D542" s="7" t="str">
        <f>"周臣"</f>
        <v>周臣</v>
      </c>
      <c r="E542" s="7" t="str">
        <f>"男"</f>
        <v>男</v>
      </c>
      <c r="F542" s="7" t="s">
        <v>556</v>
      </c>
      <c r="G542" s="7" t="s">
        <v>12</v>
      </c>
      <c r="H542" s="7"/>
    </row>
    <row r="543" s="3" customFormat="1" ht="14.25" customHeight="1" spans="1:8">
      <c r="A543" s="7">
        <v>540</v>
      </c>
      <c r="B543" s="7" t="str">
        <f>"114020200329194018158594"</f>
        <v>114020200329194018158594</v>
      </c>
      <c r="C543" s="7" t="s">
        <v>538</v>
      </c>
      <c r="D543" s="7" t="str">
        <f>"李智芳"</f>
        <v>李智芳</v>
      </c>
      <c r="E543" s="7" t="str">
        <f t="shared" ref="E543:E572" si="55">"女"</f>
        <v>女</v>
      </c>
      <c r="F543" s="7" t="s">
        <v>557</v>
      </c>
      <c r="G543" s="7" t="s">
        <v>12</v>
      </c>
      <c r="H543" s="7"/>
    </row>
    <row r="544" s="3" customFormat="1" ht="14.25" customHeight="1" spans="1:8">
      <c r="A544" s="7">
        <v>541</v>
      </c>
      <c r="B544" s="7" t="str">
        <f>"114020200329213810158675"</f>
        <v>114020200329213810158675</v>
      </c>
      <c r="C544" s="7" t="s">
        <v>538</v>
      </c>
      <c r="D544" s="7" t="str">
        <f>"许毅光"</f>
        <v>许毅光</v>
      </c>
      <c r="E544" s="7" t="str">
        <f>"男"</f>
        <v>男</v>
      </c>
      <c r="F544" s="7" t="s">
        <v>558</v>
      </c>
      <c r="G544" s="7" t="s">
        <v>12</v>
      </c>
      <c r="H544" s="7"/>
    </row>
    <row r="545" s="3" customFormat="1" ht="14.25" customHeight="1" spans="1:8">
      <c r="A545" s="7">
        <v>542</v>
      </c>
      <c r="B545" s="7" t="str">
        <f>"114020200329222514158703"</f>
        <v>114020200329222514158703</v>
      </c>
      <c r="C545" s="7" t="s">
        <v>538</v>
      </c>
      <c r="D545" s="7" t="str">
        <f>"粟敏"</f>
        <v>粟敏</v>
      </c>
      <c r="E545" s="7" t="str">
        <f t="shared" si="55"/>
        <v>女</v>
      </c>
      <c r="F545" s="7" t="s">
        <v>559</v>
      </c>
      <c r="G545" s="7" t="s">
        <v>12</v>
      </c>
      <c r="H545" s="7"/>
    </row>
    <row r="546" s="3" customFormat="1" ht="14.25" customHeight="1" spans="1:8">
      <c r="A546" s="7">
        <v>543</v>
      </c>
      <c r="B546" s="7" t="str">
        <f>"114020200329232256158736"</f>
        <v>114020200329232256158736</v>
      </c>
      <c r="C546" s="7" t="s">
        <v>538</v>
      </c>
      <c r="D546" s="7" t="str">
        <f>"陈贤娃"</f>
        <v>陈贤娃</v>
      </c>
      <c r="E546" s="7" t="str">
        <f t="shared" si="55"/>
        <v>女</v>
      </c>
      <c r="F546" s="7" t="s">
        <v>560</v>
      </c>
      <c r="G546" s="7" t="s">
        <v>12</v>
      </c>
      <c r="H546" s="7"/>
    </row>
    <row r="547" s="3" customFormat="1" ht="14.25" customHeight="1" spans="1:8">
      <c r="A547" s="7">
        <v>544</v>
      </c>
      <c r="B547" s="7" t="str">
        <f>"114020200329233129158738"</f>
        <v>114020200329233129158738</v>
      </c>
      <c r="C547" s="7" t="s">
        <v>538</v>
      </c>
      <c r="D547" s="7" t="str">
        <f>"邵小萍"</f>
        <v>邵小萍</v>
      </c>
      <c r="E547" s="7" t="str">
        <f t="shared" si="55"/>
        <v>女</v>
      </c>
      <c r="F547" s="7" t="s">
        <v>561</v>
      </c>
      <c r="G547" s="7" t="s">
        <v>12</v>
      </c>
      <c r="H547" s="7"/>
    </row>
    <row r="548" s="3" customFormat="1" ht="14.25" customHeight="1" spans="1:8">
      <c r="A548" s="7">
        <v>545</v>
      </c>
      <c r="B548" s="7" t="str">
        <f>"114020200329235002158744"</f>
        <v>114020200329235002158744</v>
      </c>
      <c r="C548" s="7" t="s">
        <v>538</v>
      </c>
      <c r="D548" s="7" t="str">
        <f>"郑青见"</f>
        <v>郑青见</v>
      </c>
      <c r="E548" s="7" t="str">
        <f t="shared" si="55"/>
        <v>女</v>
      </c>
      <c r="F548" s="7" t="s">
        <v>562</v>
      </c>
      <c r="G548" s="7" t="s">
        <v>12</v>
      </c>
      <c r="H548" s="7"/>
    </row>
    <row r="549" s="3" customFormat="1" ht="14.25" customHeight="1" spans="1:8">
      <c r="A549" s="7">
        <v>546</v>
      </c>
      <c r="B549" s="7" t="str">
        <f>"114020200330093706158817"</f>
        <v>114020200330093706158817</v>
      </c>
      <c r="C549" s="7" t="s">
        <v>538</v>
      </c>
      <c r="D549" s="7" t="str">
        <f>"王妍晶"</f>
        <v>王妍晶</v>
      </c>
      <c r="E549" s="7" t="str">
        <f t="shared" si="55"/>
        <v>女</v>
      </c>
      <c r="F549" s="7" t="s">
        <v>563</v>
      </c>
      <c r="G549" s="7" t="s">
        <v>12</v>
      </c>
      <c r="H549" s="7"/>
    </row>
    <row r="550" s="3" customFormat="1" ht="14.25" customHeight="1" spans="1:8">
      <c r="A550" s="7">
        <v>547</v>
      </c>
      <c r="B550" s="7" t="str">
        <f>"114020200330115008158953"</f>
        <v>114020200330115008158953</v>
      </c>
      <c r="C550" s="7" t="s">
        <v>538</v>
      </c>
      <c r="D550" s="7" t="str">
        <f>"林真凡"</f>
        <v>林真凡</v>
      </c>
      <c r="E550" s="7" t="str">
        <f t="shared" si="55"/>
        <v>女</v>
      </c>
      <c r="F550" s="7" t="s">
        <v>564</v>
      </c>
      <c r="G550" s="7" t="s">
        <v>12</v>
      </c>
      <c r="H550" s="7"/>
    </row>
    <row r="551" s="3" customFormat="1" ht="14.25" customHeight="1" spans="1:8">
      <c r="A551" s="7">
        <v>548</v>
      </c>
      <c r="B551" s="7" t="str">
        <f>"114020200330144956159062"</f>
        <v>114020200330144956159062</v>
      </c>
      <c r="C551" s="7" t="s">
        <v>538</v>
      </c>
      <c r="D551" s="7" t="str">
        <f>"赵慧慧"</f>
        <v>赵慧慧</v>
      </c>
      <c r="E551" s="7" t="str">
        <f t="shared" si="55"/>
        <v>女</v>
      </c>
      <c r="F551" s="7" t="s">
        <v>565</v>
      </c>
      <c r="G551" s="7" t="s">
        <v>12</v>
      </c>
      <c r="H551" s="7"/>
    </row>
    <row r="552" s="3" customFormat="1" ht="14.25" customHeight="1" spans="1:8">
      <c r="A552" s="7">
        <v>549</v>
      </c>
      <c r="B552" s="7" t="str">
        <f>"114020200330202409159251"</f>
        <v>114020200330202409159251</v>
      </c>
      <c r="C552" s="7" t="s">
        <v>538</v>
      </c>
      <c r="D552" s="7" t="str">
        <f>"林榕瑜"</f>
        <v>林榕瑜</v>
      </c>
      <c r="E552" s="7" t="str">
        <f t="shared" si="55"/>
        <v>女</v>
      </c>
      <c r="F552" s="7" t="s">
        <v>566</v>
      </c>
      <c r="G552" s="7" t="s">
        <v>12</v>
      </c>
      <c r="H552" s="7"/>
    </row>
    <row r="553" s="3" customFormat="1" ht="14.25" customHeight="1" spans="1:8">
      <c r="A553" s="7">
        <v>550</v>
      </c>
      <c r="B553" s="7" t="str">
        <f>"114020200330221224159311"</f>
        <v>114020200330221224159311</v>
      </c>
      <c r="C553" s="7" t="s">
        <v>538</v>
      </c>
      <c r="D553" s="7" t="str">
        <f>"石琼舅"</f>
        <v>石琼舅</v>
      </c>
      <c r="E553" s="7" t="str">
        <f t="shared" si="55"/>
        <v>女</v>
      </c>
      <c r="F553" s="7" t="s">
        <v>567</v>
      </c>
      <c r="G553" s="7" t="s">
        <v>12</v>
      </c>
      <c r="H553" s="7"/>
    </row>
    <row r="554" s="3" customFormat="1" ht="14.25" customHeight="1" spans="1:8">
      <c r="A554" s="7">
        <v>551</v>
      </c>
      <c r="B554" s="7" t="str">
        <f>"114020200330224616159336"</f>
        <v>114020200330224616159336</v>
      </c>
      <c r="C554" s="7" t="s">
        <v>538</v>
      </c>
      <c r="D554" s="7" t="str">
        <f>"薛婆保"</f>
        <v>薛婆保</v>
      </c>
      <c r="E554" s="7" t="str">
        <f t="shared" si="55"/>
        <v>女</v>
      </c>
      <c r="F554" s="7" t="s">
        <v>568</v>
      </c>
      <c r="G554" s="7" t="s">
        <v>12</v>
      </c>
      <c r="H554" s="7"/>
    </row>
    <row r="555" s="3" customFormat="1" ht="14.25" customHeight="1" spans="1:8">
      <c r="A555" s="7">
        <v>552</v>
      </c>
      <c r="B555" s="7" t="str">
        <f>"114020200330225626159338"</f>
        <v>114020200330225626159338</v>
      </c>
      <c r="C555" s="7" t="s">
        <v>538</v>
      </c>
      <c r="D555" s="7" t="str">
        <f>"黎日燕"</f>
        <v>黎日燕</v>
      </c>
      <c r="E555" s="7" t="str">
        <f t="shared" si="55"/>
        <v>女</v>
      </c>
      <c r="F555" s="7" t="s">
        <v>569</v>
      </c>
      <c r="G555" s="7" t="s">
        <v>12</v>
      </c>
      <c r="H555" s="7"/>
    </row>
    <row r="556" s="3" customFormat="1" ht="14.25" customHeight="1" spans="1:8">
      <c r="A556" s="7">
        <v>553</v>
      </c>
      <c r="B556" s="7" t="str">
        <f>"114020200331123307159477"</f>
        <v>114020200331123307159477</v>
      </c>
      <c r="C556" s="7" t="s">
        <v>538</v>
      </c>
      <c r="D556" s="7" t="str">
        <f>"蔡彩玲"</f>
        <v>蔡彩玲</v>
      </c>
      <c r="E556" s="7" t="str">
        <f t="shared" si="55"/>
        <v>女</v>
      </c>
      <c r="F556" s="7" t="s">
        <v>570</v>
      </c>
      <c r="G556" s="7" t="s">
        <v>12</v>
      </c>
      <c r="H556" s="7"/>
    </row>
    <row r="557" s="3" customFormat="1" ht="14.25" customHeight="1" spans="1:8">
      <c r="A557" s="7">
        <v>554</v>
      </c>
      <c r="B557" s="7" t="str">
        <f>"114020200331135530159519"</f>
        <v>114020200331135530159519</v>
      </c>
      <c r="C557" s="7" t="s">
        <v>538</v>
      </c>
      <c r="D557" s="7" t="str">
        <f>"林小红"</f>
        <v>林小红</v>
      </c>
      <c r="E557" s="7" t="str">
        <f t="shared" si="55"/>
        <v>女</v>
      </c>
      <c r="F557" s="7" t="s">
        <v>208</v>
      </c>
      <c r="G557" s="7" t="s">
        <v>12</v>
      </c>
      <c r="H557" s="7"/>
    </row>
    <row r="558" s="3" customFormat="1" ht="14.25" customHeight="1" spans="1:8">
      <c r="A558" s="7">
        <v>555</v>
      </c>
      <c r="B558" s="7" t="str">
        <f>"114020200331145557159548"</f>
        <v>114020200331145557159548</v>
      </c>
      <c r="C558" s="7" t="s">
        <v>538</v>
      </c>
      <c r="D558" s="7" t="str">
        <f>"吴婉依"</f>
        <v>吴婉依</v>
      </c>
      <c r="E558" s="7" t="str">
        <f t="shared" si="55"/>
        <v>女</v>
      </c>
      <c r="F558" s="7" t="s">
        <v>571</v>
      </c>
      <c r="G558" s="7" t="s">
        <v>12</v>
      </c>
      <c r="H558" s="7"/>
    </row>
    <row r="559" s="3" customFormat="1" ht="14.25" customHeight="1" spans="1:8">
      <c r="A559" s="7">
        <v>556</v>
      </c>
      <c r="B559" s="7" t="str">
        <f>"114020200331215320159704"</f>
        <v>114020200331215320159704</v>
      </c>
      <c r="C559" s="7" t="s">
        <v>538</v>
      </c>
      <c r="D559" s="7" t="str">
        <f>"陈桂来"</f>
        <v>陈桂来</v>
      </c>
      <c r="E559" s="7" t="str">
        <f t="shared" si="55"/>
        <v>女</v>
      </c>
      <c r="F559" s="7" t="s">
        <v>572</v>
      </c>
      <c r="G559" s="7" t="s">
        <v>12</v>
      </c>
      <c r="H559" s="7"/>
    </row>
    <row r="560" s="3" customFormat="1" ht="14.25" customHeight="1" spans="1:8">
      <c r="A560" s="7">
        <v>557</v>
      </c>
      <c r="B560" s="7" t="str">
        <f>"114020200401110221159796"</f>
        <v>114020200401110221159796</v>
      </c>
      <c r="C560" s="7" t="s">
        <v>538</v>
      </c>
      <c r="D560" s="7" t="str">
        <f>"赵明霞"</f>
        <v>赵明霞</v>
      </c>
      <c r="E560" s="7" t="str">
        <f t="shared" si="55"/>
        <v>女</v>
      </c>
      <c r="F560" s="7" t="s">
        <v>573</v>
      </c>
      <c r="G560" s="7" t="s">
        <v>12</v>
      </c>
      <c r="H560" s="7"/>
    </row>
    <row r="561" s="3" customFormat="1" ht="14.25" customHeight="1" spans="1:8">
      <c r="A561" s="7">
        <v>558</v>
      </c>
      <c r="B561" s="7" t="str">
        <f>"114020200401123309159838"</f>
        <v>114020200401123309159838</v>
      </c>
      <c r="C561" s="7" t="s">
        <v>538</v>
      </c>
      <c r="D561" s="7" t="str">
        <f>"周晶晶"</f>
        <v>周晶晶</v>
      </c>
      <c r="E561" s="7" t="str">
        <f t="shared" si="55"/>
        <v>女</v>
      </c>
      <c r="F561" s="7" t="s">
        <v>574</v>
      </c>
      <c r="G561" s="7" t="s">
        <v>12</v>
      </c>
      <c r="H561" s="7"/>
    </row>
    <row r="562" s="3" customFormat="1" ht="14.25" customHeight="1" spans="1:8">
      <c r="A562" s="7">
        <v>559</v>
      </c>
      <c r="B562" s="7" t="str">
        <f>"114020200401135237159858"</f>
        <v>114020200401135237159858</v>
      </c>
      <c r="C562" s="7" t="s">
        <v>538</v>
      </c>
      <c r="D562" s="7" t="str">
        <f>"符冬梅"</f>
        <v>符冬梅</v>
      </c>
      <c r="E562" s="7" t="str">
        <f t="shared" si="55"/>
        <v>女</v>
      </c>
      <c r="F562" s="7" t="s">
        <v>575</v>
      </c>
      <c r="G562" s="7" t="s">
        <v>12</v>
      </c>
      <c r="H562" s="7"/>
    </row>
    <row r="563" s="3" customFormat="1" ht="14.25" customHeight="1" spans="1:8">
      <c r="A563" s="7">
        <v>560</v>
      </c>
      <c r="B563" s="7" t="str">
        <f>"114020200401212104160041"</f>
        <v>114020200401212104160041</v>
      </c>
      <c r="C563" s="7" t="s">
        <v>538</v>
      </c>
      <c r="D563" s="7" t="str">
        <f>"何秋兰"</f>
        <v>何秋兰</v>
      </c>
      <c r="E563" s="7" t="str">
        <f t="shared" si="55"/>
        <v>女</v>
      </c>
      <c r="F563" s="7" t="s">
        <v>576</v>
      </c>
      <c r="G563" s="7" t="s">
        <v>12</v>
      </c>
      <c r="H563" s="7"/>
    </row>
    <row r="564" s="3" customFormat="1" ht="14.25" customHeight="1" spans="1:8">
      <c r="A564" s="7">
        <v>561</v>
      </c>
      <c r="B564" s="7" t="str">
        <f>"114020200402152914160202"</f>
        <v>114020200402152914160202</v>
      </c>
      <c r="C564" s="7" t="s">
        <v>538</v>
      </c>
      <c r="D564" s="7" t="str">
        <f>"陈小桥"</f>
        <v>陈小桥</v>
      </c>
      <c r="E564" s="7" t="str">
        <f t="shared" si="55"/>
        <v>女</v>
      </c>
      <c r="F564" s="7" t="s">
        <v>577</v>
      </c>
      <c r="G564" s="7" t="s">
        <v>12</v>
      </c>
      <c r="H564" s="7"/>
    </row>
    <row r="565" s="3" customFormat="1" ht="14.25" customHeight="1" spans="1:8">
      <c r="A565" s="7">
        <v>562</v>
      </c>
      <c r="B565" s="7" t="str">
        <f>"114020200403120257160431"</f>
        <v>114020200403120257160431</v>
      </c>
      <c r="C565" s="7" t="s">
        <v>538</v>
      </c>
      <c r="D565" s="7" t="str">
        <f>"林婧娇"</f>
        <v>林婧娇</v>
      </c>
      <c r="E565" s="7" t="str">
        <f t="shared" si="55"/>
        <v>女</v>
      </c>
      <c r="F565" s="7" t="s">
        <v>578</v>
      </c>
      <c r="G565" s="7" t="s">
        <v>12</v>
      </c>
      <c r="H565" s="7"/>
    </row>
    <row r="566" s="3" customFormat="1" ht="14.25" customHeight="1" spans="1:8">
      <c r="A566" s="7">
        <v>563</v>
      </c>
      <c r="B566" s="7" t="str">
        <f>"114020200403183338160529"</f>
        <v>114020200403183338160529</v>
      </c>
      <c r="C566" s="7" t="s">
        <v>538</v>
      </c>
      <c r="D566" s="7" t="str">
        <f>"郑玉"</f>
        <v>郑玉</v>
      </c>
      <c r="E566" s="7" t="str">
        <f t="shared" si="55"/>
        <v>女</v>
      </c>
      <c r="F566" s="7" t="s">
        <v>579</v>
      </c>
      <c r="G566" s="7" t="s">
        <v>12</v>
      </c>
      <c r="H566" s="7"/>
    </row>
    <row r="567" s="3" customFormat="1" ht="14.25" customHeight="1" spans="1:8">
      <c r="A567" s="7">
        <v>564</v>
      </c>
      <c r="B567" s="7" t="str">
        <f>"114020200404150015160619"</f>
        <v>114020200404150015160619</v>
      </c>
      <c r="C567" s="7" t="s">
        <v>538</v>
      </c>
      <c r="D567" s="7" t="str">
        <f>"何惠芬"</f>
        <v>何惠芬</v>
      </c>
      <c r="E567" s="7" t="str">
        <f t="shared" si="55"/>
        <v>女</v>
      </c>
      <c r="F567" s="7" t="s">
        <v>580</v>
      </c>
      <c r="G567" s="7" t="s">
        <v>12</v>
      </c>
      <c r="H567" s="7"/>
    </row>
    <row r="568" s="3" customFormat="1" ht="14.25" customHeight="1" spans="1:8">
      <c r="A568" s="7">
        <v>565</v>
      </c>
      <c r="B568" s="7" t="str">
        <f>"114020200405172007160897"</f>
        <v>114020200405172007160897</v>
      </c>
      <c r="C568" s="7" t="s">
        <v>538</v>
      </c>
      <c r="D568" s="7" t="str">
        <f>"黎俊诗"</f>
        <v>黎俊诗</v>
      </c>
      <c r="E568" s="7" t="str">
        <f t="shared" si="55"/>
        <v>女</v>
      </c>
      <c r="F568" s="7" t="s">
        <v>581</v>
      </c>
      <c r="G568" s="7" t="s">
        <v>12</v>
      </c>
      <c r="H568" s="7"/>
    </row>
    <row r="569" s="3" customFormat="1" ht="14.25" customHeight="1" spans="1:8">
      <c r="A569" s="7">
        <v>566</v>
      </c>
      <c r="B569" s="7" t="str">
        <f>"114020200406101550161102"</f>
        <v>114020200406101550161102</v>
      </c>
      <c r="C569" s="7" t="s">
        <v>538</v>
      </c>
      <c r="D569" s="7" t="str">
        <f>"符珍妹"</f>
        <v>符珍妹</v>
      </c>
      <c r="E569" s="7" t="str">
        <f t="shared" si="55"/>
        <v>女</v>
      </c>
      <c r="F569" s="7" t="s">
        <v>582</v>
      </c>
      <c r="G569" s="7" t="s">
        <v>12</v>
      </c>
      <c r="H569" s="7"/>
    </row>
    <row r="570" s="3" customFormat="1" ht="14.25" customHeight="1" spans="1:8">
      <c r="A570" s="7">
        <v>567</v>
      </c>
      <c r="B570" s="7" t="str">
        <f>"114020200328100202157277"</f>
        <v>114020200328100202157277</v>
      </c>
      <c r="C570" s="7" t="s">
        <v>583</v>
      </c>
      <c r="D570" s="7" t="str">
        <f>"尹妃"</f>
        <v>尹妃</v>
      </c>
      <c r="E570" s="7" t="str">
        <f t="shared" si="55"/>
        <v>女</v>
      </c>
      <c r="F570" s="7" t="s">
        <v>584</v>
      </c>
      <c r="G570" s="7" t="s">
        <v>12</v>
      </c>
      <c r="H570" s="7"/>
    </row>
    <row r="571" s="3" customFormat="1" ht="14.25" customHeight="1" spans="1:8">
      <c r="A571" s="7">
        <v>568</v>
      </c>
      <c r="B571" s="7" t="str">
        <f>"114020200328101021157298"</f>
        <v>114020200328101021157298</v>
      </c>
      <c r="C571" s="7" t="s">
        <v>583</v>
      </c>
      <c r="D571" s="7" t="str">
        <f>"孙桂萍"</f>
        <v>孙桂萍</v>
      </c>
      <c r="E571" s="7" t="str">
        <f t="shared" si="55"/>
        <v>女</v>
      </c>
      <c r="F571" s="7" t="s">
        <v>585</v>
      </c>
      <c r="G571" s="7" t="s">
        <v>12</v>
      </c>
      <c r="H571" s="7"/>
    </row>
    <row r="572" s="3" customFormat="1" ht="14.25" customHeight="1" spans="1:8">
      <c r="A572" s="7">
        <v>569</v>
      </c>
      <c r="B572" s="7" t="str">
        <f>"114020200328101427157314"</f>
        <v>114020200328101427157314</v>
      </c>
      <c r="C572" s="7" t="s">
        <v>583</v>
      </c>
      <c r="D572" s="7" t="str">
        <f>"刘青霞"</f>
        <v>刘青霞</v>
      </c>
      <c r="E572" s="7" t="str">
        <f t="shared" si="55"/>
        <v>女</v>
      </c>
      <c r="F572" s="7" t="s">
        <v>586</v>
      </c>
      <c r="G572" s="7" t="s">
        <v>12</v>
      </c>
      <c r="H572" s="7"/>
    </row>
    <row r="573" s="3" customFormat="1" ht="14.25" customHeight="1" spans="1:8">
      <c r="A573" s="7">
        <v>570</v>
      </c>
      <c r="B573" s="7" t="str">
        <f>"114020200328111724157460"</f>
        <v>114020200328111724157460</v>
      </c>
      <c r="C573" s="7" t="s">
        <v>583</v>
      </c>
      <c r="D573" s="7" t="str">
        <f>"罗靖超"</f>
        <v>罗靖超</v>
      </c>
      <c r="E573" s="7" t="str">
        <f>"男"</f>
        <v>男</v>
      </c>
      <c r="F573" s="7" t="s">
        <v>587</v>
      </c>
      <c r="G573" s="7" t="s">
        <v>12</v>
      </c>
      <c r="H573" s="7"/>
    </row>
    <row r="574" s="3" customFormat="1" ht="14.25" customHeight="1" spans="1:8">
      <c r="A574" s="7">
        <v>571</v>
      </c>
      <c r="B574" s="7" t="str">
        <f>"114020200328121612157563"</f>
        <v>114020200328121612157563</v>
      </c>
      <c r="C574" s="7" t="s">
        <v>583</v>
      </c>
      <c r="D574" s="7" t="str">
        <f>"韩昊禹"</f>
        <v>韩昊禹</v>
      </c>
      <c r="E574" s="7" t="str">
        <f t="shared" ref="E574:E578" si="56">"女"</f>
        <v>女</v>
      </c>
      <c r="F574" s="7" t="s">
        <v>588</v>
      </c>
      <c r="G574" s="7" t="s">
        <v>12</v>
      </c>
      <c r="H574" s="7"/>
    </row>
    <row r="575" s="3" customFormat="1" ht="14.25" customHeight="1" spans="1:8">
      <c r="A575" s="7">
        <v>572</v>
      </c>
      <c r="B575" s="7" t="str">
        <f>"114020200328164530157880"</f>
        <v>114020200328164530157880</v>
      </c>
      <c r="C575" s="7" t="s">
        <v>583</v>
      </c>
      <c r="D575" s="7" t="str">
        <f>"刘海花"</f>
        <v>刘海花</v>
      </c>
      <c r="E575" s="7" t="str">
        <f t="shared" si="56"/>
        <v>女</v>
      </c>
      <c r="F575" s="7" t="s">
        <v>589</v>
      </c>
      <c r="G575" s="7" t="s">
        <v>12</v>
      </c>
      <c r="H575" s="7"/>
    </row>
    <row r="576" s="3" customFormat="1" ht="14.25" customHeight="1" spans="1:8">
      <c r="A576" s="7">
        <v>573</v>
      </c>
      <c r="B576" s="7" t="str">
        <f>"114020200328170415157894"</f>
        <v>114020200328170415157894</v>
      </c>
      <c r="C576" s="7" t="s">
        <v>583</v>
      </c>
      <c r="D576" s="7" t="str">
        <f>"温芳艳"</f>
        <v>温芳艳</v>
      </c>
      <c r="E576" s="7" t="str">
        <f t="shared" si="56"/>
        <v>女</v>
      </c>
      <c r="F576" s="7" t="s">
        <v>590</v>
      </c>
      <c r="G576" s="7" t="s">
        <v>12</v>
      </c>
      <c r="H576" s="7"/>
    </row>
    <row r="577" s="3" customFormat="1" ht="14.25" customHeight="1" spans="1:8">
      <c r="A577" s="7">
        <v>574</v>
      </c>
      <c r="B577" s="7" t="str">
        <f>"114020200328174752157935"</f>
        <v>114020200328174752157935</v>
      </c>
      <c r="C577" s="7" t="s">
        <v>583</v>
      </c>
      <c r="D577" s="7" t="str">
        <f>"莫桂姬"</f>
        <v>莫桂姬</v>
      </c>
      <c r="E577" s="7" t="str">
        <f t="shared" si="56"/>
        <v>女</v>
      </c>
      <c r="F577" s="7" t="s">
        <v>591</v>
      </c>
      <c r="G577" s="7" t="s">
        <v>12</v>
      </c>
      <c r="H577" s="7"/>
    </row>
    <row r="578" s="3" customFormat="1" ht="14.25" customHeight="1" spans="1:8">
      <c r="A578" s="7">
        <v>575</v>
      </c>
      <c r="B578" s="7" t="str">
        <f>"114020200328193722158008"</f>
        <v>114020200328193722158008</v>
      </c>
      <c r="C578" s="7" t="s">
        <v>583</v>
      </c>
      <c r="D578" s="7" t="str">
        <f>"文唯"</f>
        <v>文唯</v>
      </c>
      <c r="E578" s="7" t="str">
        <f t="shared" si="56"/>
        <v>女</v>
      </c>
      <c r="F578" s="7" t="s">
        <v>592</v>
      </c>
      <c r="G578" s="7" t="s">
        <v>12</v>
      </c>
      <c r="H578" s="7"/>
    </row>
    <row r="579" s="3" customFormat="1" ht="14.25" customHeight="1" spans="1:8">
      <c r="A579" s="7">
        <v>576</v>
      </c>
      <c r="B579" s="7" t="str">
        <f>"114020200328200821158030"</f>
        <v>114020200328200821158030</v>
      </c>
      <c r="C579" s="7" t="s">
        <v>583</v>
      </c>
      <c r="D579" s="7" t="str">
        <f>"黄循富"</f>
        <v>黄循富</v>
      </c>
      <c r="E579" s="7" t="str">
        <f>"男"</f>
        <v>男</v>
      </c>
      <c r="F579" s="7" t="s">
        <v>593</v>
      </c>
      <c r="G579" s="7" t="s">
        <v>12</v>
      </c>
      <c r="H579" s="7"/>
    </row>
    <row r="580" s="3" customFormat="1" ht="14.25" customHeight="1" spans="1:8">
      <c r="A580" s="7">
        <v>577</v>
      </c>
      <c r="B580" s="7" t="str">
        <f>"114020200328202256158041"</f>
        <v>114020200328202256158041</v>
      </c>
      <c r="C580" s="7" t="s">
        <v>583</v>
      </c>
      <c r="D580" s="7" t="str">
        <f>"钟露婷"</f>
        <v>钟露婷</v>
      </c>
      <c r="E580" s="7" t="str">
        <f t="shared" ref="E580:E585" si="57">"女"</f>
        <v>女</v>
      </c>
      <c r="F580" s="7" t="s">
        <v>594</v>
      </c>
      <c r="G580" s="7" t="s">
        <v>12</v>
      </c>
      <c r="H580" s="7"/>
    </row>
    <row r="581" s="3" customFormat="1" ht="14.25" customHeight="1" spans="1:8">
      <c r="A581" s="7">
        <v>578</v>
      </c>
      <c r="B581" s="7" t="str">
        <f>"114020200328210110158070"</f>
        <v>114020200328210110158070</v>
      </c>
      <c r="C581" s="7" t="s">
        <v>583</v>
      </c>
      <c r="D581" s="7" t="str">
        <f>"陈怡婷"</f>
        <v>陈怡婷</v>
      </c>
      <c r="E581" s="7" t="str">
        <f t="shared" si="57"/>
        <v>女</v>
      </c>
      <c r="F581" s="7" t="s">
        <v>595</v>
      </c>
      <c r="G581" s="7" t="s">
        <v>12</v>
      </c>
      <c r="H581" s="7"/>
    </row>
    <row r="582" s="3" customFormat="1" ht="14.25" customHeight="1" spans="1:8">
      <c r="A582" s="7">
        <v>579</v>
      </c>
      <c r="B582" s="7" t="str">
        <f>"114020200328221641158126"</f>
        <v>114020200328221641158126</v>
      </c>
      <c r="C582" s="7" t="s">
        <v>583</v>
      </c>
      <c r="D582" s="7" t="str">
        <f>"林志笛"</f>
        <v>林志笛</v>
      </c>
      <c r="E582" s="7" t="str">
        <f t="shared" si="57"/>
        <v>女</v>
      </c>
      <c r="F582" s="7" t="s">
        <v>596</v>
      </c>
      <c r="G582" s="7" t="s">
        <v>12</v>
      </c>
      <c r="H582" s="7"/>
    </row>
    <row r="583" s="3" customFormat="1" ht="14.25" customHeight="1" spans="1:8">
      <c r="A583" s="7">
        <v>580</v>
      </c>
      <c r="B583" s="7" t="str">
        <f>"114020200328223702158144"</f>
        <v>114020200328223702158144</v>
      </c>
      <c r="C583" s="7" t="s">
        <v>583</v>
      </c>
      <c r="D583" s="7" t="str">
        <f>"陈彬"</f>
        <v>陈彬</v>
      </c>
      <c r="E583" s="7" t="str">
        <f t="shared" si="57"/>
        <v>女</v>
      </c>
      <c r="F583" s="7" t="s">
        <v>597</v>
      </c>
      <c r="G583" s="7" t="s">
        <v>12</v>
      </c>
      <c r="H583" s="7"/>
    </row>
    <row r="584" s="3" customFormat="1" ht="14.25" customHeight="1" spans="1:8">
      <c r="A584" s="7">
        <v>581</v>
      </c>
      <c r="B584" s="7" t="str">
        <f>"114020200329011106158189"</f>
        <v>114020200329011106158189</v>
      </c>
      <c r="C584" s="7" t="s">
        <v>583</v>
      </c>
      <c r="D584" s="7" t="str">
        <f>"张莉"</f>
        <v>张莉</v>
      </c>
      <c r="E584" s="7" t="str">
        <f t="shared" si="57"/>
        <v>女</v>
      </c>
      <c r="F584" s="7" t="s">
        <v>598</v>
      </c>
      <c r="G584" s="7" t="s">
        <v>12</v>
      </c>
      <c r="H584" s="7"/>
    </row>
    <row r="585" s="3" customFormat="1" ht="14.25" customHeight="1" spans="1:8">
      <c r="A585" s="7">
        <v>582</v>
      </c>
      <c r="B585" s="7" t="str">
        <f>"114020200329104119158283"</f>
        <v>114020200329104119158283</v>
      </c>
      <c r="C585" s="7" t="s">
        <v>583</v>
      </c>
      <c r="D585" s="7" t="str">
        <f>"谢兰花"</f>
        <v>谢兰花</v>
      </c>
      <c r="E585" s="7" t="str">
        <f t="shared" si="57"/>
        <v>女</v>
      </c>
      <c r="F585" s="7" t="s">
        <v>599</v>
      </c>
      <c r="G585" s="7" t="s">
        <v>12</v>
      </c>
      <c r="H585" s="7"/>
    </row>
    <row r="586" s="3" customFormat="1" ht="14.25" customHeight="1" spans="1:8">
      <c r="A586" s="7">
        <v>583</v>
      </c>
      <c r="B586" s="7" t="str">
        <f>"114020200329105903158303"</f>
        <v>114020200329105903158303</v>
      </c>
      <c r="C586" s="7" t="s">
        <v>583</v>
      </c>
      <c r="D586" s="7" t="str">
        <f>"曾祥理"</f>
        <v>曾祥理</v>
      </c>
      <c r="E586" s="7" t="str">
        <f>"男"</f>
        <v>男</v>
      </c>
      <c r="F586" s="7" t="s">
        <v>600</v>
      </c>
      <c r="G586" s="7" t="s">
        <v>12</v>
      </c>
      <c r="H586" s="7"/>
    </row>
    <row r="587" s="3" customFormat="1" ht="14.25" customHeight="1" spans="1:8">
      <c r="A587" s="7">
        <v>584</v>
      </c>
      <c r="B587" s="7" t="str">
        <f>"114020200329125518158378"</f>
        <v>114020200329125518158378</v>
      </c>
      <c r="C587" s="7" t="s">
        <v>583</v>
      </c>
      <c r="D587" s="7" t="str">
        <f>"温慧雯"</f>
        <v>温慧雯</v>
      </c>
      <c r="E587" s="7" t="str">
        <f t="shared" ref="E587:E590" si="58">"女"</f>
        <v>女</v>
      </c>
      <c r="F587" s="7" t="s">
        <v>601</v>
      </c>
      <c r="G587" s="7" t="s">
        <v>12</v>
      </c>
      <c r="H587" s="7"/>
    </row>
    <row r="588" s="3" customFormat="1" ht="14.25" customHeight="1" spans="1:8">
      <c r="A588" s="7">
        <v>585</v>
      </c>
      <c r="B588" s="7" t="str">
        <f>"114020200329130359158389"</f>
        <v>114020200329130359158389</v>
      </c>
      <c r="C588" s="7" t="s">
        <v>583</v>
      </c>
      <c r="D588" s="7" t="str">
        <f>"杨小丹"</f>
        <v>杨小丹</v>
      </c>
      <c r="E588" s="7" t="str">
        <f t="shared" si="58"/>
        <v>女</v>
      </c>
      <c r="F588" s="7" t="s">
        <v>602</v>
      </c>
      <c r="G588" s="7" t="s">
        <v>12</v>
      </c>
      <c r="H588" s="7"/>
    </row>
    <row r="589" s="3" customFormat="1" ht="14.25" customHeight="1" spans="1:8">
      <c r="A589" s="7">
        <v>586</v>
      </c>
      <c r="B589" s="7" t="str">
        <f>"114020200329130649158394"</f>
        <v>114020200329130649158394</v>
      </c>
      <c r="C589" s="7" t="s">
        <v>583</v>
      </c>
      <c r="D589" s="7" t="str">
        <f>"符香妍"</f>
        <v>符香妍</v>
      </c>
      <c r="E589" s="7" t="str">
        <f t="shared" si="58"/>
        <v>女</v>
      </c>
      <c r="F589" s="7" t="s">
        <v>603</v>
      </c>
      <c r="G589" s="7" t="s">
        <v>12</v>
      </c>
      <c r="H589" s="7"/>
    </row>
    <row r="590" s="3" customFormat="1" ht="14.25" customHeight="1" spans="1:8">
      <c r="A590" s="7">
        <v>587</v>
      </c>
      <c r="B590" s="7" t="str">
        <f>"114020200329133523158413"</f>
        <v>114020200329133523158413</v>
      </c>
      <c r="C590" s="7" t="s">
        <v>583</v>
      </c>
      <c r="D590" s="7" t="str">
        <f>"王海关"</f>
        <v>王海关</v>
      </c>
      <c r="E590" s="7" t="str">
        <f t="shared" si="58"/>
        <v>女</v>
      </c>
      <c r="F590" s="7" t="s">
        <v>604</v>
      </c>
      <c r="G590" s="7" t="s">
        <v>12</v>
      </c>
      <c r="H590" s="7"/>
    </row>
    <row r="591" s="3" customFormat="1" ht="14.25" customHeight="1" spans="1:8">
      <c r="A591" s="7">
        <v>588</v>
      </c>
      <c r="B591" s="7" t="str">
        <f>"114020200329140945158426"</f>
        <v>114020200329140945158426</v>
      </c>
      <c r="C591" s="7" t="s">
        <v>583</v>
      </c>
      <c r="D591" s="7" t="str">
        <f>"蔡於良"</f>
        <v>蔡於良</v>
      </c>
      <c r="E591" s="7" t="str">
        <f>"男"</f>
        <v>男</v>
      </c>
      <c r="F591" s="7" t="s">
        <v>605</v>
      </c>
      <c r="G591" s="7" t="s">
        <v>12</v>
      </c>
      <c r="H591" s="7"/>
    </row>
    <row r="592" s="3" customFormat="1" ht="14.25" customHeight="1" spans="1:8">
      <c r="A592" s="7">
        <v>589</v>
      </c>
      <c r="B592" s="7" t="str">
        <f>"114020200329171546158520"</f>
        <v>114020200329171546158520</v>
      </c>
      <c r="C592" s="7" t="s">
        <v>583</v>
      </c>
      <c r="D592" s="7" t="str">
        <f>"唐空"</f>
        <v>唐空</v>
      </c>
      <c r="E592" s="7" t="str">
        <f t="shared" ref="E592:E609" si="59">"女"</f>
        <v>女</v>
      </c>
      <c r="F592" s="7" t="s">
        <v>606</v>
      </c>
      <c r="G592" s="7" t="s">
        <v>12</v>
      </c>
      <c r="H592" s="7"/>
    </row>
    <row r="593" s="3" customFormat="1" ht="14.25" customHeight="1" spans="1:8">
      <c r="A593" s="7">
        <v>590</v>
      </c>
      <c r="B593" s="7" t="str">
        <f>"114020200329173517158529"</f>
        <v>114020200329173517158529</v>
      </c>
      <c r="C593" s="7" t="s">
        <v>583</v>
      </c>
      <c r="D593" s="7" t="str">
        <f>"佟海琪"</f>
        <v>佟海琪</v>
      </c>
      <c r="E593" s="7" t="str">
        <f t="shared" si="59"/>
        <v>女</v>
      </c>
      <c r="F593" s="7" t="s">
        <v>607</v>
      </c>
      <c r="G593" s="7" t="s">
        <v>12</v>
      </c>
      <c r="H593" s="7"/>
    </row>
    <row r="594" s="3" customFormat="1" ht="14.25" customHeight="1" spans="1:8">
      <c r="A594" s="7">
        <v>591</v>
      </c>
      <c r="B594" s="7" t="str">
        <f>"114020200329174841158536"</f>
        <v>114020200329174841158536</v>
      </c>
      <c r="C594" s="7" t="s">
        <v>583</v>
      </c>
      <c r="D594" s="7" t="str">
        <f>"李杏"</f>
        <v>李杏</v>
      </c>
      <c r="E594" s="7" t="str">
        <f t="shared" si="59"/>
        <v>女</v>
      </c>
      <c r="F594" s="7" t="s">
        <v>608</v>
      </c>
      <c r="G594" s="7" t="s">
        <v>12</v>
      </c>
      <c r="H594" s="7"/>
    </row>
    <row r="595" s="3" customFormat="1" ht="14.25" customHeight="1" spans="1:8">
      <c r="A595" s="7">
        <v>592</v>
      </c>
      <c r="B595" s="7" t="str">
        <f>"114020200329193523158590"</f>
        <v>114020200329193523158590</v>
      </c>
      <c r="C595" s="7" t="s">
        <v>583</v>
      </c>
      <c r="D595" s="7" t="str">
        <f>"麦明春"</f>
        <v>麦明春</v>
      </c>
      <c r="E595" s="7" t="str">
        <f t="shared" si="59"/>
        <v>女</v>
      </c>
      <c r="F595" s="7" t="s">
        <v>609</v>
      </c>
      <c r="G595" s="7" t="s">
        <v>12</v>
      </c>
      <c r="H595" s="7"/>
    </row>
    <row r="596" s="3" customFormat="1" ht="14.25" customHeight="1" spans="1:8">
      <c r="A596" s="7">
        <v>593</v>
      </c>
      <c r="B596" s="7" t="str">
        <f>"114020200329214843158682"</f>
        <v>114020200329214843158682</v>
      </c>
      <c r="C596" s="7" t="s">
        <v>583</v>
      </c>
      <c r="D596" s="7" t="str">
        <f>"黄雪珍"</f>
        <v>黄雪珍</v>
      </c>
      <c r="E596" s="7" t="str">
        <f t="shared" si="59"/>
        <v>女</v>
      </c>
      <c r="F596" s="7" t="s">
        <v>610</v>
      </c>
      <c r="G596" s="7" t="s">
        <v>12</v>
      </c>
      <c r="H596" s="7"/>
    </row>
    <row r="597" s="3" customFormat="1" ht="14.25" customHeight="1" spans="1:8">
      <c r="A597" s="7">
        <v>594</v>
      </c>
      <c r="B597" s="7" t="str">
        <f>"114020200329225408158721"</f>
        <v>114020200329225408158721</v>
      </c>
      <c r="C597" s="7" t="s">
        <v>583</v>
      </c>
      <c r="D597" s="7" t="str">
        <f>"陈丽晶"</f>
        <v>陈丽晶</v>
      </c>
      <c r="E597" s="7" t="str">
        <f t="shared" si="59"/>
        <v>女</v>
      </c>
      <c r="F597" s="7" t="s">
        <v>611</v>
      </c>
      <c r="G597" s="7" t="s">
        <v>12</v>
      </c>
      <c r="H597" s="7"/>
    </row>
    <row r="598" s="3" customFormat="1" ht="14.25" customHeight="1" spans="1:8">
      <c r="A598" s="7">
        <v>595</v>
      </c>
      <c r="B598" s="7" t="str">
        <f>"114020200330090836158793"</f>
        <v>114020200330090836158793</v>
      </c>
      <c r="C598" s="7" t="s">
        <v>583</v>
      </c>
      <c r="D598" s="7" t="str">
        <f>"范珊珊"</f>
        <v>范珊珊</v>
      </c>
      <c r="E598" s="7" t="str">
        <f t="shared" si="59"/>
        <v>女</v>
      </c>
      <c r="F598" s="7" t="s">
        <v>612</v>
      </c>
      <c r="G598" s="7" t="s">
        <v>12</v>
      </c>
      <c r="H598" s="7"/>
    </row>
    <row r="599" s="3" customFormat="1" ht="14.25" customHeight="1" spans="1:8">
      <c r="A599" s="7">
        <v>596</v>
      </c>
      <c r="B599" s="7" t="str">
        <f>"114020200330102729158870"</f>
        <v>114020200330102729158870</v>
      </c>
      <c r="C599" s="7" t="s">
        <v>583</v>
      </c>
      <c r="D599" s="7" t="str">
        <f>"文苏珍"</f>
        <v>文苏珍</v>
      </c>
      <c r="E599" s="7" t="str">
        <f t="shared" si="59"/>
        <v>女</v>
      </c>
      <c r="F599" s="7" t="s">
        <v>613</v>
      </c>
      <c r="G599" s="7" t="s">
        <v>12</v>
      </c>
      <c r="H599" s="7"/>
    </row>
    <row r="600" s="3" customFormat="1" ht="14.25" customHeight="1" spans="1:8">
      <c r="A600" s="7">
        <v>597</v>
      </c>
      <c r="B600" s="7" t="str">
        <f>"114020200330124813158987"</f>
        <v>114020200330124813158987</v>
      </c>
      <c r="C600" s="7" t="s">
        <v>583</v>
      </c>
      <c r="D600" s="7" t="str">
        <f>"邢贞苗"</f>
        <v>邢贞苗</v>
      </c>
      <c r="E600" s="7" t="str">
        <f t="shared" si="59"/>
        <v>女</v>
      </c>
      <c r="F600" s="7" t="s">
        <v>614</v>
      </c>
      <c r="G600" s="7" t="s">
        <v>12</v>
      </c>
      <c r="H600" s="7"/>
    </row>
    <row r="601" s="3" customFormat="1" ht="14.25" customHeight="1" spans="1:8">
      <c r="A601" s="7">
        <v>598</v>
      </c>
      <c r="B601" s="7" t="str">
        <f>"114020200330132113159008"</f>
        <v>114020200330132113159008</v>
      </c>
      <c r="C601" s="7" t="s">
        <v>583</v>
      </c>
      <c r="D601" s="7" t="str">
        <f>"何天娇"</f>
        <v>何天娇</v>
      </c>
      <c r="E601" s="7" t="str">
        <f t="shared" si="59"/>
        <v>女</v>
      </c>
      <c r="F601" s="7" t="s">
        <v>615</v>
      </c>
      <c r="G601" s="7" t="s">
        <v>12</v>
      </c>
      <c r="H601" s="7"/>
    </row>
    <row r="602" s="3" customFormat="1" ht="14.25" customHeight="1" spans="1:8">
      <c r="A602" s="7">
        <v>599</v>
      </c>
      <c r="B602" s="7" t="str">
        <f>"114020200330142146159048"</f>
        <v>114020200330142146159048</v>
      </c>
      <c r="C602" s="7" t="s">
        <v>583</v>
      </c>
      <c r="D602" s="7" t="str">
        <f>"庄文文"</f>
        <v>庄文文</v>
      </c>
      <c r="E602" s="7" t="str">
        <f t="shared" si="59"/>
        <v>女</v>
      </c>
      <c r="F602" s="7" t="s">
        <v>616</v>
      </c>
      <c r="G602" s="7" t="s">
        <v>12</v>
      </c>
      <c r="H602" s="7"/>
    </row>
    <row r="603" s="3" customFormat="1" ht="14.25" customHeight="1" spans="1:8">
      <c r="A603" s="7">
        <v>600</v>
      </c>
      <c r="B603" s="7" t="str">
        <f>"114020200330152950159083"</f>
        <v>114020200330152950159083</v>
      </c>
      <c r="C603" s="7" t="s">
        <v>583</v>
      </c>
      <c r="D603" s="7" t="str">
        <f>"唐永琴"</f>
        <v>唐永琴</v>
      </c>
      <c r="E603" s="7" t="str">
        <f t="shared" si="59"/>
        <v>女</v>
      </c>
      <c r="F603" s="7" t="s">
        <v>617</v>
      </c>
      <c r="G603" s="7" t="s">
        <v>12</v>
      </c>
      <c r="H603" s="7"/>
    </row>
    <row r="604" s="3" customFormat="1" ht="14.25" customHeight="1" spans="1:8">
      <c r="A604" s="7">
        <v>601</v>
      </c>
      <c r="B604" s="7" t="str">
        <f>"114020200330161800159120"</f>
        <v>114020200330161800159120</v>
      </c>
      <c r="C604" s="7" t="s">
        <v>583</v>
      </c>
      <c r="D604" s="7" t="str">
        <f>"王莹莹"</f>
        <v>王莹莹</v>
      </c>
      <c r="E604" s="7" t="str">
        <f t="shared" si="59"/>
        <v>女</v>
      </c>
      <c r="F604" s="7" t="s">
        <v>618</v>
      </c>
      <c r="G604" s="7" t="s">
        <v>12</v>
      </c>
      <c r="H604" s="7"/>
    </row>
    <row r="605" s="3" customFormat="1" ht="14.25" customHeight="1" spans="1:8">
      <c r="A605" s="7">
        <v>602</v>
      </c>
      <c r="B605" s="7" t="str">
        <f>"114020200331102257159411"</f>
        <v>114020200331102257159411</v>
      </c>
      <c r="C605" s="7" t="s">
        <v>583</v>
      </c>
      <c r="D605" s="7" t="str">
        <f>"唐皭琪"</f>
        <v>唐皭琪</v>
      </c>
      <c r="E605" s="7" t="str">
        <f t="shared" si="59"/>
        <v>女</v>
      </c>
      <c r="F605" s="7" t="s">
        <v>619</v>
      </c>
      <c r="G605" s="7" t="s">
        <v>12</v>
      </c>
      <c r="H605" s="7"/>
    </row>
    <row r="606" s="3" customFormat="1" ht="14.25" customHeight="1" spans="1:8">
      <c r="A606" s="7">
        <v>603</v>
      </c>
      <c r="B606" s="7" t="str">
        <f>"114020200331103206159414"</f>
        <v>114020200331103206159414</v>
      </c>
      <c r="C606" s="7" t="s">
        <v>583</v>
      </c>
      <c r="D606" s="7" t="str">
        <f>"陈玉玲"</f>
        <v>陈玉玲</v>
      </c>
      <c r="E606" s="7" t="str">
        <f t="shared" si="59"/>
        <v>女</v>
      </c>
      <c r="F606" s="7" t="s">
        <v>620</v>
      </c>
      <c r="G606" s="7" t="s">
        <v>12</v>
      </c>
      <c r="H606" s="7"/>
    </row>
    <row r="607" s="3" customFormat="1" ht="14.25" customHeight="1" spans="1:8">
      <c r="A607" s="7">
        <v>604</v>
      </c>
      <c r="B607" s="7" t="str">
        <f>"114020200401090449159745"</f>
        <v>114020200401090449159745</v>
      </c>
      <c r="C607" s="7" t="s">
        <v>583</v>
      </c>
      <c r="D607" s="7" t="str">
        <f>"李文丽"</f>
        <v>李文丽</v>
      </c>
      <c r="E607" s="7" t="str">
        <f t="shared" si="59"/>
        <v>女</v>
      </c>
      <c r="F607" s="7" t="s">
        <v>621</v>
      </c>
      <c r="G607" s="7" t="s">
        <v>12</v>
      </c>
      <c r="H607" s="7"/>
    </row>
    <row r="608" s="3" customFormat="1" ht="14.25" customHeight="1" spans="1:8">
      <c r="A608" s="7">
        <v>605</v>
      </c>
      <c r="B608" s="7" t="str">
        <f>"114020200401135426159859"</f>
        <v>114020200401135426159859</v>
      </c>
      <c r="C608" s="7" t="s">
        <v>583</v>
      </c>
      <c r="D608" s="7" t="str">
        <f>"卢世娟"</f>
        <v>卢世娟</v>
      </c>
      <c r="E608" s="7" t="str">
        <f t="shared" si="59"/>
        <v>女</v>
      </c>
      <c r="F608" s="7" t="s">
        <v>622</v>
      </c>
      <c r="G608" s="7" t="s">
        <v>12</v>
      </c>
      <c r="H608" s="7"/>
    </row>
    <row r="609" s="3" customFormat="1" ht="14.25" customHeight="1" spans="1:8">
      <c r="A609" s="7">
        <v>606</v>
      </c>
      <c r="B609" s="7" t="str">
        <f>"114020200401135856159861"</f>
        <v>114020200401135856159861</v>
      </c>
      <c r="C609" s="7" t="s">
        <v>583</v>
      </c>
      <c r="D609" s="7" t="str">
        <f>"冯丽娟"</f>
        <v>冯丽娟</v>
      </c>
      <c r="E609" s="7" t="str">
        <f t="shared" si="59"/>
        <v>女</v>
      </c>
      <c r="F609" s="7" t="s">
        <v>623</v>
      </c>
      <c r="G609" s="7" t="s">
        <v>12</v>
      </c>
      <c r="H609" s="7"/>
    </row>
    <row r="610" s="3" customFormat="1" ht="14.25" customHeight="1" spans="1:8">
      <c r="A610" s="7">
        <v>607</v>
      </c>
      <c r="B610" s="7" t="str">
        <f>"114020200401153405159896"</f>
        <v>114020200401153405159896</v>
      </c>
      <c r="C610" s="7" t="s">
        <v>583</v>
      </c>
      <c r="D610" s="7" t="str">
        <f>"陈贤凯"</f>
        <v>陈贤凯</v>
      </c>
      <c r="E610" s="7" t="str">
        <f>"男"</f>
        <v>男</v>
      </c>
      <c r="F610" s="7" t="s">
        <v>624</v>
      </c>
      <c r="G610" s="7" t="s">
        <v>12</v>
      </c>
      <c r="H610" s="7"/>
    </row>
    <row r="611" s="3" customFormat="1" ht="14.25" customHeight="1" spans="1:8">
      <c r="A611" s="7">
        <v>608</v>
      </c>
      <c r="B611" s="7" t="str">
        <f>"114020200401160101159913"</f>
        <v>114020200401160101159913</v>
      </c>
      <c r="C611" s="7" t="s">
        <v>583</v>
      </c>
      <c r="D611" s="7" t="str">
        <f>"周玲选"</f>
        <v>周玲选</v>
      </c>
      <c r="E611" s="7" t="str">
        <f t="shared" ref="E611:E620" si="60">"女"</f>
        <v>女</v>
      </c>
      <c r="F611" s="7" t="s">
        <v>625</v>
      </c>
      <c r="G611" s="7" t="s">
        <v>12</v>
      </c>
      <c r="H611" s="7"/>
    </row>
    <row r="612" s="3" customFormat="1" ht="14.25" customHeight="1" spans="1:8">
      <c r="A612" s="7">
        <v>609</v>
      </c>
      <c r="B612" s="7" t="str">
        <f>"114020200401162932159931"</f>
        <v>114020200401162932159931</v>
      </c>
      <c r="C612" s="7" t="s">
        <v>583</v>
      </c>
      <c r="D612" s="7" t="str">
        <f>"纪诗诗"</f>
        <v>纪诗诗</v>
      </c>
      <c r="E612" s="7" t="str">
        <f t="shared" si="60"/>
        <v>女</v>
      </c>
      <c r="F612" s="7" t="s">
        <v>626</v>
      </c>
      <c r="G612" s="7" t="s">
        <v>12</v>
      </c>
      <c r="H612" s="7"/>
    </row>
    <row r="613" s="3" customFormat="1" ht="14.25" customHeight="1" spans="1:8">
      <c r="A613" s="7">
        <v>610</v>
      </c>
      <c r="B613" s="7" t="str">
        <f>"114020200401181335159979"</f>
        <v>114020200401181335159979</v>
      </c>
      <c r="C613" s="7" t="s">
        <v>583</v>
      </c>
      <c r="D613" s="7" t="str">
        <f>"张珊慧"</f>
        <v>张珊慧</v>
      </c>
      <c r="E613" s="7" t="str">
        <f t="shared" si="60"/>
        <v>女</v>
      </c>
      <c r="F613" s="7" t="s">
        <v>627</v>
      </c>
      <c r="G613" s="7" t="s">
        <v>12</v>
      </c>
      <c r="H613" s="7"/>
    </row>
    <row r="614" s="3" customFormat="1" ht="14.25" customHeight="1" spans="1:8">
      <c r="A614" s="7">
        <v>611</v>
      </c>
      <c r="B614" s="7" t="str">
        <f>"114020200401181643159982"</f>
        <v>114020200401181643159982</v>
      </c>
      <c r="C614" s="7" t="s">
        <v>583</v>
      </c>
      <c r="D614" s="7" t="str">
        <f>"李娜霞"</f>
        <v>李娜霞</v>
      </c>
      <c r="E614" s="7" t="str">
        <f t="shared" si="60"/>
        <v>女</v>
      </c>
      <c r="F614" s="7" t="s">
        <v>628</v>
      </c>
      <c r="G614" s="7" t="s">
        <v>12</v>
      </c>
      <c r="H614" s="7"/>
    </row>
    <row r="615" s="3" customFormat="1" ht="14.25" customHeight="1" spans="1:8">
      <c r="A615" s="7">
        <v>612</v>
      </c>
      <c r="B615" s="7" t="str">
        <f>"114020200401212824160046"</f>
        <v>114020200401212824160046</v>
      </c>
      <c r="C615" s="7" t="s">
        <v>583</v>
      </c>
      <c r="D615" s="7" t="str">
        <f>"林小颖"</f>
        <v>林小颖</v>
      </c>
      <c r="E615" s="7" t="str">
        <f t="shared" si="60"/>
        <v>女</v>
      </c>
      <c r="F615" s="7" t="s">
        <v>629</v>
      </c>
      <c r="G615" s="7" t="s">
        <v>12</v>
      </c>
      <c r="H615" s="7"/>
    </row>
    <row r="616" s="3" customFormat="1" ht="14.25" customHeight="1" spans="1:8">
      <c r="A616" s="7">
        <v>613</v>
      </c>
      <c r="B616" s="7" t="str">
        <f>"114020200402004304160092"</f>
        <v>114020200402004304160092</v>
      </c>
      <c r="C616" s="7" t="s">
        <v>583</v>
      </c>
      <c r="D616" s="7" t="str">
        <f>"王锡紫"</f>
        <v>王锡紫</v>
      </c>
      <c r="E616" s="7" t="str">
        <f t="shared" si="60"/>
        <v>女</v>
      </c>
      <c r="F616" s="7" t="s">
        <v>630</v>
      </c>
      <c r="G616" s="7" t="s">
        <v>12</v>
      </c>
      <c r="H616" s="7"/>
    </row>
    <row r="617" s="3" customFormat="1" ht="14.25" customHeight="1" spans="1:8">
      <c r="A617" s="7">
        <v>614</v>
      </c>
      <c r="B617" s="7" t="str">
        <f>"114020200402171228160250"</f>
        <v>114020200402171228160250</v>
      </c>
      <c r="C617" s="7" t="s">
        <v>583</v>
      </c>
      <c r="D617" s="7" t="str">
        <f>"薛瑶"</f>
        <v>薛瑶</v>
      </c>
      <c r="E617" s="7" t="str">
        <f t="shared" si="60"/>
        <v>女</v>
      </c>
      <c r="F617" s="7" t="s">
        <v>631</v>
      </c>
      <c r="G617" s="7" t="s">
        <v>12</v>
      </c>
      <c r="H617" s="7"/>
    </row>
    <row r="618" s="3" customFormat="1" ht="14.25" customHeight="1" spans="1:8">
      <c r="A618" s="7">
        <v>615</v>
      </c>
      <c r="B618" s="7" t="str">
        <f>"114020200402172346160254"</f>
        <v>114020200402172346160254</v>
      </c>
      <c r="C618" s="7" t="s">
        <v>583</v>
      </c>
      <c r="D618" s="7" t="str">
        <f>"魏妍怡"</f>
        <v>魏妍怡</v>
      </c>
      <c r="E618" s="7" t="str">
        <f t="shared" si="60"/>
        <v>女</v>
      </c>
      <c r="F618" s="7" t="s">
        <v>632</v>
      </c>
      <c r="G618" s="7" t="s">
        <v>12</v>
      </c>
      <c r="H618" s="7"/>
    </row>
    <row r="619" s="3" customFormat="1" ht="14.25" customHeight="1" spans="1:8">
      <c r="A619" s="7">
        <v>616</v>
      </c>
      <c r="B619" s="7" t="str">
        <f>"114020200402213004160311"</f>
        <v>114020200402213004160311</v>
      </c>
      <c r="C619" s="7" t="s">
        <v>583</v>
      </c>
      <c r="D619" s="7" t="str">
        <f>"王燕娥"</f>
        <v>王燕娥</v>
      </c>
      <c r="E619" s="7" t="str">
        <f t="shared" si="60"/>
        <v>女</v>
      </c>
      <c r="F619" s="7" t="s">
        <v>633</v>
      </c>
      <c r="G619" s="7" t="s">
        <v>12</v>
      </c>
      <c r="H619" s="7"/>
    </row>
    <row r="620" s="3" customFormat="1" ht="14.25" customHeight="1" spans="1:8">
      <c r="A620" s="7">
        <v>617</v>
      </c>
      <c r="B620" s="7" t="str">
        <f>"114020200403065726160361"</f>
        <v>114020200403065726160361</v>
      </c>
      <c r="C620" s="7" t="s">
        <v>583</v>
      </c>
      <c r="D620" s="7" t="str">
        <f>"李爱蓉"</f>
        <v>李爱蓉</v>
      </c>
      <c r="E620" s="7" t="str">
        <f t="shared" si="60"/>
        <v>女</v>
      </c>
      <c r="F620" s="7" t="s">
        <v>634</v>
      </c>
      <c r="G620" s="7" t="s">
        <v>12</v>
      </c>
      <c r="H620" s="7"/>
    </row>
    <row r="621" s="3" customFormat="1" ht="14.25" customHeight="1" spans="1:8">
      <c r="A621" s="7">
        <v>618</v>
      </c>
      <c r="B621" s="7" t="str">
        <f>"114020200403094453160383"</f>
        <v>114020200403094453160383</v>
      </c>
      <c r="C621" s="7" t="s">
        <v>583</v>
      </c>
      <c r="D621" s="7" t="str">
        <f>"符懋邦"</f>
        <v>符懋邦</v>
      </c>
      <c r="E621" s="7" t="str">
        <f>"男"</f>
        <v>男</v>
      </c>
      <c r="F621" s="7" t="s">
        <v>635</v>
      </c>
      <c r="G621" s="7" t="s">
        <v>12</v>
      </c>
      <c r="H621" s="7"/>
    </row>
    <row r="622" s="3" customFormat="1" ht="14.25" customHeight="1" spans="1:8">
      <c r="A622" s="7">
        <v>619</v>
      </c>
      <c r="B622" s="7" t="str">
        <f>"114020200403100103160388"</f>
        <v>114020200403100103160388</v>
      </c>
      <c r="C622" s="7" t="s">
        <v>583</v>
      </c>
      <c r="D622" s="7" t="str">
        <f>"彭慧"</f>
        <v>彭慧</v>
      </c>
      <c r="E622" s="7" t="str">
        <f t="shared" ref="E622:E630" si="61">"女"</f>
        <v>女</v>
      </c>
      <c r="F622" s="7" t="s">
        <v>636</v>
      </c>
      <c r="G622" s="7" t="s">
        <v>12</v>
      </c>
      <c r="H622" s="7"/>
    </row>
    <row r="623" s="3" customFormat="1" ht="14.25" customHeight="1" spans="1:8">
      <c r="A623" s="7">
        <v>620</v>
      </c>
      <c r="B623" s="7" t="str">
        <f>"114020200403115018160427"</f>
        <v>114020200403115018160427</v>
      </c>
      <c r="C623" s="7" t="s">
        <v>583</v>
      </c>
      <c r="D623" s="7" t="str">
        <f>"林丹"</f>
        <v>林丹</v>
      </c>
      <c r="E623" s="7" t="str">
        <f t="shared" si="61"/>
        <v>女</v>
      </c>
      <c r="F623" s="7" t="s">
        <v>637</v>
      </c>
      <c r="G623" s="7" t="s">
        <v>12</v>
      </c>
      <c r="H623" s="7"/>
    </row>
    <row r="624" s="3" customFormat="1" ht="14.25" customHeight="1" spans="1:8">
      <c r="A624" s="7">
        <v>621</v>
      </c>
      <c r="B624" s="7" t="str">
        <f>"114020200403115848160429"</f>
        <v>114020200403115848160429</v>
      </c>
      <c r="C624" s="7" t="s">
        <v>583</v>
      </c>
      <c r="D624" s="7" t="str">
        <f>"符仁杏"</f>
        <v>符仁杏</v>
      </c>
      <c r="E624" s="7" t="str">
        <f t="shared" si="61"/>
        <v>女</v>
      </c>
      <c r="F624" s="7" t="s">
        <v>638</v>
      </c>
      <c r="G624" s="7" t="s">
        <v>12</v>
      </c>
      <c r="H624" s="7"/>
    </row>
    <row r="625" s="3" customFormat="1" ht="14.25" customHeight="1" spans="1:8">
      <c r="A625" s="7">
        <v>622</v>
      </c>
      <c r="B625" s="7" t="str">
        <f>"114020200403121905160439"</f>
        <v>114020200403121905160439</v>
      </c>
      <c r="C625" s="7" t="s">
        <v>583</v>
      </c>
      <c r="D625" s="7" t="str">
        <f>"邓晓丹"</f>
        <v>邓晓丹</v>
      </c>
      <c r="E625" s="7" t="str">
        <f t="shared" si="61"/>
        <v>女</v>
      </c>
      <c r="F625" s="7" t="s">
        <v>639</v>
      </c>
      <c r="G625" s="7" t="s">
        <v>12</v>
      </c>
      <c r="H625" s="7"/>
    </row>
    <row r="626" s="3" customFormat="1" ht="14.25" customHeight="1" spans="1:8">
      <c r="A626" s="7">
        <v>623</v>
      </c>
      <c r="B626" s="7" t="str">
        <f>"114020200403122728160442"</f>
        <v>114020200403122728160442</v>
      </c>
      <c r="C626" s="7" t="s">
        <v>583</v>
      </c>
      <c r="D626" s="7" t="str">
        <f>"董玉妍"</f>
        <v>董玉妍</v>
      </c>
      <c r="E626" s="7" t="str">
        <f t="shared" si="61"/>
        <v>女</v>
      </c>
      <c r="F626" s="7" t="s">
        <v>640</v>
      </c>
      <c r="G626" s="7" t="s">
        <v>12</v>
      </c>
      <c r="H626" s="7"/>
    </row>
    <row r="627" s="3" customFormat="1" ht="14.25" customHeight="1" spans="1:8">
      <c r="A627" s="7">
        <v>624</v>
      </c>
      <c r="B627" s="7" t="str">
        <f>"114020200403171741160510"</f>
        <v>114020200403171741160510</v>
      </c>
      <c r="C627" s="7" t="s">
        <v>583</v>
      </c>
      <c r="D627" s="7" t="str">
        <f>"陈菲菲"</f>
        <v>陈菲菲</v>
      </c>
      <c r="E627" s="7" t="str">
        <f t="shared" si="61"/>
        <v>女</v>
      </c>
      <c r="F627" s="7" t="s">
        <v>641</v>
      </c>
      <c r="G627" s="7" t="s">
        <v>12</v>
      </c>
      <c r="H627" s="7"/>
    </row>
    <row r="628" s="3" customFormat="1" ht="14.25" customHeight="1" spans="1:8">
      <c r="A628" s="7">
        <v>625</v>
      </c>
      <c r="B628" s="7" t="str">
        <f>"114020200403200452160537"</f>
        <v>114020200403200452160537</v>
      </c>
      <c r="C628" s="7" t="s">
        <v>583</v>
      </c>
      <c r="D628" s="7" t="str">
        <f>"王少葵"</f>
        <v>王少葵</v>
      </c>
      <c r="E628" s="7" t="str">
        <f t="shared" si="61"/>
        <v>女</v>
      </c>
      <c r="F628" s="7" t="s">
        <v>642</v>
      </c>
      <c r="G628" s="7" t="s">
        <v>12</v>
      </c>
      <c r="H628" s="7"/>
    </row>
    <row r="629" s="3" customFormat="1" ht="14.25" customHeight="1" spans="1:8">
      <c r="A629" s="7">
        <v>626</v>
      </c>
      <c r="B629" s="7" t="str">
        <f>"114020200404090806160584"</f>
        <v>114020200404090806160584</v>
      </c>
      <c r="C629" s="7" t="s">
        <v>583</v>
      </c>
      <c r="D629" s="7" t="str">
        <f>"刘琦"</f>
        <v>刘琦</v>
      </c>
      <c r="E629" s="7" t="str">
        <f t="shared" si="61"/>
        <v>女</v>
      </c>
      <c r="F629" s="7" t="s">
        <v>643</v>
      </c>
      <c r="G629" s="7" t="s">
        <v>12</v>
      </c>
      <c r="H629" s="7"/>
    </row>
    <row r="630" s="3" customFormat="1" ht="14.25" customHeight="1" spans="1:8">
      <c r="A630" s="7">
        <v>627</v>
      </c>
      <c r="B630" s="7" t="str">
        <f>"114020200404092113160587"</f>
        <v>114020200404092113160587</v>
      </c>
      <c r="C630" s="7" t="s">
        <v>583</v>
      </c>
      <c r="D630" s="7" t="str">
        <f>"吴少媛"</f>
        <v>吴少媛</v>
      </c>
      <c r="E630" s="7" t="str">
        <f t="shared" si="61"/>
        <v>女</v>
      </c>
      <c r="F630" s="7" t="s">
        <v>644</v>
      </c>
      <c r="G630" s="7" t="s">
        <v>12</v>
      </c>
      <c r="H630" s="7"/>
    </row>
    <row r="631" s="3" customFormat="1" ht="14.25" customHeight="1" spans="1:8">
      <c r="A631" s="7">
        <v>628</v>
      </c>
      <c r="B631" s="7" t="str">
        <f>"114020200404110857160596"</f>
        <v>114020200404110857160596</v>
      </c>
      <c r="C631" s="7" t="s">
        <v>583</v>
      </c>
      <c r="D631" s="7" t="str">
        <f>"邢贞明"</f>
        <v>邢贞明</v>
      </c>
      <c r="E631" s="7" t="str">
        <f>"男"</f>
        <v>男</v>
      </c>
      <c r="F631" s="7" t="s">
        <v>645</v>
      </c>
      <c r="G631" s="7" t="s">
        <v>12</v>
      </c>
      <c r="H631" s="7"/>
    </row>
    <row r="632" s="3" customFormat="1" ht="14.25" customHeight="1" spans="1:8">
      <c r="A632" s="7">
        <v>629</v>
      </c>
      <c r="B632" s="7" t="str">
        <f>"114020200404151106160620"</f>
        <v>114020200404151106160620</v>
      </c>
      <c r="C632" s="7" t="s">
        <v>583</v>
      </c>
      <c r="D632" s="7" t="str">
        <f>"周晓红"</f>
        <v>周晓红</v>
      </c>
      <c r="E632" s="7" t="str">
        <f t="shared" ref="E632:E666" si="62">"女"</f>
        <v>女</v>
      </c>
      <c r="F632" s="7" t="s">
        <v>646</v>
      </c>
      <c r="G632" s="7" t="s">
        <v>12</v>
      </c>
      <c r="H632" s="7"/>
    </row>
    <row r="633" s="3" customFormat="1" ht="14.25" customHeight="1" spans="1:8">
      <c r="A633" s="7">
        <v>630</v>
      </c>
      <c r="B633" s="7" t="str">
        <f>"114020200404231652160691"</f>
        <v>114020200404231652160691</v>
      </c>
      <c r="C633" s="7" t="s">
        <v>583</v>
      </c>
      <c r="D633" s="7" t="str">
        <f>"陈旭"</f>
        <v>陈旭</v>
      </c>
      <c r="E633" s="7" t="str">
        <f t="shared" si="62"/>
        <v>女</v>
      </c>
      <c r="F633" s="7" t="s">
        <v>647</v>
      </c>
      <c r="G633" s="7" t="s">
        <v>12</v>
      </c>
      <c r="H633" s="7"/>
    </row>
    <row r="634" s="3" customFormat="1" ht="14.25" customHeight="1" spans="1:8">
      <c r="A634" s="7">
        <v>631</v>
      </c>
      <c r="B634" s="7" t="str">
        <f>"114020200405121452160808"</f>
        <v>114020200405121452160808</v>
      </c>
      <c r="C634" s="7" t="s">
        <v>583</v>
      </c>
      <c r="D634" s="7" t="str">
        <f>"王怀莉"</f>
        <v>王怀莉</v>
      </c>
      <c r="E634" s="7" t="str">
        <f t="shared" si="62"/>
        <v>女</v>
      </c>
      <c r="F634" s="7" t="s">
        <v>648</v>
      </c>
      <c r="G634" s="7" t="s">
        <v>12</v>
      </c>
      <c r="H634" s="7"/>
    </row>
    <row r="635" s="3" customFormat="1" ht="14.25" customHeight="1" spans="1:8">
      <c r="A635" s="7">
        <v>632</v>
      </c>
      <c r="B635" s="7" t="str">
        <f>"114020200405130010160820"</f>
        <v>114020200405130010160820</v>
      </c>
      <c r="C635" s="7" t="s">
        <v>583</v>
      </c>
      <c r="D635" s="7" t="str">
        <f>"符秋艳"</f>
        <v>符秋艳</v>
      </c>
      <c r="E635" s="7" t="str">
        <f t="shared" si="62"/>
        <v>女</v>
      </c>
      <c r="F635" s="7" t="s">
        <v>649</v>
      </c>
      <c r="G635" s="7" t="s">
        <v>12</v>
      </c>
      <c r="H635" s="7"/>
    </row>
    <row r="636" s="3" customFormat="1" ht="14.25" customHeight="1" spans="1:8">
      <c r="A636" s="7">
        <v>633</v>
      </c>
      <c r="B636" s="7" t="str">
        <f>"114020200405143652160849"</f>
        <v>114020200405143652160849</v>
      </c>
      <c r="C636" s="7" t="s">
        <v>583</v>
      </c>
      <c r="D636" s="7" t="str">
        <f>"辛丽"</f>
        <v>辛丽</v>
      </c>
      <c r="E636" s="7" t="str">
        <f t="shared" si="62"/>
        <v>女</v>
      </c>
      <c r="F636" s="7" t="s">
        <v>650</v>
      </c>
      <c r="G636" s="7" t="s">
        <v>12</v>
      </c>
      <c r="H636" s="7"/>
    </row>
    <row r="637" s="3" customFormat="1" ht="14.25" customHeight="1" spans="1:8">
      <c r="A637" s="7">
        <v>634</v>
      </c>
      <c r="B637" s="7" t="str">
        <f>"114020200406081253161052"</f>
        <v>114020200406081253161052</v>
      </c>
      <c r="C637" s="7" t="s">
        <v>583</v>
      </c>
      <c r="D637" s="7" t="str">
        <f>"何思思"</f>
        <v>何思思</v>
      </c>
      <c r="E637" s="7" t="str">
        <f t="shared" si="62"/>
        <v>女</v>
      </c>
      <c r="F637" s="7" t="s">
        <v>651</v>
      </c>
      <c r="G637" s="7" t="s">
        <v>12</v>
      </c>
      <c r="H637" s="7"/>
    </row>
    <row r="638" s="3" customFormat="1" ht="14.25" customHeight="1" spans="1:8">
      <c r="A638" s="7">
        <v>635</v>
      </c>
      <c r="B638" s="7" t="str">
        <f>"114020200406113730161164"</f>
        <v>114020200406113730161164</v>
      </c>
      <c r="C638" s="7" t="s">
        <v>583</v>
      </c>
      <c r="D638" s="7" t="str">
        <f>"李舒"</f>
        <v>李舒</v>
      </c>
      <c r="E638" s="7" t="str">
        <f t="shared" si="62"/>
        <v>女</v>
      </c>
      <c r="F638" s="7" t="s">
        <v>652</v>
      </c>
      <c r="G638" s="7" t="s">
        <v>12</v>
      </c>
      <c r="H638" s="7"/>
    </row>
    <row r="639" s="3" customFormat="1" ht="14.25" customHeight="1" spans="1:8">
      <c r="A639" s="7">
        <v>636</v>
      </c>
      <c r="B639" s="7" t="str">
        <f>"114020200328091843157174"</f>
        <v>114020200328091843157174</v>
      </c>
      <c r="C639" s="7" t="s">
        <v>653</v>
      </c>
      <c r="D639" s="7" t="str">
        <f>"刘海丽"</f>
        <v>刘海丽</v>
      </c>
      <c r="E639" s="7" t="str">
        <f t="shared" si="62"/>
        <v>女</v>
      </c>
      <c r="F639" s="7" t="s">
        <v>654</v>
      </c>
      <c r="G639" s="7" t="s">
        <v>12</v>
      </c>
      <c r="H639" s="7"/>
    </row>
    <row r="640" s="3" customFormat="1" ht="14.25" customHeight="1" spans="1:8">
      <c r="A640" s="7">
        <v>637</v>
      </c>
      <c r="B640" s="7" t="str">
        <f>"114020200328101631157321"</f>
        <v>114020200328101631157321</v>
      </c>
      <c r="C640" s="7" t="s">
        <v>653</v>
      </c>
      <c r="D640" s="7" t="str">
        <f>"赵运娟"</f>
        <v>赵运娟</v>
      </c>
      <c r="E640" s="7" t="str">
        <f t="shared" si="62"/>
        <v>女</v>
      </c>
      <c r="F640" s="7" t="s">
        <v>655</v>
      </c>
      <c r="G640" s="7" t="s">
        <v>12</v>
      </c>
      <c r="H640" s="7"/>
    </row>
    <row r="641" s="3" customFormat="1" ht="14.25" customHeight="1" spans="1:8">
      <c r="A641" s="7">
        <v>638</v>
      </c>
      <c r="B641" s="7" t="str">
        <f>"114020200328105721157413"</f>
        <v>114020200328105721157413</v>
      </c>
      <c r="C641" s="7" t="s">
        <v>653</v>
      </c>
      <c r="D641" s="7" t="str">
        <f>"张晓婷"</f>
        <v>张晓婷</v>
      </c>
      <c r="E641" s="7" t="str">
        <f t="shared" si="62"/>
        <v>女</v>
      </c>
      <c r="F641" s="7" t="s">
        <v>656</v>
      </c>
      <c r="G641" s="7" t="s">
        <v>12</v>
      </c>
      <c r="H641" s="7"/>
    </row>
    <row r="642" s="3" customFormat="1" ht="14.25" customHeight="1" spans="1:8">
      <c r="A642" s="7">
        <v>639</v>
      </c>
      <c r="B642" s="7" t="str">
        <f>"114020200328120854157550"</f>
        <v>114020200328120854157550</v>
      </c>
      <c r="C642" s="7" t="s">
        <v>653</v>
      </c>
      <c r="D642" s="7" t="str">
        <f>"高婷"</f>
        <v>高婷</v>
      </c>
      <c r="E642" s="7" t="str">
        <f t="shared" si="62"/>
        <v>女</v>
      </c>
      <c r="F642" s="7" t="s">
        <v>657</v>
      </c>
      <c r="G642" s="7" t="s">
        <v>12</v>
      </c>
      <c r="H642" s="7"/>
    </row>
    <row r="643" s="3" customFormat="1" ht="14.25" customHeight="1" spans="1:8">
      <c r="A643" s="7">
        <v>640</v>
      </c>
      <c r="B643" s="7" t="str">
        <f>"114020200328122911157590"</f>
        <v>114020200328122911157590</v>
      </c>
      <c r="C643" s="7" t="s">
        <v>653</v>
      </c>
      <c r="D643" s="7" t="str">
        <f>"陈孝婕"</f>
        <v>陈孝婕</v>
      </c>
      <c r="E643" s="7" t="str">
        <f t="shared" si="62"/>
        <v>女</v>
      </c>
      <c r="F643" s="7" t="s">
        <v>658</v>
      </c>
      <c r="G643" s="7" t="s">
        <v>12</v>
      </c>
      <c r="H643" s="7"/>
    </row>
    <row r="644" s="3" customFormat="1" ht="14.25" customHeight="1" spans="1:8">
      <c r="A644" s="7">
        <v>641</v>
      </c>
      <c r="B644" s="7" t="str">
        <f>"114020200328132445157675"</f>
        <v>114020200328132445157675</v>
      </c>
      <c r="C644" s="7" t="s">
        <v>653</v>
      </c>
      <c r="D644" s="7" t="str">
        <f>"周艳"</f>
        <v>周艳</v>
      </c>
      <c r="E644" s="7" t="str">
        <f t="shared" si="62"/>
        <v>女</v>
      </c>
      <c r="F644" s="7" t="s">
        <v>659</v>
      </c>
      <c r="G644" s="7" t="s">
        <v>12</v>
      </c>
      <c r="H644" s="7"/>
    </row>
    <row r="645" s="3" customFormat="1" ht="14.25" customHeight="1" spans="1:8">
      <c r="A645" s="7">
        <v>642</v>
      </c>
      <c r="B645" s="7" t="str">
        <f>"114020200328140329157721"</f>
        <v>114020200328140329157721</v>
      </c>
      <c r="C645" s="7" t="s">
        <v>653</v>
      </c>
      <c r="D645" s="7" t="str">
        <f>"翁海燕"</f>
        <v>翁海燕</v>
      </c>
      <c r="E645" s="7" t="str">
        <f t="shared" si="62"/>
        <v>女</v>
      </c>
      <c r="F645" s="7" t="s">
        <v>660</v>
      </c>
      <c r="G645" s="7" t="s">
        <v>12</v>
      </c>
      <c r="H645" s="7"/>
    </row>
    <row r="646" s="3" customFormat="1" ht="14.25" customHeight="1" spans="1:8">
      <c r="A646" s="7">
        <v>643</v>
      </c>
      <c r="B646" s="7" t="str">
        <f>"114020200328153958157812"</f>
        <v>114020200328153958157812</v>
      </c>
      <c r="C646" s="7" t="s">
        <v>653</v>
      </c>
      <c r="D646" s="7" t="str">
        <f>"李静"</f>
        <v>李静</v>
      </c>
      <c r="E646" s="7" t="str">
        <f t="shared" si="62"/>
        <v>女</v>
      </c>
      <c r="F646" s="7" t="s">
        <v>661</v>
      </c>
      <c r="G646" s="7" t="s">
        <v>12</v>
      </c>
      <c r="H646" s="7"/>
    </row>
    <row r="647" s="3" customFormat="1" ht="14.25" customHeight="1" spans="1:8">
      <c r="A647" s="7">
        <v>644</v>
      </c>
      <c r="B647" s="7" t="str">
        <f>"114020200328190954157990"</f>
        <v>114020200328190954157990</v>
      </c>
      <c r="C647" s="7" t="s">
        <v>653</v>
      </c>
      <c r="D647" s="7" t="str">
        <f>"文娟"</f>
        <v>文娟</v>
      </c>
      <c r="E647" s="7" t="str">
        <f t="shared" si="62"/>
        <v>女</v>
      </c>
      <c r="F647" s="7" t="s">
        <v>662</v>
      </c>
      <c r="G647" s="7" t="s">
        <v>12</v>
      </c>
      <c r="H647" s="7"/>
    </row>
    <row r="648" s="3" customFormat="1" ht="14.25" customHeight="1" spans="1:8">
      <c r="A648" s="7">
        <v>645</v>
      </c>
      <c r="B648" s="7" t="str">
        <f>"114020200328211432158085"</f>
        <v>114020200328211432158085</v>
      </c>
      <c r="C648" s="7" t="s">
        <v>653</v>
      </c>
      <c r="D648" s="7" t="str">
        <f>"李芳"</f>
        <v>李芳</v>
      </c>
      <c r="E648" s="7" t="str">
        <f t="shared" si="62"/>
        <v>女</v>
      </c>
      <c r="F648" s="7" t="s">
        <v>663</v>
      </c>
      <c r="G648" s="7" t="s">
        <v>12</v>
      </c>
      <c r="H648" s="7"/>
    </row>
    <row r="649" s="3" customFormat="1" ht="14.25" customHeight="1" spans="1:8">
      <c r="A649" s="7">
        <v>646</v>
      </c>
      <c r="B649" s="7" t="str">
        <f>"114020200328214204158103"</f>
        <v>114020200328214204158103</v>
      </c>
      <c r="C649" s="7" t="s">
        <v>653</v>
      </c>
      <c r="D649" s="7" t="str">
        <f>"曾花美"</f>
        <v>曾花美</v>
      </c>
      <c r="E649" s="7" t="str">
        <f t="shared" si="62"/>
        <v>女</v>
      </c>
      <c r="F649" s="7" t="s">
        <v>664</v>
      </c>
      <c r="G649" s="7" t="s">
        <v>12</v>
      </c>
      <c r="H649" s="7"/>
    </row>
    <row r="650" s="3" customFormat="1" ht="14.25" customHeight="1" spans="1:8">
      <c r="A650" s="7">
        <v>647</v>
      </c>
      <c r="B650" s="7" t="str">
        <f>"114020200328223601158141"</f>
        <v>114020200328223601158141</v>
      </c>
      <c r="C650" s="7" t="s">
        <v>653</v>
      </c>
      <c r="D650" s="7" t="str">
        <f>"王梅"</f>
        <v>王梅</v>
      </c>
      <c r="E650" s="7" t="str">
        <f t="shared" si="62"/>
        <v>女</v>
      </c>
      <c r="F650" s="7" t="s">
        <v>665</v>
      </c>
      <c r="G650" s="7" t="s">
        <v>12</v>
      </c>
      <c r="H650" s="7"/>
    </row>
    <row r="651" s="3" customFormat="1" ht="14.25" customHeight="1" spans="1:8">
      <c r="A651" s="7">
        <v>648</v>
      </c>
      <c r="B651" s="7" t="str">
        <f>"114020200328230307158155"</f>
        <v>114020200328230307158155</v>
      </c>
      <c r="C651" s="7" t="s">
        <v>653</v>
      </c>
      <c r="D651" s="7" t="str">
        <f>"麦树立"</f>
        <v>麦树立</v>
      </c>
      <c r="E651" s="7" t="str">
        <f t="shared" si="62"/>
        <v>女</v>
      </c>
      <c r="F651" s="7" t="s">
        <v>666</v>
      </c>
      <c r="G651" s="7" t="s">
        <v>12</v>
      </c>
      <c r="H651" s="7"/>
    </row>
    <row r="652" s="3" customFormat="1" ht="14.25" customHeight="1" spans="1:8">
      <c r="A652" s="7">
        <v>649</v>
      </c>
      <c r="B652" s="7" t="str">
        <f>"114020200329084856158203"</f>
        <v>114020200329084856158203</v>
      </c>
      <c r="C652" s="7" t="s">
        <v>653</v>
      </c>
      <c r="D652" s="7" t="str">
        <f>"陈莉"</f>
        <v>陈莉</v>
      </c>
      <c r="E652" s="7" t="str">
        <f t="shared" si="62"/>
        <v>女</v>
      </c>
      <c r="F652" s="7" t="s">
        <v>667</v>
      </c>
      <c r="G652" s="7" t="s">
        <v>12</v>
      </c>
      <c r="H652" s="7"/>
    </row>
    <row r="653" s="3" customFormat="1" ht="14.25" customHeight="1" spans="1:8">
      <c r="A653" s="7">
        <v>650</v>
      </c>
      <c r="B653" s="7" t="str">
        <f>"114020200330163033159133"</f>
        <v>114020200330163033159133</v>
      </c>
      <c r="C653" s="7" t="s">
        <v>653</v>
      </c>
      <c r="D653" s="7" t="str">
        <f>"谢珍珍"</f>
        <v>谢珍珍</v>
      </c>
      <c r="E653" s="7" t="str">
        <f t="shared" si="62"/>
        <v>女</v>
      </c>
      <c r="F653" s="7" t="s">
        <v>668</v>
      </c>
      <c r="G653" s="7" t="s">
        <v>12</v>
      </c>
      <c r="H653" s="7"/>
    </row>
    <row r="654" s="3" customFormat="1" ht="14.25" customHeight="1" spans="1:8">
      <c r="A654" s="7">
        <v>651</v>
      </c>
      <c r="B654" s="7" t="str">
        <f>"114020200331114909159453"</f>
        <v>114020200331114909159453</v>
      </c>
      <c r="C654" s="7" t="s">
        <v>653</v>
      </c>
      <c r="D654" s="7" t="str">
        <f>"郑婷"</f>
        <v>郑婷</v>
      </c>
      <c r="E654" s="7" t="str">
        <f t="shared" si="62"/>
        <v>女</v>
      </c>
      <c r="F654" s="7" t="s">
        <v>669</v>
      </c>
      <c r="G654" s="7" t="s">
        <v>12</v>
      </c>
      <c r="H654" s="7"/>
    </row>
    <row r="655" s="3" customFormat="1" ht="14.25" customHeight="1" spans="1:8">
      <c r="A655" s="7">
        <v>652</v>
      </c>
      <c r="B655" s="7" t="str">
        <f>"114020200331164623159598"</f>
        <v>114020200331164623159598</v>
      </c>
      <c r="C655" s="7" t="s">
        <v>653</v>
      </c>
      <c r="D655" s="7" t="str">
        <f>"苏小妹"</f>
        <v>苏小妹</v>
      </c>
      <c r="E655" s="7" t="str">
        <f t="shared" si="62"/>
        <v>女</v>
      </c>
      <c r="F655" s="7" t="s">
        <v>670</v>
      </c>
      <c r="G655" s="7" t="s">
        <v>12</v>
      </c>
      <c r="H655" s="7"/>
    </row>
    <row r="656" s="3" customFormat="1" ht="14.25" customHeight="1" spans="1:8">
      <c r="A656" s="7">
        <v>653</v>
      </c>
      <c r="B656" s="7" t="str">
        <f>"114020200331210814159679"</f>
        <v>114020200331210814159679</v>
      </c>
      <c r="C656" s="7" t="s">
        <v>653</v>
      </c>
      <c r="D656" s="7" t="str">
        <f>"李娴"</f>
        <v>李娴</v>
      </c>
      <c r="E656" s="7" t="str">
        <f t="shared" si="62"/>
        <v>女</v>
      </c>
      <c r="F656" s="7" t="s">
        <v>671</v>
      </c>
      <c r="G656" s="7" t="s">
        <v>12</v>
      </c>
      <c r="H656" s="7"/>
    </row>
    <row r="657" s="3" customFormat="1" ht="14.25" customHeight="1" spans="1:8">
      <c r="A657" s="7">
        <v>654</v>
      </c>
      <c r="B657" s="7" t="str">
        <f>"114020200331215908159707"</f>
        <v>114020200331215908159707</v>
      </c>
      <c r="C657" s="7" t="s">
        <v>653</v>
      </c>
      <c r="D657" s="7" t="str">
        <f>"纪新珍"</f>
        <v>纪新珍</v>
      </c>
      <c r="E657" s="7" t="str">
        <f t="shared" si="62"/>
        <v>女</v>
      </c>
      <c r="F657" s="7" t="s">
        <v>672</v>
      </c>
      <c r="G657" s="7" t="s">
        <v>12</v>
      </c>
      <c r="H657" s="7"/>
    </row>
    <row r="658" s="3" customFormat="1" ht="14.25" customHeight="1" spans="1:8">
      <c r="A658" s="7">
        <v>655</v>
      </c>
      <c r="B658" s="7" t="str">
        <f>"114020200402105438160136"</f>
        <v>114020200402105438160136</v>
      </c>
      <c r="C658" s="7" t="s">
        <v>653</v>
      </c>
      <c r="D658" s="7" t="str">
        <f>"曾亚美"</f>
        <v>曾亚美</v>
      </c>
      <c r="E658" s="7" t="str">
        <f t="shared" si="62"/>
        <v>女</v>
      </c>
      <c r="F658" s="7" t="s">
        <v>673</v>
      </c>
      <c r="G658" s="7" t="s">
        <v>12</v>
      </c>
      <c r="H658" s="7"/>
    </row>
    <row r="659" s="3" customFormat="1" ht="14.25" customHeight="1" spans="1:8">
      <c r="A659" s="7">
        <v>656</v>
      </c>
      <c r="B659" s="7" t="str">
        <f>"114020200402162218160225"</f>
        <v>114020200402162218160225</v>
      </c>
      <c r="C659" s="7" t="s">
        <v>653</v>
      </c>
      <c r="D659" s="7" t="str">
        <f>"王俊彦"</f>
        <v>王俊彦</v>
      </c>
      <c r="E659" s="7" t="str">
        <f t="shared" si="62"/>
        <v>女</v>
      </c>
      <c r="F659" s="7" t="s">
        <v>674</v>
      </c>
      <c r="G659" s="7" t="s">
        <v>12</v>
      </c>
      <c r="H659" s="7"/>
    </row>
    <row r="660" s="3" customFormat="1" ht="14.25" customHeight="1" spans="1:8">
      <c r="A660" s="7">
        <v>657</v>
      </c>
      <c r="B660" s="7" t="str">
        <f>"114020200403105048160400"</f>
        <v>114020200403105048160400</v>
      </c>
      <c r="C660" s="7" t="s">
        <v>653</v>
      </c>
      <c r="D660" s="7" t="str">
        <f>"秦栏娟"</f>
        <v>秦栏娟</v>
      </c>
      <c r="E660" s="7" t="str">
        <f t="shared" si="62"/>
        <v>女</v>
      </c>
      <c r="F660" s="7" t="s">
        <v>675</v>
      </c>
      <c r="G660" s="7" t="s">
        <v>12</v>
      </c>
      <c r="H660" s="7"/>
    </row>
    <row r="661" s="3" customFormat="1" ht="14.25" customHeight="1" spans="1:8">
      <c r="A661" s="7">
        <v>658</v>
      </c>
      <c r="B661" s="7" t="str">
        <f>"114020200403183024160527"</f>
        <v>114020200403183024160527</v>
      </c>
      <c r="C661" s="7" t="s">
        <v>653</v>
      </c>
      <c r="D661" s="7" t="str">
        <f>"陈达纯"</f>
        <v>陈达纯</v>
      </c>
      <c r="E661" s="7" t="str">
        <f t="shared" si="62"/>
        <v>女</v>
      </c>
      <c r="F661" s="7" t="s">
        <v>676</v>
      </c>
      <c r="G661" s="7" t="s">
        <v>12</v>
      </c>
      <c r="H661" s="7"/>
    </row>
    <row r="662" s="3" customFormat="1" ht="14.25" customHeight="1" spans="1:8">
      <c r="A662" s="7">
        <v>659</v>
      </c>
      <c r="B662" s="7" t="str">
        <f>"114020200404180210160635"</f>
        <v>114020200404180210160635</v>
      </c>
      <c r="C662" s="7" t="s">
        <v>653</v>
      </c>
      <c r="D662" s="7" t="str">
        <f>"王琇桦"</f>
        <v>王琇桦</v>
      </c>
      <c r="E662" s="7" t="str">
        <f t="shared" si="62"/>
        <v>女</v>
      </c>
      <c r="F662" s="7" t="s">
        <v>677</v>
      </c>
      <c r="G662" s="7" t="s">
        <v>12</v>
      </c>
      <c r="H662" s="7"/>
    </row>
    <row r="663" s="3" customFormat="1" ht="14.25" customHeight="1" spans="1:8">
      <c r="A663" s="7">
        <v>660</v>
      </c>
      <c r="B663" s="7" t="str">
        <f>"114020200404233615160699"</f>
        <v>114020200404233615160699</v>
      </c>
      <c r="C663" s="7" t="s">
        <v>653</v>
      </c>
      <c r="D663" s="7" t="str">
        <f>"郑慧琴"</f>
        <v>郑慧琴</v>
      </c>
      <c r="E663" s="7" t="str">
        <f t="shared" si="62"/>
        <v>女</v>
      </c>
      <c r="F663" s="7" t="s">
        <v>678</v>
      </c>
      <c r="G663" s="7" t="s">
        <v>12</v>
      </c>
      <c r="H663" s="7"/>
    </row>
    <row r="664" s="3" customFormat="1" ht="14.25" customHeight="1" spans="1:8">
      <c r="A664" s="7">
        <v>661</v>
      </c>
      <c r="B664" s="7" t="str">
        <f>"114020200405173740160901"</f>
        <v>114020200405173740160901</v>
      </c>
      <c r="C664" s="7" t="s">
        <v>653</v>
      </c>
      <c r="D664" s="7" t="str">
        <f>"林声芳"</f>
        <v>林声芳</v>
      </c>
      <c r="E664" s="7" t="str">
        <f t="shared" si="62"/>
        <v>女</v>
      </c>
      <c r="F664" s="7" t="s">
        <v>679</v>
      </c>
      <c r="G664" s="7" t="s">
        <v>12</v>
      </c>
      <c r="H664" s="7"/>
    </row>
    <row r="665" s="3" customFormat="1" ht="14.25" customHeight="1" spans="1:8">
      <c r="A665" s="7">
        <v>662</v>
      </c>
      <c r="B665" s="7" t="str">
        <f>"114020200406072050161047"</f>
        <v>114020200406072050161047</v>
      </c>
      <c r="C665" s="7" t="s">
        <v>653</v>
      </c>
      <c r="D665" s="7" t="str">
        <f>"陈琦琦"</f>
        <v>陈琦琦</v>
      </c>
      <c r="E665" s="7" t="str">
        <f t="shared" si="62"/>
        <v>女</v>
      </c>
      <c r="F665" s="7" t="s">
        <v>680</v>
      </c>
      <c r="G665" s="7" t="s">
        <v>12</v>
      </c>
      <c r="H665" s="7"/>
    </row>
    <row r="666" s="3" customFormat="1" ht="14.25" customHeight="1" spans="1:8">
      <c r="A666" s="7">
        <v>663</v>
      </c>
      <c r="B666" s="7" t="str">
        <f>"114020200406092632161070"</f>
        <v>114020200406092632161070</v>
      </c>
      <c r="C666" s="7" t="s">
        <v>653</v>
      </c>
      <c r="D666" s="7" t="str">
        <f>"张巧玲"</f>
        <v>张巧玲</v>
      </c>
      <c r="E666" s="7" t="str">
        <f t="shared" si="62"/>
        <v>女</v>
      </c>
      <c r="F666" s="7" t="s">
        <v>681</v>
      </c>
      <c r="G666" s="7" t="s">
        <v>12</v>
      </c>
      <c r="H666" s="7"/>
    </row>
    <row r="667" s="3" customFormat="1" ht="14.25" customHeight="1" spans="1:8">
      <c r="A667" s="7">
        <v>664</v>
      </c>
      <c r="B667" s="7" t="str">
        <f>"114020200328090222157134"</f>
        <v>114020200328090222157134</v>
      </c>
      <c r="C667" s="7" t="s">
        <v>682</v>
      </c>
      <c r="D667" s="7" t="str">
        <f>"姚仕海"</f>
        <v>姚仕海</v>
      </c>
      <c r="E667" s="7" t="str">
        <f t="shared" ref="E667:E671" si="63">"男"</f>
        <v>男</v>
      </c>
      <c r="F667" s="7" t="s">
        <v>683</v>
      </c>
      <c r="G667" s="7" t="s">
        <v>12</v>
      </c>
      <c r="H667" s="7"/>
    </row>
    <row r="668" s="3" customFormat="1" ht="14.25" customHeight="1" spans="1:8">
      <c r="A668" s="7">
        <v>665</v>
      </c>
      <c r="B668" s="7" t="str">
        <f>"114020200328100058157276"</f>
        <v>114020200328100058157276</v>
      </c>
      <c r="C668" s="7" t="s">
        <v>682</v>
      </c>
      <c r="D668" s="7" t="str">
        <f>"董腾岭"</f>
        <v>董腾岭</v>
      </c>
      <c r="E668" s="7" t="str">
        <f t="shared" ref="E668:E672" si="64">"女"</f>
        <v>女</v>
      </c>
      <c r="F668" s="7" t="s">
        <v>684</v>
      </c>
      <c r="G668" s="7" t="s">
        <v>12</v>
      </c>
      <c r="H668" s="7"/>
    </row>
    <row r="669" s="3" customFormat="1" ht="14.25" customHeight="1" spans="1:8">
      <c r="A669" s="7">
        <v>666</v>
      </c>
      <c r="B669" s="7" t="str">
        <f>"114020200328125740157631"</f>
        <v>114020200328125740157631</v>
      </c>
      <c r="C669" s="7" t="s">
        <v>682</v>
      </c>
      <c r="D669" s="7" t="str">
        <f>"高毓鸿"</f>
        <v>高毓鸿</v>
      </c>
      <c r="E669" s="7" t="str">
        <f t="shared" si="64"/>
        <v>女</v>
      </c>
      <c r="F669" s="7" t="s">
        <v>685</v>
      </c>
      <c r="G669" s="7" t="s">
        <v>12</v>
      </c>
      <c r="H669" s="7"/>
    </row>
    <row r="670" s="3" customFormat="1" ht="14.25" customHeight="1" spans="1:8">
      <c r="A670" s="7">
        <v>667</v>
      </c>
      <c r="B670" s="7" t="str">
        <f>"114020200328131057157651"</f>
        <v>114020200328131057157651</v>
      </c>
      <c r="C670" s="7" t="s">
        <v>682</v>
      </c>
      <c r="D670" s="7" t="str">
        <f>"杨亦中"</f>
        <v>杨亦中</v>
      </c>
      <c r="E670" s="7" t="str">
        <f t="shared" si="63"/>
        <v>男</v>
      </c>
      <c r="F670" s="7" t="s">
        <v>686</v>
      </c>
      <c r="G670" s="7" t="s">
        <v>12</v>
      </c>
      <c r="H670" s="7"/>
    </row>
    <row r="671" s="3" customFormat="1" ht="14.25" customHeight="1" spans="1:8">
      <c r="A671" s="7">
        <v>668</v>
      </c>
      <c r="B671" s="7" t="str">
        <f>"114020200328153213157803"</f>
        <v>114020200328153213157803</v>
      </c>
      <c r="C671" s="7" t="s">
        <v>682</v>
      </c>
      <c r="D671" s="7" t="str">
        <f>"李常林"</f>
        <v>李常林</v>
      </c>
      <c r="E671" s="7" t="str">
        <f t="shared" si="63"/>
        <v>男</v>
      </c>
      <c r="F671" s="7" t="s">
        <v>687</v>
      </c>
      <c r="G671" s="7" t="s">
        <v>12</v>
      </c>
      <c r="H671" s="7"/>
    </row>
    <row r="672" s="3" customFormat="1" ht="14.25" customHeight="1" spans="1:8">
      <c r="A672" s="7">
        <v>669</v>
      </c>
      <c r="B672" s="7" t="str">
        <f>"114020200328205519158065"</f>
        <v>114020200328205519158065</v>
      </c>
      <c r="C672" s="7" t="s">
        <v>682</v>
      </c>
      <c r="D672" s="7" t="str">
        <f>"富宇"</f>
        <v>富宇</v>
      </c>
      <c r="E672" s="7" t="str">
        <f t="shared" si="64"/>
        <v>女</v>
      </c>
      <c r="F672" s="7" t="s">
        <v>688</v>
      </c>
      <c r="G672" s="7" t="s">
        <v>12</v>
      </c>
      <c r="H672" s="7"/>
    </row>
    <row r="673" s="3" customFormat="1" ht="14.25" customHeight="1" spans="1:8">
      <c r="A673" s="7">
        <v>670</v>
      </c>
      <c r="B673" s="7" t="str">
        <f>"114020200329124704158376"</f>
        <v>114020200329124704158376</v>
      </c>
      <c r="C673" s="7" t="s">
        <v>682</v>
      </c>
      <c r="D673" s="7" t="str">
        <f>"周伟豪"</f>
        <v>周伟豪</v>
      </c>
      <c r="E673" s="7" t="str">
        <f t="shared" ref="E673:E676" si="65">"男"</f>
        <v>男</v>
      </c>
      <c r="F673" s="7" t="s">
        <v>689</v>
      </c>
      <c r="G673" s="7" t="s">
        <v>12</v>
      </c>
      <c r="H673" s="7"/>
    </row>
    <row r="674" s="3" customFormat="1" ht="14.25" customHeight="1" spans="1:8">
      <c r="A674" s="7">
        <v>671</v>
      </c>
      <c r="B674" s="7" t="str">
        <f>"114020200329153719158464"</f>
        <v>114020200329153719158464</v>
      </c>
      <c r="C674" s="7" t="s">
        <v>682</v>
      </c>
      <c r="D674" s="7" t="str">
        <f>"马成科"</f>
        <v>马成科</v>
      </c>
      <c r="E674" s="7" t="str">
        <f t="shared" si="65"/>
        <v>男</v>
      </c>
      <c r="F674" s="7" t="s">
        <v>690</v>
      </c>
      <c r="G674" s="7" t="s">
        <v>12</v>
      </c>
      <c r="H674" s="7"/>
    </row>
    <row r="675" s="3" customFormat="1" ht="14.25" customHeight="1" spans="1:8">
      <c r="A675" s="7">
        <v>672</v>
      </c>
      <c r="B675" s="7" t="str">
        <f>"114020200331153456159567"</f>
        <v>114020200331153456159567</v>
      </c>
      <c r="C675" s="7" t="s">
        <v>682</v>
      </c>
      <c r="D675" s="7" t="str">
        <f>"姜亮"</f>
        <v>姜亮</v>
      </c>
      <c r="E675" s="7" t="str">
        <f t="shared" si="65"/>
        <v>男</v>
      </c>
      <c r="F675" s="7" t="s">
        <v>691</v>
      </c>
      <c r="G675" s="7" t="s">
        <v>12</v>
      </c>
      <c r="H675" s="7"/>
    </row>
    <row r="676" s="3" customFormat="1" ht="14.25" customHeight="1" spans="1:8">
      <c r="A676" s="7">
        <v>673</v>
      </c>
      <c r="B676" s="7" t="str">
        <f>"114020200331173122159618"</f>
        <v>114020200331173122159618</v>
      </c>
      <c r="C676" s="7" t="s">
        <v>682</v>
      </c>
      <c r="D676" s="7" t="str">
        <f>"孟祥玉"</f>
        <v>孟祥玉</v>
      </c>
      <c r="E676" s="7" t="str">
        <f t="shared" si="65"/>
        <v>男</v>
      </c>
      <c r="F676" s="7" t="s">
        <v>692</v>
      </c>
      <c r="G676" s="7" t="s">
        <v>12</v>
      </c>
      <c r="H676" s="7"/>
    </row>
    <row r="677" s="3" customFormat="1" ht="14.25" customHeight="1" spans="1:8">
      <c r="A677" s="7">
        <v>674</v>
      </c>
      <c r="B677" s="7" t="str">
        <f>"114020200401140941159865"</f>
        <v>114020200401140941159865</v>
      </c>
      <c r="C677" s="7" t="s">
        <v>682</v>
      </c>
      <c r="D677" s="7" t="str">
        <f>"王羽南"</f>
        <v>王羽南</v>
      </c>
      <c r="E677" s="7" t="str">
        <f t="shared" ref="E677:E718" si="66">"女"</f>
        <v>女</v>
      </c>
      <c r="F677" s="7" t="s">
        <v>693</v>
      </c>
      <c r="G677" s="7" t="s">
        <v>12</v>
      </c>
      <c r="H677" s="7"/>
    </row>
    <row r="678" s="3" customFormat="1" ht="14.25" customHeight="1" spans="1:8">
      <c r="A678" s="7">
        <v>675</v>
      </c>
      <c r="B678" s="7" t="str">
        <f>"114020200401142147159867"</f>
        <v>114020200401142147159867</v>
      </c>
      <c r="C678" s="7" t="s">
        <v>682</v>
      </c>
      <c r="D678" s="7" t="str">
        <f>"王旭妍"</f>
        <v>王旭妍</v>
      </c>
      <c r="E678" s="7" t="str">
        <f t="shared" si="66"/>
        <v>女</v>
      </c>
      <c r="F678" s="7" t="s">
        <v>694</v>
      </c>
      <c r="G678" s="7" t="s">
        <v>12</v>
      </c>
      <c r="H678" s="7"/>
    </row>
    <row r="679" s="3" customFormat="1" ht="14.25" customHeight="1" spans="1:8">
      <c r="A679" s="7">
        <v>676</v>
      </c>
      <c r="B679" s="7" t="str">
        <f>"114020200401173412159967"</f>
        <v>114020200401173412159967</v>
      </c>
      <c r="C679" s="7" t="s">
        <v>682</v>
      </c>
      <c r="D679" s="7" t="str">
        <f>"刘怡倩"</f>
        <v>刘怡倩</v>
      </c>
      <c r="E679" s="7" t="str">
        <f t="shared" si="66"/>
        <v>女</v>
      </c>
      <c r="F679" s="7" t="s">
        <v>695</v>
      </c>
      <c r="G679" s="7" t="s">
        <v>12</v>
      </c>
      <c r="H679" s="7"/>
    </row>
    <row r="680" s="3" customFormat="1" ht="14.25" customHeight="1" spans="1:8">
      <c r="A680" s="7">
        <v>677</v>
      </c>
      <c r="B680" s="7" t="str">
        <f>"114020200405185016160924"</f>
        <v>114020200405185016160924</v>
      </c>
      <c r="C680" s="7" t="s">
        <v>682</v>
      </c>
      <c r="D680" s="7" t="str">
        <f>"王一棉"</f>
        <v>王一棉</v>
      </c>
      <c r="E680" s="7" t="str">
        <f t="shared" si="66"/>
        <v>女</v>
      </c>
      <c r="F680" s="7" t="s">
        <v>696</v>
      </c>
      <c r="G680" s="7" t="s">
        <v>12</v>
      </c>
      <c r="H680" s="7"/>
    </row>
    <row r="681" s="3" customFormat="1" ht="14.25" customHeight="1" spans="1:8">
      <c r="A681" s="7">
        <v>678</v>
      </c>
      <c r="B681" s="7" t="str">
        <f>"114020200328091229157163"</f>
        <v>114020200328091229157163</v>
      </c>
      <c r="C681" s="7" t="s">
        <v>697</v>
      </c>
      <c r="D681" s="7" t="str">
        <f>"林丹"</f>
        <v>林丹</v>
      </c>
      <c r="E681" s="7" t="str">
        <f t="shared" si="66"/>
        <v>女</v>
      </c>
      <c r="F681" s="7" t="s">
        <v>698</v>
      </c>
      <c r="G681" s="7" t="s">
        <v>12</v>
      </c>
      <c r="H681" s="7"/>
    </row>
    <row r="682" s="3" customFormat="1" ht="14.25" customHeight="1" spans="1:8">
      <c r="A682" s="7">
        <v>679</v>
      </c>
      <c r="B682" s="7" t="str">
        <f>"114020200328095450157260"</f>
        <v>114020200328095450157260</v>
      </c>
      <c r="C682" s="7" t="s">
        <v>697</v>
      </c>
      <c r="D682" s="7" t="str">
        <f>"黄杏丁"</f>
        <v>黄杏丁</v>
      </c>
      <c r="E682" s="7" t="str">
        <f t="shared" si="66"/>
        <v>女</v>
      </c>
      <c r="F682" s="7" t="s">
        <v>699</v>
      </c>
      <c r="G682" s="7" t="s">
        <v>12</v>
      </c>
      <c r="H682" s="7"/>
    </row>
    <row r="683" s="3" customFormat="1" ht="14.25" customHeight="1" spans="1:8">
      <c r="A683" s="7">
        <v>680</v>
      </c>
      <c r="B683" s="7" t="str">
        <f>"114020200328101854157329"</f>
        <v>114020200328101854157329</v>
      </c>
      <c r="C683" s="7" t="s">
        <v>697</v>
      </c>
      <c r="D683" s="7" t="str">
        <f>"陈洪量"</f>
        <v>陈洪量</v>
      </c>
      <c r="E683" s="7" t="str">
        <f t="shared" si="66"/>
        <v>女</v>
      </c>
      <c r="F683" s="7" t="s">
        <v>700</v>
      </c>
      <c r="G683" s="7" t="s">
        <v>12</v>
      </c>
      <c r="H683" s="7"/>
    </row>
    <row r="684" s="3" customFormat="1" ht="14.25" customHeight="1" spans="1:8">
      <c r="A684" s="7">
        <v>681</v>
      </c>
      <c r="B684" s="7" t="str">
        <f>"114020200328103735157371"</f>
        <v>114020200328103735157371</v>
      </c>
      <c r="C684" s="7" t="s">
        <v>697</v>
      </c>
      <c r="D684" s="7" t="str">
        <f>"谭亚园"</f>
        <v>谭亚园</v>
      </c>
      <c r="E684" s="7" t="str">
        <f t="shared" si="66"/>
        <v>女</v>
      </c>
      <c r="F684" s="7" t="s">
        <v>701</v>
      </c>
      <c r="G684" s="7" t="s">
        <v>12</v>
      </c>
      <c r="H684" s="7"/>
    </row>
    <row r="685" s="3" customFormat="1" ht="14.25" customHeight="1" spans="1:8">
      <c r="A685" s="7">
        <v>682</v>
      </c>
      <c r="B685" s="7" t="str">
        <f>"114020200328110753157438"</f>
        <v>114020200328110753157438</v>
      </c>
      <c r="C685" s="7" t="s">
        <v>697</v>
      </c>
      <c r="D685" s="7" t="str">
        <f>"王卫玲"</f>
        <v>王卫玲</v>
      </c>
      <c r="E685" s="7" t="str">
        <f t="shared" si="66"/>
        <v>女</v>
      </c>
      <c r="F685" s="7" t="s">
        <v>702</v>
      </c>
      <c r="G685" s="7" t="s">
        <v>12</v>
      </c>
      <c r="H685" s="7"/>
    </row>
    <row r="686" s="3" customFormat="1" ht="14.25" customHeight="1" spans="1:8">
      <c r="A686" s="7">
        <v>683</v>
      </c>
      <c r="B686" s="7" t="str">
        <f>"114020200328113821157496"</f>
        <v>114020200328113821157496</v>
      </c>
      <c r="C686" s="7" t="s">
        <v>697</v>
      </c>
      <c r="D686" s="7" t="str">
        <f>"周艳"</f>
        <v>周艳</v>
      </c>
      <c r="E686" s="7" t="str">
        <f t="shared" si="66"/>
        <v>女</v>
      </c>
      <c r="F686" s="7" t="s">
        <v>703</v>
      </c>
      <c r="G686" s="7" t="s">
        <v>12</v>
      </c>
      <c r="H686" s="7"/>
    </row>
    <row r="687" s="3" customFormat="1" ht="14.25" customHeight="1" spans="1:8">
      <c r="A687" s="7">
        <v>684</v>
      </c>
      <c r="B687" s="7" t="str">
        <f>"114020200328115412157522"</f>
        <v>114020200328115412157522</v>
      </c>
      <c r="C687" s="7" t="s">
        <v>697</v>
      </c>
      <c r="D687" s="7" t="str">
        <f>"吴贵美"</f>
        <v>吴贵美</v>
      </c>
      <c r="E687" s="7" t="str">
        <f t="shared" si="66"/>
        <v>女</v>
      </c>
      <c r="F687" s="7" t="s">
        <v>704</v>
      </c>
      <c r="G687" s="7" t="s">
        <v>12</v>
      </c>
      <c r="H687" s="7"/>
    </row>
    <row r="688" s="3" customFormat="1" ht="14.25" customHeight="1" spans="1:8">
      <c r="A688" s="7">
        <v>685</v>
      </c>
      <c r="B688" s="7" t="str">
        <f>"114020200328122319157578"</f>
        <v>114020200328122319157578</v>
      </c>
      <c r="C688" s="7" t="s">
        <v>697</v>
      </c>
      <c r="D688" s="7" t="str">
        <f>"黎静"</f>
        <v>黎静</v>
      </c>
      <c r="E688" s="7" t="str">
        <f t="shared" si="66"/>
        <v>女</v>
      </c>
      <c r="F688" s="7" t="s">
        <v>705</v>
      </c>
      <c r="G688" s="7" t="s">
        <v>12</v>
      </c>
      <c r="H688" s="7"/>
    </row>
    <row r="689" s="3" customFormat="1" ht="14.25" customHeight="1" spans="1:8">
      <c r="A689" s="7">
        <v>686</v>
      </c>
      <c r="B689" s="7" t="str">
        <f>"114020200328132923157682"</f>
        <v>114020200328132923157682</v>
      </c>
      <c r="C689" s="7" t="s">
        <v>697</v>
      </c>
      <c r="D689" s="7" t="str">
        <f>"吴进文"</f>
        <v>吴进文</v>
      </c>
      <c r="E689" s="7" t="str">
        <f t="shared" si="66"/>
        <v>女</v>
      </c>
      <c r="F689" s="7" t="s">
        <v>706</v>
      </c>
      <c r="G689" s="7" t="s">
        <v>12</v>
      </c>
      <c r="H689" s="7"/>
    </row>
    <row r="690" s="3" customFormat="1" ht="14.25" customHeight="1" spans="1:8">
      <c r="A690" s="7">
        <v>687</v>
      </c>
      <c r="B690" s="7" t="str">
        <f>"114020200328133923157695"</f>
        <v>114020200328133923157695</v>
      </c>
      <c r="C690" s="7" t="s">
        <v>697</v>
      </c>
      <c r="D690" s="7" t="str">
        <f>"文凤婵"</f>
        <v>文凤婵</v>
      </c>
      <c r="E690" s="7" t="str">
        <f t="shared" si="66"/>
        <v>女</v>
      </c>
      <c r="F690" s="7" t="s">
        <v>707</v>
      </c>
      <c r="G690" s="7" t="s">
        <v>12</v>
      </c>
      <c r="H690" s="7"/>
    </row>
    <row r="691" s="3" customFormat="1" ht="14.25" customHeight="1" spans="1:8">
      <c r="A691" s="7">
        <v>688</v>
      </c>
      <c r="B691" s="7" t="str">
        <f>"114020200328144105157756"</f>
        <v>114020200328144105157756</v>
      </c>
      <c r="C691" s="7" t="s">
        <v>697</v>
      </c>
      <c r="D691" s="7" t="str">
        <f>"温玉兰"</f>
        <v>温玉兰</v>
      </c>
      <c r="E691" s="7" t="str">
        <f t="shared" si="66"/>
        <v>女</v>
      </c>
      <c r="F691" s="7" t="s">
        <v>708</v>
      </c>
      <c r="G691" s="7" t="s">
        <v>12</v>
      </c>
      <c r="H691" s="7"/>
    </row>
    <row r="692" s="3" customFormat="1" ht="14.25" customHeight="1" spans="1:8">
      <c r="A692" s="7">
        <v>689</v>
      </c>
      <c r="B692" s="7" t="str">
        <f>"114020200328144419157757"</f>
        <v>114020200328144419157757</v>
      </c>
      <c r="C692" s="7" t="s">
        <v>697</v>
      </c>
      <c r="D692" s="7" t="str">
        <f>"陈艳"</f>
        <v>陈艳</v>
      </c>
      <c r="E692" s="7" t="str">
        <f t="shared" si="66"/>
        <v>女</v>
      </c>
      <c r="F692" s="7" t="s">
        <v>709</v>
      </c>
      <c r="G692" s="7" t="s">
        <v>12</v>
      </c>
      <c r="H692" s="7"/>
    </row>
    <row r="693" s="3" customFormat="1" ht="14.25" customHeight="1" spans="1:8">
      <c r="A693" s="7">
        <v>690</v>
      </c>
      <c r="B693" s="7" t="str">
        <f>"114020200328152137157790"</f>
        <v>114020200328152137157790</v>
      </c>
      <c r="C693" s="7" t="s">
        <v>697</v>
      </c>
      <c r="D693" s="7" t="str">
        <f>"黄玉"</f>
        <v>黄玉</v>
      </c>
      <c r="E693" s="7" t="str">
        <f t="shared" si="66"/>
        <v>女</v>
      </c>
      <c r="F693" s="7" t="s">
        <v>710</v>
      </c>
      <c r="G693" s="7" t="s">
        <v>12</v>
      </c>
      <c r="H693" s="7"/>
    </row>
    <row r="694" s="3" customFormat="1" ht="14.25" customHeight="1" spans="1:8">
      <c r="A694" s="7">
        <v>691</v>
      </c>
      <c r="B694" s="7" t="str">
        <f>"114020200328164457157879"</f>
        <v>114020200328164457157879</v>
      </c>
      <c r="C694" s="7" t="s">
        <v>697</v>
      </c>
      <c r="D694" s="7" t="str">
        <f>"谢小江"</f>
        <v>谢小江</v>
      </c>
      <c r="E694" s="7" t="str">
        <f t="shared" si="66"/>
        <v>女</v>
      </c>
      <c r="F694" s="7" t="s">
        <v>711</v>
      </c>
      <c r="G694" s="7" t="s">
        <v>12</v>
      </c>
      <c r="H694" s="7"/>
    </row>
    <row r="695" s="3" customFormat="1" ht="14.25" customHeight="1" spans="1:8">
      <c r="A695" s="7">
        <v>692</v>
      </c>
      <c r="B695" s="7" t="str">
        <f>"114020200328204449158058"</f>
        <v>114020200328204449158058</v>
      </c>
      <c r="C695" s="7" t="s">
        <v>697</v>
      </c>
      <c r="D695" s="7" t="str">
        <f>"潘紫阳"</f>
        <v>潘紫阳</v>
      </c>
      <c r="E695" s="7" t="str">
        <f t="shared" si="66"/>
        <v>女</v>
      </c>
      <c r="F695" s="7" t="s">
        <v>712</v>
      </c>
      <c r="G695" s="7" t="s">
        <v>12</v>
      </c>
      <c r="H695" s="7"/>
    </row>
    <row r="696" s="3" customFormat="1" ht="14.25" customHeight="1" spans="1:8">
      <c r="A696" s="7">
        <v>693</v>
      </c>
      <c r="B696" s="7" t="str">
        <f>"114020200329093656158233"</f>
        <v>114020200329093656158233</v>
      </c>
      <c r="C696" s="7" t="s">
        <v>697</v>
      </c>
      <c r="D696" s="7" t="str">
        <f>"徐贵佳"</f>
        <v>徐贵佳</v>
      </c>
      <c r="E696" s="7" t="str">
        <f t="shared" si="66"/>
        <v>女</v>
      </c>
      <c r="F696" s="7" t="s">
        <v>713</v>
      </c>
      <c r="G696" s="7" t="s">
        <v>12</v>
      </c>
      <c r="H696" s="7"/>
    </row>
    <row r="697" s="3" customFormat="1" ht="14.25" customHeight="1" spans="1:8">
      <c r="A697" s="7">
        <v>694</v>
      </c>
      <c r="B697" s="7" t="str">
        <f>"114020200329103221158272"</f>
        <v>114020200329103221158272</v>
      </c>
      <c r="C697" s="7" t="s">
        <v>697</v>
      </c>
      <c r="D697" s="7" t="str">
        <f>"赵倩"</f>
        <v>赵倩</v>
      </c>
      <c r="E697" s="7" t="str">
        <f t="shared" si="66"/>
        <v>女</v>
      </c>
      <c r="F697" s="7" t="s">
        <v>714</v>
      </c>
      <c r="G697" s="7" t="s">
        <v>12</v>
      </c>
      <c r="H697" s="7"/>
    </row>
    <row r="698" s="3" customFormat="1" ht="14.25" customHeight="1" spans="1:8">
      <c r="A698" s="7">
        <v>695</v>
      </c>
      <c r="B698" s="7" t="str">
        <f>"114020200329132040158401"</f>
        <v>114020200329132040158401</v>
      </c>
      <c r="C698" s="7" t="s">
        <v>697</v>
      </c>
      <c r="D698" s="7" t="str">
        <f>"林敏"</f>
        <v>林敏</v>
      </c>
      <c r="E698" s="7" t="str">
        <f t="shared" si="66"/>
        <v>女</v>
      </c>
      <c r="F698" s="7" t="s">
        <v>715</v>
      </c>
      <c r="G698" s="7" t="s">
        <v>12</v>
      </c>
      <c r="H698" s="7"/>
    </row>
    <row r="699" s="3" customFormat="1" ht="14.25" customHeight="1" spans="1:8">
      <c r="A699" s="7">
        <v>696</v>
      </c>
      <c r="B699" s="7" t="str">
        <f>"114020200329132433158403"</f>
        <v>114020200329132433158403</v>
      </c>
      <c r="C699" s="7" t="s">
        <v>697</v>
      </c>
      <c r="D699" s="7" t="str">
        <f>"符秀霞"</f>
        <v>符秀霞</v>
      </c>
      <c r="E699" s="7" t="str">
        <f t="shared" si="66"/>
        <v>女</v>
      </c>
      <c r="F699" s="7" t="s">
        <v>716</v>
      </c>
      <c r="G699" s="7" t="s">
        <v>12</v>
      </c>
      <c r="H699" s="7"/>
    </row>
    <row r="700" s="3" customFormat="1" ht="14.25" customHeight="1" spans="1:8">
      <c r="A700" s="7">
        <v>697</v>
      </c>
      <c r="B700" s="7" t="str">
        <f>"114020200330091907158802"</f>
        <v>114020200330091907158802</v>
      </c>
      <c r="C700" s="7" t="s">
        <v>697</v>
      </c>
      <c r="D700" s="7" t="str">
        <f>"苏少兰"</f>
        <v>苏少兰</v>
      </c>
      <c r="E700" s="7" t="str">
        <f t="shared" si="66"/>
        <v>女</v>
      </c>
      <c r="F700" s="7" t="s">
        <v>717</v>
      </c>
      <c r="G700" s="7" t="s">
        <v>12</v>
      </c>
      <c r="H700" s="7"/>
    </row>
    <row r="701" s="3" customFormat="1" ht="14.25" customHeight="1" spans="1:8">
      <c r="A701" s="7">
        <v>698</v>
      </c>
      <c r="B701" s="7" t="str">
        <f>"114020200330104758158888"</f>
        <v>114020200330104758158888</v>
      </c>
      <c r="C701" s="7" t="s">
        <v>697</v>
      </c>
      <c r="D701" s="7" t="str">
        <f>"陈慧秋"</f>
        <v>陈慧秋</v>
      </c>
      <c r="E701" s="7" t="str">
        <f t="shared" si="66"/>
        <v>女</v>
      </c>
      <c r="F701" s="7" t="s">
        <v>718</v>
      </c>
      <c r="G701" s="7" t="s">
        <v>12</v>
      </c>
      <c r="H701" s="7"/>
    </row>
    <row r="702" s="3" customFormat="1" ht="14.25" customHeight="1" spans="1:8">
      <c r="A702" s="7">
        <v>699</v>
      </c>
      <c r="B702" s="7" t="str">
        <f>"114020200330120407158966"</f>
        <v>114020200330120407158966</v>
      </c>
      <c r="C702" s="7" t="s">
        <v>697</v>
      </c>
      <c r="D702" s="7" t="str">
        <f>"郑丽先"</f>
        <v>郑丽先</v>
      </c>
      <c r="E702" s="7" t="str">
        <f t="shared" si="66"/>
        <v>女</v>
      </c>
      <c r="F702" s="7" t="s">
        <v>719</v>
      </c>
      <c r="G702" s="7" t="s">
        <v>12</v>
      </c>
      <c r="H702" s="7"/>
    </row>
    <row r="703" s="3" customFormat="1" ht="14.25" customHeight="1" spans="1:8">
      <c r="A703" s="7">
        <v>700</v>
      </c>
      <c r="B703" s="7" t="str">
        <f>"114020200330180417159192"</f>
        <v>114020200330180417159192</v>
      </c>
      <c r="C703" s="7" t="s">
        <v>697</v>
      </c>
      <c r="D703" s="7" t="str">
        <f>"蔡小瑜"</f>
        <v>蔡小瑜</v>
      </c>
      <c r="E703" s="7" t="str">
        <f t="shared" si="66"/>
        <v>女</v>
      </c>
      <c r="F703" s="7" t="s">
        <v>720</v>
      </c>
      <c r="G703" s="7" t="s">
        <v>12</v>
      </c>
      <c r="H703" s="7"/>
    </row>
    <row r="704" s="3" customFormat="1" ht="14.25" customHeight="1" spans="1:8">
      <c r="A704" s="7">
        <v>701</v>
      </c>
      <c r="B704" s="7" t="str">
        <f>"114020200330212258159284"</f>
        <v>114020200330212258159284</v>
      </c>
      <c r="C704" s="7" t="s">
        <v>697</v>
      </c>
      <c r="D704" s="7" t="str">
        <f>"彭寿凤"</f>
        <v>彭寿凤</v>
      </c>
      <c r="E704" s="7" t="str">
        <f t="shared" si="66"/>
        <v>女</v>
      </c>
      <c r="F704" s="7" t="s">
        <v>721</v>
      </c>
      <c r="G704" s="7" t="s">
        <v>12</v>
      </c>
      <c r="H704" s="7"/>
    </row>
    <row r="705" s="3" customFormat="1" ht="14.25" customHeight="1" spans="1:8">
      <c r="A705" s="7">
        <v>702</v>
      </c>
      <c r="B705" s="7" t="str">
        <f>"114020200330212626159288"</f>
        <v>114020200330212626159288</v>
      </c>
      <c r="C705" s="7" t="s">
        <v>697</v>
      </c>
      <c r="D705" s="7" t="str">
        <f>"邓小英"</f>
        <v>邓小英</v>
      </c>
      <c r="E705" s="7" t="str">
        <f t="shared" si="66"/>
        <v>女</v>
      </c>
      <c r="F705" s="7" t="s">
        <v>722</v>
      </c>
      <c r="G705" s="7" t="s">
        <v>12</v>
      </c>
      <c r="H705" s="7"/>
    </row>
    <row r="706" s="3" customFormat="1" ht="14.25" customHeight="1" spans="1:8">
      <c r="A706" s="7">
        <v>703</v>
      </c>
      <c r="B706" s="7" t="str">
        <f>"114020200331112025159439"</f>
        <v>114020200331112025159439</v>
      </c>
      <c r="C706" s="7" t="s">
        <v>697</v>
      </c>
      <c r="D706" s="7" t="str">
        <f>"黄祥霞"</f>
        <v>黄祥霞</v>
      </c>
      <c r="E706" s="7" t="str">
        <f t="shared" si="66"/>
        <v>女</v>
      </c>
      <c r="F706" s="7" t="s">
        <v>723</v>
      </c>
      <c r="G706" s="7" t="s">
        <v>12</v>
      </c>
      <c r="H706" s="7"/>
    </row>
    <row r="707" s="3" customFormat="1" ht="14.25" customHeight="1" spans="1:8">
      <c r="A707" s="7">
        <v>704</v>
      </c>
      <c r="B707" s="7" t="str">
        <f>"114020200331125623159492"</f>
        <v>114020200331125623159492</v>
      </c>
      <c r="C707" s="7" t="s">
        <v>697</v>
      </c>
      <c r="D707" s="7" t="str">
        <f>"何秋燕"</f>
        <v>何秋燕</v>
      </c>
      <c r="E707" s="7" t="str">
        <f t="shared" si="66"/>
        <v>女</v>
      </c>
      <c r="F707" s="7" t="s">
        <v>724</v>
      </c>
      <c r="G707" s="7" t="s">
        <v>12</v>
      </c>
      <c r="H707" s="7"/>
    </row>
    <row r="708" s="3" customFormat="1" ht="14.25" customHeight="1" spans="1:8">
      <c r="A708" s="7">
        <v>705</v>
      </c>
      <c r="B708" s="7" t="str">
        <f>"114020200331155846159579"</f>
        <v>114020200331155846159579</v>
      </c>
      <c r="C708" s="7" t="s">
        <v>697</v>
      </c>
      <c r="D708" s="7" t="str">
        <f>"周小兰"</f>
        <v>周小兰</v>
      </c>
      <c r="E708" s="7" t="str">
        <f t="shared" si="66"/>
        <v>女</v>
      </c>
      <c r="F708" s="7" t="s">
        <v>725</v>
      </c>
      <c r="G708" s="7" t="s">
        <v>12</v>
      </c>
      <c r="H708" s="7"/>
    </row>
    <row r="709" s="3" customFormat="1" ht="14.25" customHeight="1" spans="1:8">
      <c r="A709" s="7">
        <v>706</v>
      </c>
      <c r="B709" s="7" t="str">
        <f>"114020200331222624159714"</f>
        <v>114020200331222624159714</v>
      </c>
      <c r="C709" s="7" t="s">
        <v>697</v>
      </c>
      <c r="D709" s="7" t="str">
        <f>"谢臻铭"</f>
        <v>谢臻铭</v>
      </c>
      <c r="E709" s="7" t="str">
        <f t="shared" si="66"/>
        <v>女</v>
      </c>
      <c r="F709" s="7" t="s">
        <v>726</v>
      </c>
      <c r="G709" s="7" t="s">
        <v>12</v>
      </c>
      <c r="H709" s="7"/>
    </row>
    <row r="710" s="3" customFormat="1" ht="14.25" customHeight="1" spans="1:8">
      <c r="A710" s="7">
        <v>707</v>
      </c>
      <c r="B710" s="7" t="str">
        <f>"114020200401095613159770"</f>
        <v>114020200401095613159770</v>
      </c>
      <c r="C710" s="7" t="s">
        <v>697</v>
      </c>
      <c r="D710" s="7" t="str">
        <f>"张芬"</f>
        <v>张芬</v>
      </c>
      <c r="E710" s="7" t="str">
        <f t="shared" si="66"/>
        <v>女</v>
      </c>
      <c r="F710" s="7" t="s">
        <v>727</v>
      </c>
      <c r="G710" s="7" t="s">
        <v>12</v>
      </c>
      <c r="H710" s="7"/>
    </row>
    <row r="711" s="3" customFormat="1" ht="14.25" customHeight="1" spans="1:8">
      <c r="A711" s="7">
        <v>708</v>
      </c>
      <c r="B711" s="7" t="str">
        <f>"114020200401142653159869"</f>
        <v>114020200401142653159869</v>
      </c>
      <c r="C711" s="7" t="s">
        <v>697</v>
      </c>
      <c r="D711" s="7" t="str">
        <f>"黄惠敏"</f>
        <v>黄惠敏</v>
      </c>
      <c r="E711" s="7" t="str">
        <f t="shared" si="66"/>
        <v>女</v>
      </c>
      <c r="F711" s="7" t="s">
        <v>728</v>
      </c>
      <c r="G711" s="7" t="s">
        <v>12</v>
      </c>
      <c r="H711" s="7"/>
    </row>
    <row r="712" s="3" customFormat="1" ht="14.25" customHeight="1" spans="1:8">
      <c r="A712" s="7">
        <v>709</v>
      </c>
      <c r="B712" s="7" t="str">
        <f>"114020200401175328159970"</f>
        <v>114020200401175328159970</v>
      </c>
      <c r="C712" s="7" t="s">
        <v>697</v>
      </c>
      <c r="D712" s="7" t="str">
        <f>"王棉"</f>
        <v>王棉</v>
      </c>
      <c r="E712" s="7" t="str">
        <f t="shared" si="66"/>
        <v>女</v>
      </c>
      <c r="F712" s="7" t="s">
        <v>729</v>
      </c>
      <c r="G712" s="7" t="s">
        <v>12</v>
      </c>
      <c r="H712" s="7"/>
    </row>
    <row r="713" s="3" customFormat="1" ht="14.25" customHeight="1" spans="1:8">
      <c r="A713" s="7">
        <v>710</v>
      </c>
      <c r="B713" s="7" t="str">
        <f>"114020200402005311160093"</f>
        <v>114020200402005311160093</v>
      </c>
      <c r="C713" s="7" t="s">
        <v>697</v>
      </c>
      <c r="D713" s="7" t="str">
        <f>"邹雪慧"</f>
        <v>邹雪慧</v>
      </c>
      <c r="E713" s="7" t="str">
        <f t="shared" si="66"/>
        <v>女</v>
      </c>
      <c r="F713" s="7" t="s">
        <v>730</v>
      </c>
      <c r="G713" s="7" t="s">
        <v>12</v>
      </c>
      <c r="H713" s="7"/>
    </row>
    <row r="714" s="3" customFormat="1" ht="14.25" customHeight="1" spans="1:8">
      <c r="A714" s="7">
        <v>711</v>
      </c>
      <c r="B714" s="7" t="str">
        <f>"114020200402153559160203"</f>
        <v>114020200402153559160203</v>
      </c>
      <c r="C714" s="7" t="s">
        <v>697</v>
      </c>
      <c r="D714" s="7" t="str">
        <f>"王艳萍"</f>
        <v>王艳萍</v>
      </c>
      <c r="E714" s="7" t="str">
        <f t="shared" si="66"/>
        <v>女</v>
      </c>
      <c r="F714" s="7" t="s">
        <v>731</v>
      </c>
      <c r="G714" s="7" t="s">
        <v>12</v>
      </c>
      <c r="H714" s="7"/>
    </row>
    <row r="715" s="3" customFormat="1" ht="14.25" customHeight="1" spans="1:8">
      <c r="A715" s="7">
        <v>712</v>
      </c>
      <c r="B715" s="7" t="str">
        <f>"114020200402185135160272"</f>
        <v>114020200402185135160272</v>
      </c>
      <c r="C715" s="7" t="s">
        <v>697</v>
      </c>
      <c r="D715" s="7" t="str">
        <f>"高元钦"</f>
        <v>高元钦</v>
      </c>
      <c r="E715" s="7" t="str">
        <f t="shared" si="66"/>
        <v>女</v>
      </c>
      <c r="F715" s="7" t="s">
        <v>732</v>
      </c>
      <c r="G715" s="7" t="s">
        <v>12</v>
      </c>
      <c r="H715" s="7"/>
    </row>
    <row r="716" s="3" customFormat="1" ht="14.25" customHeight="1" spans="1:8">
      <c r="A716" s="7">
        <v>713</v>
      </c>
      <c r="B716" s="7" t="str">
        <f>"114020200403142200160466"</f>
        <v>114020200403142200160466</v>
      </c>
      <c r="C716" s="7" t="s">
        <v>697</v>
      </c>
      <c r="D716" s="7" t="str">
        <f>"陈一玲"</f>
        <v>陈一玲</v>
      </c>
      <c r="E716" s="7" t="str">
        <f t="shared" si="66"/>
        <v>女</v>
      </c>
      <c r="F716" s="7" t="s">
        <v>733</v>
      </c>
      <c r="G716" s="7" t="s">
        <v>12</v>
      </c>
      <c r="H716" s="7"/>
    </row>
    <row r="717" s="3" customFormat="1" ht="14.25" customHeight="1" spans="1:8">
      <c r="A717" s="7">
        <v>714</v>
      </c>
      <c r="B717" s="7" t="str">
        <f>"114020200405120337160804"</f>
        <v>114020200405120337160804</v>
      </c>
      <c r="C717" s="7" t="s">
        <v>697</v>
      </c>
      <c r="D717" s="7" t="str">
        <f>"李碧春"</f>
        <v>李碧春</v>
      </c>
      <c r="E717" s="7" t="str">
        <f t="shared" si="66"/>
        <v>女</v>
      </c>
      <c r="F717" s="7" t="s">
        <v>734</v>
      </c>
      <c r="G717" s="7" t="s">
        <v>12</v>
      </c>
      <c r="H717" s="7"/>
    </row>
    <row r="718" s="3" customFormat="1" ht="14.25" customHeight="1" spans="1:8">
      <c r="A718" s="7">
        <v>715</v>
      </c>
      <c r="B718" s="7" t="str">
        <f>"114020200406105116161129"</f>
        <v>114020200406105116161129</v>
      </c>
      <c r="C718" s="7" t="s">
        <v>697</v>
      </c>
      <c r="D718" s="7" t="str">
        <f>"黎俊贞"</f>
        <v>黎俊贞</v>
      </c>
      <c r="E718" s="7" t="str">
        <f t="shared" si="66"/>
        <v>女</v>
      </c>
      <c r="F718" s="7" t="s">
        <v>735</v>
      </c>
      <c r="G718" s="7" t="s">
        <v>12</v>
      </c>
      <c r="H718" s="7"/>
    </row>
    <row r="719" s="3" customFormat="1" ht="14.25" customHeight="1" spans="1:8">
      <c r="A719" s="7">
        <v>716</v>
      </c>
      <c r="B719" s="7" t="str">
        <f>"114020200328090224157135"</f>
        <v>114020200328090224157135</v>
      </c>
      <c r="C719" s="7" t="s">
        <v>736</v>
      </c>
      <c r="D719" s="7" t="str">
        <f>"曾令嘉"</f>
        <v>曾令嘉</v>
      </c>
      <c r="E719" s="7" t="str">
        <f>"男"</f>
        <v>男</v>
      </c>
      <c r="F719" s="7" t="s">
        <v>737</v>
      </c>
      <c r="G719" s="7" t="s">
        <v>12</v>
      </c>
      <c r="H719" s="7"/>
    </row>
    <row r="720" s="3" customFormat="1" ht="14.25" customHeight="1" spans="1:8">
      <c r="A720" s="7">
        <v>717</v>
      </c>
      <c r="B720" s="7" t="str">
        <f>"114020200328090332157139"</f>
        <v>114020200328090332157139</v>
      </c>
      <c r="C720" s="7" t="s">
        <v>736</v>
      </c>
      <c r="D720" s="7" t="str">
        <f>"邹丹丹"</f>
        <v>邹丹丹</v>
      </c>
      <c r="E720" s="7" t="str">
        <f t="shared" ref="E720:E725" si="67">"女"</f>
        <v>女</v>
      </c>
      <c r="F720" s="7" t="s">
        <v>738</v>
      </c>
      <c r="G720" s="7" t="s">
        <v>12</v>
      </c>
      <c r="H720" s="7"/>
    </row>
    <row r="721" s="3" customFormat="1" ht="14.25" customHeight="1" spans="1:8">
      <c r="A721" s="7">
        <v>718</v>
      </c>
      <c r="B721" s="7" t="str">
        <f>"114020200328090352157141"</f>
        <v>114020200328090352157141</v>
      </c>
      <c r="C721" s="7" t="s">
        <v>736</v>
      </c>
      <c r="D721" s="7" t="str">
        <f>"陈西凤"</f>
        <v>陈西凤</v>
      </c>
      <c r="E721" s="7" t="str">
        <f t="shared" si="67"/>
        <v>女</v>
      </c>
      <c r="F721" s="7" t="s">
        <v>739</v>
      </c>
      <c r="G721" s="7" t="s">
        <v>12</v>
      </c>
      <c r="H721" s="7"/>
    </row>
    <row r="722" s="3" customFormat="1" ht="14.25" customHeight="1" spans="1:8">
      <c r="A722" s="7">
        <v>719</v>
      </c>
      <c r="B722" s="7" t="str">
        <f>"114020200328092725157197"</f>
        <v>114020200328092725157197</v>
      </c>
      <c r="C722" s="7" t="s">
        <v>736</v>
      </c>
      <c r="D722" s="7" t="str">
        <f>"梁小转"</f>
        <v>梁小转</v>
      </c>
      <c r="E722" s="7" t="str">
        <f t="shared" si="67"/>
        <v>女</v>
      </c>
      <c r="F722" s="7" t="s">
        <v>740</v>
      </c>
      <c r="G722" s="7" t="s">
        <v>12</v>
      </c>
      <c r="H722" s="7"/>
    </row>
    <row r="723" s="3" customFormat="1" ht="14.25" customHeight="1" spans="1:8">
      <c r="A723" s="7">
        <v>720</v>
      </c>
      <c r="B723" s="7" t="str">
        <f>"114020200328093248157211"</f>
        <v>114020200328093248157211</v>
      </c>
      <c r="C723" s="7" t="s">
        <v>736</v>
      </c>
      <c r="D723" s="7" t="str">
        <f>"吴庭解"</f>
        <v>吴庭解</v>
      </c>
      <c r="E723" s="7" t="str">
        <f t="shared" si="67"/>
        <v>女</v>
      </c>
      <c r="F723" s="7" t="s">
        <v>741</v>
      </c>
      <c r="G723" s="7" t="s">
        <v>12</v>
      </c>
      <c r="H723" s="7"/>
    </row>
    <row r="724" s="3" customFormat="1" ht="14.25" customHeight="1" spans="1:8">
      <c r="A724" s="7">
        <v>721</v>
      </c>
      <c r="B724" s="7" t="str">
        <f>"114020200328100606157288"</f>
        <v>114020200328100606157288</v>
      </c>
      <c r="C724" s="7" t="s">
        <v>736</v>
      </c>
      <c r="D724" s="7" t="str">
        <f>"王艳"</f>
        <v>王艳</v>
      </c>
      <c r="E724" s="7" t="str">
        <f t="shared" si="67"/>
        <v>女</v>
      </c>
      <c r="F724" s="7" t="s">
        <v>742</v>
      </c>
      <c r="G724" s="7" t="s">
        <v>12</v>
      </c>
      <c r="H724" s="7"/>
    </row>
    <row r="725" s="3" customFormat="1" ht="14.25" customHeight="1" spans="1:8">
      <c r="A725" s="7">
        <v>722</v>
      </c>
      <c r="B725" s="7" t="str">
        <f>"114020200328101130157303"</f>
        <v>114020200328101130157303</v>
      </c>
      <c r="C725" s="7" t="s">
        <v>736</v>
      </c>
      <c r="D725" s="7" t="str">
        <f>"陈二妹"</f>
        <v>陈二妹</v>
      </c>
      <c r="E725" s="7" t="str">
        <f t="shared" si="67"/>
        <v>女</v>
      </c>
      <c r="F725" s="7" t="s">
        <v>743</v>
      </c>
      <c r="G725" s="7" t="s">
        <v>12</v>
      </c>
      <c r="H725" s="7"/>
    </row>
    <row r="726" s="3" customFormat="1" ht="14.25" customHeight="1" spans="1:8">
      <c r="A726" s="7">
        <v>723</v>
      </c>
      <c r="B726" s="7" t="str">
        <f>"114020200328101356157312"</f>
        <v>114020200328101356157312</v>
      </c>
      <c r="C726" s="7" t="s">
        <v>736</v>
      </c>
      <c r="D726" s="7" t="str">
        <f>"黄长博"</f>
        <v>黄长博</v>
      </c>
      <c r="E726" s="7" t="str">
        <f>"男"</f>
        <v>男</v>
      </c>
      <c r="F726" s="7" t="s">
        <v>744</v>
      </c>
      <c r="G726" s="7" t="s">
        <v>12</v>
      </c>
      <c r="H726" s="7"/>
    </row>
    <row r="727" s="3" customFormat="1" ht="14.25" customHeight="1" spans="1:8">
      <c r="A727" s="7">
        <v>724</v>
      </c>
      <c r="B727" s="7" t="str">
        <f>"114020200328101849157327"</f>
        <v>114020200328101849157327</v>
      </c>
      <c r="C727" s="7" t="s">
        <v>736</v>
      </c>
      <c r="D727" s="7" t="str">
        <f>"林慧姬"</f>
        <v>林慧姬</v>
      </c>
      <c r="E727" s="7" t="str">
        <f t="shared" ref="E727:E732" si="68">"女"</f>
        <v>女</v>
      </c>
      <c r="F727" s="7" t="s">
        <v>745</v>
      </c>
      <c r="G727" s="7" t="s">
        <v>12</v>
      </c>
      <c r="H727" s="7"/>
    </row>
    <row r="728" s="3" customFormat="1" ht="14.25" customHeight="1" spans="1:8">
      <c r="A728" s="7">
        <v>725</v>
      </c>
      <c r="B728" s="7" t="str">
        <f>"114020200328104054157377"</f>
        <v>114020200328104054157377</v>
      </c>
      <c r="C728" s="7" t="s">
        <v>736</v>
      </c>
      <c r="D728" s="7" t="str">
        <f>"周婆姣"</f>
        <v>周婆姣</v>
      </c>
      <c r="E728" s="7" t="str">
        <f t="shared" si="68"/>
        <v>女</v>
      </c>
      <c r="F728" s="7" t="s">
        <v>746</v>
      </c>
      <c r="G728" s="7" t="s">
        <v>12</v>
      </c>
      <c r="H728" s="7"/>
    </row>
    <row r="729" s="3" customFormat="1" ht="14.25" customHeight="1" spans="1:8">
      <c r="A729" s="7">
        <v>726</v>
      </c>
      <c r="B729" s="7" t="str">
        <f>"114020200328104415157383"</f>
        <v>114020200328104415157383</v>
      </c>
      <c r="C729" s="7" t="s">
        <v>736</v>
      </c>
      <c r="D729" s="7" t="str">
        <f>"马雷刚"</f>
        <v>马雷刚</v>
      </c>
      <c r="E729" s="7" t="str">
        <f>"男"</f>
        <v>男</v>
      </c>
      <c r="F729" s="7" t="s">
        <v>747</v>
      </c>
      <c r="G729" s="7" t="s">
        <v>12</v>
      </c>
      <c r="H729" s="7"/>
    </row>
    <row r="730" s="3" customFormat="1" ht="14.25" customHeight="1" spans="1:8">
      <c r="A730" s="7">
        <v>727</v>
      </c>
      <c r="B730" s="7" t="str">
        <f>"114020200328114439157503"</f>
        <v>114020200328114439157503</v>
      </c>
      <c r="C730" s="7" t="s">
        <v>736</v>
      </c>
      <c r="D730" s="7" t="str">
        <f>"林方婷"</f>
        <v>林方婷</v>
      </c>
      <c r="E730" s="7" t="str">
        <f t="shared" si="68"/>
        <v>女</v>
      </c>
      <c r="F730" s="7" t="s">
        <v>748</v>
      </c>
      <c r="G730" s="7" t="s">
        <v>12</v>
      </c>
      <c r="H730" s="7"/>
    </row>
    <row r="731" s="3" customFormat="1" ht="14.25" customHeight="1" spans="1:8">
      <c r="A731" s="7">
        <v>728</v>
      </c>
      <c r="B731" s="7" t="str">
        <f>"114020200328130205157640"</f>
        <v>114020200328130205157640</v>
      </c>
      <c r="C731" s="7" t="s">
        <v>736</v>
      </c>
      <c r="D731" s="7" t="str">
        <f>"文秋茹"</f>
        <v>文秋茹</v>
      </c>
      <c r="E731" s="7" t="str">
        <f t="shared" si="68"/>
        <v>女</v>
      </c>
      <c r="F731" s="7" t="s">
        <v>749</v>
      </c>
      <c r="G731" s="7" t="s">
        <v>12</v>
      </c>
      <c r="H731" s="7"/>
    </row>
    <row r="732" s="3" customFormat="1" ht="14.25" customHeight="1" spans="1:8">
      <c r="A732" s="7">
        <v>729</v>
      </c>
      <c r="B732" s="7" t="str">
        <f>"114020200328130642157646"</f>
        <v>114020200328130642157646</v>
      </c>
      <c r="C732" s="7" t="s">
        <v>736</v>
      </c>
      <c r="D732" s="7" t="str">
        <f>"钟周芳"</f>
        <v>钟周芳</v>
      </c>
      <c r="E732" s="7" t="str">
        <f t="shared" si="68"/>
        <v>女</v>
      </c>
      <c r="F732" s="7" t="s">
        <v>750</v>
      </c>
      <c r="G732" s="7" t="s">
        <v>12</v>
      </c>
      <c r="H732" s="7"/>
    </row>
    <row r="733" s="3" customFormat="1" ht="14.25" customHeight="1" spans="1:8">
      <c r="A733" s="7">
        <v>730</v>
      </c>
      <c r="B733" s="7" t="str">
        <f>"114020200328135731157718"</f>
        <v>114020200328135731157718</v>
      </c>
      <c r="C733" s="7" t="s">
        <v>736</v>
      </c>
      <c r="D733" s="7" t="str">
        <f>"文华"</f>
        <v>文华</v>
      </c>
      <c r="E733" s="7" t="str">
        <f t="shared" ref="E733:E738" si="69">"男"</f>
        <v>男</v>
      </c>
      <c r="F733" s="7" t="s">
        <v>751</v>
      </c>
      <c r="G733" s="7" t="s">
        <v>12</v>
      </c>
      <c r="H733" s="7"/>
    </row>
    <row r="734" s="3" customFormat="1" ht="14.25" customHeight="1" spans="1:8">
      <c r="A734" s="7">
        <v>731</v>
      </c>
      <c r="B734" s="7" t="str">
        <f>"114020200328144945157763"</f>
        <v>114020200328144945157763</v>
      </c>
      <c r="C734" s="7" t="s">
        <v>736</v>
      </c>
      <c r="D734" s="7" t="str">
        <f>"赵晓俊"</f>
        <v>赵晓俊</v>
      </c>
      <c r="E734" s="7" t="str">
        <f t="shared" ref="E734:E737" si="70">"女"</f>
        <v>女</v>
      </c>
      <c r="F734" s="7" t="s">
        <v>752</v>
      </c>
      <c r="G734" s="7" t="s">
        <v>12</v>
      </c>
      <c r="H734" s="7"/>
    </row>
    <row r="735" s="3" customFormat="1" ht="14.25" customHeight="1" spans="1:8">
      <c r="A735" s="7">
        <v>732</v>
      </c>
      <c r="B735" s="7" t="str">
        <f>"114020200328164133157873"</f>
        <v>114020200328164133157873</v>
      </c>
      <c r="C735" s="7" t="s">
        <v>736</v>
      </c>
      <c r="D735" s="7" t="str">
        <f>"郑海月"</f>
        <v>郑海月</v>
      </c>
      <c r="E735" s="7" t="str">
        <f t="shared" si="70"/>
        <v>女</v>
      </c>
      <c r="F735" s="7" t="s">
        <v>753</v>
      </c>
      <c r="G735" s="7" t="s">
        <v>12</v>
      </c>
      <c r="H735" s="7"/>
    </row>
    <row r="736" s="3" customFormat="1" ht="14.25" customHeight="1" spans="1:8">
      <c r="A736" s="7">
        <v>733</v>
      </c>
      <c r="B736" s="7" t="str">
        <f>"114020200328174919157937"</f>
        <v>114020200328174919157937</v>
      </c>
      <c r="C736" s="7" t="s">
        <v>736</v>
      </c>
      <c r="D736" s="7" t="str">
        <f>"符科子"</f>
        <v>符科子</v>
      </c>
      <c r="E736" s="7" t="str">
        <f t="shared" si="69"/>
        <v>男</v>
      </c>
      <c r="F736" s="7" t="s">
        <v>754</v>
      </c>
      <c r="G736" s="7" t="s">
        <v>12</v>
      </c>
      <c r="H736" s="7"/>
    </row>
    <row r="737" s="3" customFormat="1" ht="14.25" customHeight="1" spans="1:8">
      <c r="A737" s="7">
        <v>734</v>
      </c>
      <c r="B737" s="7" t="str">
        <f>"114020200328183944157974"</f>
        <v>114020200328183944157974</v>
      </c>
      <c r="C737" s="7" t="s">
        <v>736</v>
      </c>
      <c r="D737" s="7" t="str">
        <f>"许玲"</f>
        <v>许玲</v>
      </c>
      <c r="E737" s="7" t="str">
        <f t="shared" si="70"/>
        <v>女</v>
      </c>
      <c r="F737" s="7" t="s">
        <v>755</v>
      </c>
      <c r="G737" s="7" t="s">
        <v>12</v>
      </c>
      <c r="H737" s="7"/>
    </row>
    <row r="738" s="3" customFormat="1" ht="14.25" customHeight="1" spans="1:8">
      <c r="A738" s="7">
        <v>735</v>
      </c>
      <c r="B738" s="7" t="str">
        <f>"114020200328200618158028"</f>
        <v>114020200328200618158028</v>
      </c>
      <c r="C738" s="7" t="s">
        <v>736</v>
      </c>
      <c r="D738" s="7" t="str">
        <f>"张新干"</f>
        <v>张新干</v>
      </c>
      <c r="E738" s="7" t="str">
        <f t="shared" si="69"/>
        <v>男</v>
      </c>
      <c r="F738" s="7" t="s">
        <v>756</v>
      </c>
      <c r="G738" s="7" t="s">
        <v>12</v>
      </c>
      <c r="H738" s="7"/>
    </row>
    <row r="739" s="3" customFormat="1" ht="14.25" customHeight="1" spans="1:8">
      <c r="A739" s="7">
        <v>736</v>
      </c>
      <c r="B739" s="7" t="str">
        <f>"114020200328210424158074"</f>
        <v>114020200328210424158074</v>
      </c>
      <c r="C739" s="7" t="s">
        <v>736</v>
      </c>
      <c r="D739" s="7" t="str">
        <f>"符明敏"</f>
        <v>符明敏</v>
      </c>
      <c r="E739" s="7" t="str">
        <f t="shared" ref="E739:E743" si="71">"女"</f>
        <v>女</v>
      </c>
      <c r="F739" s="7" t="s">
        <v>757</v>
      </c>
      <c r="G739" s="7" t="s">
        <v>12</v>
      </c>
      <c r="H739" s="7"/>
    </row>
    <row r="740" s="3" customFormat="1" ht="14.25" customHeight="1" spans="1:8">
      <c r="A740" s="7">
        <v>737</v>
      </c>
      <c r="B740" s="7" t="str">
        <f>"114020200328232251158164"</f>
        <v>114020200328232251158164</v>
      </c>
      <c r="C740" s="7" t="s">
        <v>736</v>
      </c>
      <c r="D740" s="7" t="str">
        <f>"林明珍"</f>
        <v>林明珍</v>
      </c>
      <c r="E740" s="7" t="str">
        <f t="shared" si="71"/>
        <v>女</v>
      </c>
      <c r="F740" s="7" t="s">
        <v>758</v>
      </c>
      <c r="G740" s="7" t="s">
        <v>12</v>
      </c>
      <c r="H740" s="7"/>
    </row>
    <row r="741" s="3" customFormat="1" ht="14.25" customHeight="1" spans="1:8">
      <c r="A741" s="7">
        <v>738</v>
      </c>
      <c r="B741" s="7" t="str">
        <f>"114020200328234315158168"</f>
        <v>114020200328234315158168</v>
      </c>
      <c r="C741" s="7" t="s">
        <v>736</v>
      </c>
      <c r="D741" s="7" t="str">
        <f>"王海丽"</f>
        <v>王海丽</v>
      </c>
      <c r="E741" s="7" t="str">
        <f t="shared" si="71"/>
        <v>女</v>
      </c>
      <c r="F741" s="7" t="s">
        <v>759</v>
      </c>
      <c r="G741" s="7" t="s">
        <v>12</v>
      </c>
      <c r="H741" s="7"/>
    </row>
    <row r="742" s="3" customFormat="1" ht="14.25" customHeight="1" spans="1:8">
      <c r="A742" s="7">
        <v>739</v>
      </c>
      <c r="B742" s="7" t="str">
        <f>"114020200329002025158183"</f>
        <v>114020200329002025158183</v>
      </c>
      <c r="C742" s="7" t="s">
        <v>736</v>
      </c>
      <c r="D742" s="7" t="str">
        <f>"蔡萍"</f>
        <v>蔡萍</v>
      </c>
      <c r="E742" s="7" t="str">
        <f t="shared" si="71"/>
        <v>女</v>
      </c>
      <c r="F742" s="7" t="s">
        <v>760</v>
      </c>
      <c r="G742" s="7" t="s">
        <v>12</v>
      </c>
      <c r="H742" s="7"/>
    </row>
    <row r="743" s="3" customFormat="1" ht="14.25" customHeight="1" spans="1:8">
      <c r="A743" s="7">
        <v>740</v>
      </c>
      <c r="B743" s="7" t="str">
        <f>"114020200329005522158187"</f>
        <v>114020200329005522158187</v>
      </c>
      <c r="C743" s="7" t="s">
        <v>736</v>
      </c>
      <c r="D743" s="7" t="str">
        <f>"陈韵歆"</f>
        <v>陈韵歆</v>
      </c>
      <c r="E743" s="7" t="str">
        <f t="shared" si="71"/>
        <v>女</v>
      </c>
      <c r="F743" s="7" t="s">
        <v>761</v>
      </c>
      <c r="G743" s="7" t="s">
        <v>12</v>
      </c>
      <c r="H743" s="7"/>
    </row>
    <row r="744" s="3" customFormat="1" ht="14.25" customHeight="1" spans="1:8">
      <c r="A744" s="7">
        <v>741</v>
      </c>
      <c r="B744" s="7" t="str">
        <f>"114020200329102334158263"</f>
        <v>114020200329102334158263</v>
      </c>
      <c r="C744" s="7" t="s">
        <v>736</v>
      </c>
      <c r="D744" s="7" t="str">
        <f>"李海翔"</f>
        <v>李海翔</v>
      </c>
      <c r="E744" s="7" t="str">
        <f t="shared" ref="E744:E749" si="72">"男"</f>
        <v>男</v>
      </c>
      <c r="F744" s="7" t="s">
        <v>762</v>
      </c>
      <c r="G744" s="7" t="s">
        <v>12</v>
      </c>
      <c r="H744" s="7"/>
    </row>
    <row r="745" s="3" customFormat="1" ht="14.25" customHeight="1" spans="1:8">
      <c r="A745" s="7">
        <v>742</v>
      </c>
      <c r="B745" s="7" t="str">
        <f>"114020200329115221158341"</f>
        <v>114020200329115221158341</v>
      </c>
      <c r="C745" s="7" t="s">
        <v>736</v>
      </c>
      <c r="D745" s="7" t="str">
        <f>"黄寿慧"</f>
        <v>黄寿慧</v>
      </c>
      <c r="E745" s="7" t="str">
        <f t="shared" ref="E745:E747" si="73">"女"</f>
        <v>女</v>
      </c>
      <c r="F745" s="7" t="s">
        <v>763</v>
      </c>
      <c r="G745" s="7" t="s">
        <v>12</v>
      </c>
      <c r="H745" s="7"/>
    </row>
    <row r="746" s="3" customFormat="1" ht="14.25" customHeight="1" spans="1:8">
      <c r="A746" s="7">
        <v>743</v>
      </c>
      <c r="B746" s="7" t="str">
        <f>"114020200329130507158390"</f>
        <v>114020200329130507158390</v>
      </c>
      <c r="C746" s="7" t="s">
        <v>736</v>
      </c>
      <c r="D746" s="7" t="str">
        <f>"苏霞"</f>
        <v>苏霞</v>
      </c>
      <c r="E746" s="7" t="str">
        <f t="shared" si="73"/>
        <v>女</v>
      </c>
      <c r="F746" s="7" t="s">
        <v>673</v>
      </c>
      <c r="G746" s="7" t="s">
        <v>12</v>
      </c>
      <c r="H746" s="7"/>
    </row>
    <row r="747" s="3" customFormat="1" ht="14.25" customHeight="1" spans="1:8">
      <c r="A747" s="7">
        <v>744</v>
      </c>
      <c r="B747" s="7" t="str">
        <f>"114020200329130609158392"</f>
        <v>114020200329130609158392</v>
      </c>
      <c r="C747" s="7" t="s">
        <v>736</v>
      </c>
      <c r="D747" s="7" t="str">
        <f>"周神菊"</f>
        <v>周神菊</v>
      </c>
      <c r="E747" s="7" t="str">
        <f t="shared" si="73"/>
        <v>女</v>
      </c>
      <c r="F747" s="7" t="s">
        <v>764</v>
      </c>
      <c r="G747" s="7" t="s">
        <v>12</v>
      </c>
      <c r="H747" s="7"/>
    </row>
    <row r="748" s="3" customFormat="1" ht="14.25" customHeight="1" spans="1:8">
      <c r="A748" s="7">
        <v>745</v>
      </c>
      <c r="B748" s="7" t="str">
        <f>"114020200329132611158408"</f>
        <v>114020200329132611158408</v>
      </c>
      <c r="C748" s="7" t="s">
        <v>736</v>
      </c>
      <c r="D748" s="7" t="str">
        <f>"王亮"</f>
        <v>王亮</v>
      </c>
      <c r="E748" s="7" t="str">
        <f t="shared" si="72"/>
        <v>男</v>
      </c>
      <c r="F748" s="7" t="s">
        <v>765</v>
      </c>
      <c r="G748" s="7" t="s">
        <v>12</v>
      </c>
      <c r="H748" s="7"/>
    </row>
    <row r="749" s="3" customFormat="1" ht="14.25" customHeight="1" spans="1:8">
      <c r="A749" s="7">
        <v>746</v>
      </c>
      <c r="B749" s="7" t="str">
        <f>"114020200329154209158467"</f>
        <v>114020200329154209158467</v>
      </c>
      <c r="C749" s="7" t="s">
        <v>736</v>
      </c>
      <c r="D749" s="7" t="str">
        <f>"唐望贺"</f>
        <v>唐望贺</v>
      </c>
      <c r="E749" s="7" t="str">
        <f t="shared" si="72"/>
        <v>男</v>
      </c>
      <c r="F749" s="7" t="s">
        <v>766</v>
      </c>
      <c r="G749" s="7" t="s">
        <v>12</v>
      </c>
      <c r="H749" s="7"/>
    </row>
    <row r="750" s="3" customFormat="1" ht="14.25" customHeight="1" spans="1:8">
      <c r="A750" s="7">
        <v>747</v>
      </c>
      <c r="B750" s="7" t="str">
        <f>"114020200329160646158478"</f>
        <v>114020200329160646158478</v>
      </c>
      <c r="C750" s="7" t="s">
        <v>736</v>
      </c>
      <c r="D750" s="7" t="str">
        <f>"邢芳"</f>
        <v>邢芳</v>
      </c>
      <c r="E750" s="7" t="str">
        <f t="shared" ref="E750:E761" si="74">"女"</f>
        <v>女</v>
      </c>
      <c r="F750" s="7" t="s">
        <v>767</v>
      </c>
      <c r="G750" s="7" t="s">
        <v>12</v>
      </c>
      <c r="H750" s="7"/>
    </row>
    <row r="751" s="3" customFormat="1" ht="14.25" customHeight="1" spans="1:8">
      <c r="A751" s="7">
        <v>748</v>
      </c>
      <c r="B751" s="7" t="str">
        <f>"114020200329165004158507"</f>
        <v>114020200329165004158507</v>
      </c>
      <c r="C751" s="7" t="s">
        <v>736</v>
      </c>
      <c r="D751" s="7" t="str">
        <f>"赵学秋"</f>
        <v>赵学秋</v>
      </c>
      <c r="E751" s="7" t="str">
        <f t="shared" si="74"/>
        <v>女</v>
      </c>
      <c r="F751" s="7" t="s">
        <v>768</v>
      </c>
      <c r="G751" s="7" t="s">
        <v>12</v>
      </c>
      <c r="H751" s="7"/>
    </row>
    <row r="752" s="3" customFormat="1" ht="14.25" customHeight="1" spans="1:8">
      <c r="A752" s="7">
        <v>749</v>
      </c>
      <c r="B752" s="7" t="str">
        <f>"114020200329184526158565"</f>
        <v>114020200329184526158565</v>
      </c>
      <c r="C752" s="7" t="s">
        <v>736</v>
      </c>
      <c r="D752" s="7" t="str">
        <f>"陈彩萍"</f>
        <v>陈彩萍</v>
      </c>
      <c r="E752" s="7" t="str">
        <f t="shared" si="74"/>
        <v>女</v>
      </c>
      <c r="F752" s="7" t="s">
        <v>769</v>
      </c>
      <c r="G752" s="7" t="s">
        <v>12</v>
      </c>
      <c r="H752" s="7"/>
    </row>
    <row r="753" s="3" customFormat="1" ht="14.25" customHeight="1" spans="1:8">
      <c r="A753" s="7">
        <v>750</v>
      </c>
      <c r="B753" s="7" t="str">
        <f>"114020200329193913158593"</f>
        <v>114020200329193913158593</v>
      </c>
      <c r="C753" s="7" t="s">
        <v>736</v>
      </c>
      <c r="D753" s="7" t="str">
        <f>"陈海莲"</f>
        <v>陈海莲</v>
      </c>
      <c r="E753" s="7" t="str">
        <f t="shared" si="74"/>
        <v>女</v>
      </c>
      <c r="F753" s="7" t="s">
        <v>770</v>
      </c>
      <c r="G753" s="7" t="s">
        <v>12</v>
      </c>
      <c r="H753" s="7"/>
    </row>
    <row r="754" s="3" customFormat="1" ht="14.25" customHeight="1" spans="1:8">
      <c r="A754" s="7">
        <v>751</v>
      </c>
      <c r="B754" s="7" t="str">
        <f>"114020200329200633158607"</f>
        <v>114020200329200633158607</v>
      </c>
      <c r="C754" s="7" t="s">
        <v>736</v>
      </c>
      <c r="D754" s="7" t="str">
        <f>"陈教美"</f>
        <v>陈教美</v>
      </c>
      <c r="E754" s="7" t="str">
        <f t="shared" si="74"/>
        <v>女</v>
      </c>
      <c r="F754" s="7" t="s">
        <v>771</v>
      </c>
      <c r="G754" s="7" t="s">
        <v>12</v>
      </c>
      <c r="H754" s="7"/>
    </row>
    <row r="755" s="3" customFormat="1" ht="14.25" customHeight="1" spans="1:8">
      <c r="A755" s="7">
        <v>752</v>
      </c>
      <c r="B755" s="7" t="str">
        <f>"114020200329230919158729"</f>
        <v>114020200329230919158729</v>
      </c>
      <c r="C755" s="7" t="s">
        <v>736</v>
      </c>
      <c r="D755" s="7" t="str">
        <f>"黎春林"</f>
        <v>黎春林</v>
      </c>
      <c r="E755" s="7" t="str">
        <f t="shared" si="74"/>
        <v>女</v>
      </c>
      <c r="F755" s="7" t="s">
        <v>772</v>
      </c>
      <c r="G755" s="7" t="s">
        <v>12</v>
      </c>
      <c r="H755" s="7"/>
    </row>
    <row r="756" s="3" customFormat="1" ht="14.25" customHeight="1" spans="1:8">
      <c r="A756" s="7">
        <v>753</v>
      </c>
      <c r="B756" s="7" t="str">
        <f>"114020200329232033158733"</f>
        <v>114020200329232033158733</v>
      </c>
      <c r="C756" s="7" t="s">
        <v>736</v>
      </c>
      <c r="D756" s="7" t="str">
        <f>"林成叶"</f>
        <v>林成叶</v>
      </c>
      <c r="E756" s="7" t="str">
        <f t="shared" si="74"/>
        <v>女</v>
      </c>
      <c r="F756" s="7" t="s">
        <v>773</v>
      </c>
      <c r="G756" s="7" t="s">
        <v>12</v>
      </c>
      <c r="H756" s="7"/>
    </row>
    <row r="757" s="3" customFormat="1" ht="14.25" customHeight="1" spans="1:8">
      <c r="A757" s="7">
        <v>754</v>
      </c>
      <c r="B757" s="7" t="str">
        <f>"114020200330112006158920"</f>
        <v>114020200330112006158920</v>
      </c>
      <c r="C757" s="7" t="s">
        <v>736</v>
      </c>
      <c r="D757" s="7" t="str">
        <f>"曾润苗"</f>
        <v>曾润苗</v>
      </c>
      <c r="E757" s="7" t="str">
        <f t="shared" si="74"/>
        <v>女</v>
      </c>
      <c r="F757" s="7" t="s">
        <v>774</v>
      </c>
      <c r="G757" s="7" t="s">
        <v>12</v>
      </c>
      <c r="H757" s="7"/>
    </row>
    <row r="758" s="3" customFormat="1" ht="14.25" customHeight="1" spans="1:8">
      <c r="A758" s="7">
        <v>755</v>
      </c>
      <c r="B758" s="7" t="str">
        <f>"114020200330112917158931"</f>
        <v>114020200330112917158931</v>
      </c>
      <c r="C758" s="7" t="s">
        <v>736</v>
      </c>
      <c r="D758" s="7" t="str">
        <f>"李道思"</f>
        <v>李道思</v>
      </c>
      <c r="E758" s="7" t="str">
        <f t="shared" si="74"/>
        <v>女</v>
      </c>
      <c r="F758" s="7" t="s">
        <v>775</v>
      </c>
      <c r="G758" s="7" t="s">
        <v>12</v>
      </c>
      <c r="H758" s="7"/>
    </row>
    <row r="759" s="3" customFormat="1" ht="14.25" customHeight="1" spans="1:8">
      <c r="A759" s="7">
        <v>756</v>
      </c>
      <c r="B759" s="7" t="str">
        <f>"114020200330121413158972"</f>
        <v>114020200330121413158972</v>
      </c>
      <c r="C759" s="7" t="s">
        <v>736</v>
      </c>
      <c r="D759" s="7" t="str">
        <f>"符裕琴"</f>
        <v>符裕琴</v>
      </c>
      <c r="E759" s="7" t="str">
        <f t="shared" si="74"/>
        <v>女</v>
      </c>
      <c r="F759" s="7" t="s">
        <v>776</v>
      </c>
      <c r="G759" s="7" t="s">
        <v>12</v>
      </c>
      <c r="H759" s="7"/>
    </row>
    <row r="760" s="3" customFormat="1" ht="14.25" customHeight="1" spans="1:8">
      <c r="A760" s="7">
        <v>757</v>
      </c>
      <c r="B760" s="7" t="str">
        <f>"114020200330131955159005"</f>
        <v>114020200330131955159005</v>
      </c>
      <c r="C760" s="7" t="s">
        <v>736</v>
      </c>
      <c r="D760" s="7" t="str">
        <f>"李慧芳"</f>
        <v>李慧芳</v>
      </c>
      <c r="E760" s="7" t="str">
        <f t="shared" si="74"/>
        <v>女</v>
      </c>
      <c r="F760" s="7" t="s">
        <v>777</v>
      </c>
      <c r="G760" s="7" t="s">
        <v>12</v>
      </c>
      <c r="H760" s="7"/>
    </row>
    <row r="761" s="3" customFormat="1" ht="14.25" customHeight="1" spans="1:8">
      <c r="A761" s="7">
        <v>758</v>
      </c>
      <c r="B761" s="7" t="str">
        <f>"114020200330142945159052"</f>
        <v>114020200330142945159052</v>
      </c>
      <c r="C761" s="7" t="s">
        <v>736</v>
      </c>
      <c r="D761" s="7" t="str">
        <f>"王昌喜"</f>
        <v>王昌喜</v>
      </c>
      <c r="E761" s="7" t="str">
        <f t="shared" si="74"/>
        <v>女</v>
      </c>
      <c r="F761" s="7" t="s">
        <v>778</v>
      </c>
      <c r="G761" s="7" t="s">
        <v>12</v>
      </c>
      <c r="H761" s="7"/>
    </row>
    <row r="762" s="3" customFormat="1" ht="14.25" customHeight="1" spans="1:8">
      <c r="A762" s="7">
        <v>759</v>
      </c>
      <c r="B762" s="7" t="str">
        <f>"114020200330170736159166"</f>
        <v>114020200330170736159166</v>
      </c>
      <c r="C762" s="7" t="s">
        <v>736</v>
      </c>
      <c r="D762" s="7" t="str">
        <f>"王鹏"</f>
        <v>王鹏</v>
      </c>
      <c r="E762" s="7" t="str">
        <f>"男"</f>
        <v>男</v>
      </c>
      <c r="F762" s="7" t="s">
        <v>779</v>
      </c>
      <c r="G762" s="7" t="s">
        <v>12</v>
      </c>
      <c r="H762" s="7"/>
    </row>
    <row r="763" s="3" customFormat="1" ht="14.25" customHeight="1" spans="1:8">
      <c r="A763" s="7">
        <v>760</v>
      </c>
      <c r="B763" s="7" t="str">
        <f>"114020200330205400159260"</f>
        <v>114020200330205400159260</v>
      </c>
      <c r="C763" s="7" t="s">
        <v>736</v>
      </c>
      <c r="D763" s="7" t="str">
        <f>"胡元珠"</f>
        <v>胡元珠</v>
      </c>
      <c r="E763" s="7" t="str">
        <f t="shared" ref="E763:E770" si="75">"女"</f>
        <v>女</v>
      </c>
      <c r="F763" s="7" t="s">
        <v>780</v>
      </c>
      <c r="G763" s="7" t="s">
        <v>12</v>
      </c>
      <c r="H763" s="7"/>
    </row>
    <row r="764" s="3" customFormat="1" ht="14.25" customHeight="1" spans="1:8">
      <c r="A764" s="7">
        <v>761</v>
      </c>
      <c r="B764" s="7" t="str">
        <f>"114020200330211650159281"</f>
        <v>114020200330211650159281</v>
      </c>
      <c r="C764" s="7" t="s">
        <v>736</v>
      </c>
      <c r="D764" s="7" t="str">
        <f>"符源原"</f>
        <v>符源原</v>
      </c>
      <c r="E764" s="7" t="str">
        <f t="shared" si="75"/>
        <v>女</v>
      </c>
      <c r="F764" s="7" t="s">
        <v>781</v>
      </c>
      <c r="G764" s="7" t="s">
        <v>12</v>
      </c>
      <c r="H764" s="7"/>
    </row>
    <row r="765" s="3" customFormat="1" ht="14.25" customHeight="1" spans="1:8">
      <c r="A765" s="7">
        <v>762</v>
      </c>
      <c r="B765" s="7" t="str">
        <f>"114020200330212621159287"</f>
        <v>114020200330212621159287</v>
      </c>
      <c r="C765" s="7" t="s">
        <v>736</v>
      </c>
      <c r="D765" s="7" t="str">
        <f>"羊高联"</f>
        <v>羊高联</v>
      </c>
      <c r="E765" s="7" t="str">
        <f t="shared" si="75"/>
        <v>女</v>
      </c>
      <c r="F765" s="7" t="s">
        <v>782</v>
      </c>
      <c r="G765" s="7" t="s">
        <v>12</v>
      </c>
      <c r="H765" s="7"/>
    </row>
    <row r="766" s="3" customFormat="1" ht="14.25" customHeight="1" spans="1:8">
      <c r="A766" s="7">
        <v>763</v>
      </c>
      <c r="B766" s="7" t="str">
        <f>"114020200331142119159534"</f>
        <v>114020200331142119159534</v>
      </c>
      <c r="C766" s="7" t="s">
        <v>736</v>
      </c>
      <c r="D766" s="7" t="str">
        <f>"陈小璐"</f>
        <v>陈小璐</v>
      </c>
      <c r="E766" s="7" t="str">
        <f t="shared" si="75"/>
        <v>女</v>
      </c>
      <c r="F766" s="7" t="s">
        <v>783</v>
      </c>
      <c r="G766" s="7" t="s">
        <v>12</v>
      </c>
      <c r="H766" s="7"/>
    </row>
    <row r="767" s="3" customFormat="1" ht="14.25" customHeight="1" spans="1:8">
      <c r="A767" s="7">
        <v>764</v>
      </c>
      <c r="B767" s="7" t="str">
        <f>"114020200331152421159563"</f>
        <v>114020200331152421159563</v>
      </c>
      <c r="C767" s="7" t="s">
        <v>736</v>
      </c>
      <c r="D767" s="7" t="str">
        <f>"黄霞"</f>
        <v>黄霞</v>
      </c>
      <c r="E767" s="7" t="str">
        <f t="shared" si="75"/>
        <v>女</v>
      </c>
      <c r="F767" s="7" t="s">
        <v>784</v>
      </c>
      <c r="G767" s="7" t="s">
        <v>12</v>
      </c>
      <c r="H767" s="7"/>
    </row>
    <row r="768" s="3" customFormat="1" ht="14.25" customHeight="1" spans="1:8">
      <c r="A768" s="7">
        <v>765</v>
      </c>
      <c r="B768" s="7" t="str">
        <f>"114020200401112326159806"</f>
        <v>114020200401112326159806</v>
      </c>
      <c r="C768" s="7" t="s">
        <v>736</v>
      </c>
      <c r="D768" s="7" t="str">
        <f>"何津源"</f>
        <v>何津源</v>
      </c>
      <c r="E768" s="7" t="str">
        <f t="shared" si="75"/>
        <v>女</v>
      </c>
      <c r="F768" s="7" t="s">
        <v>785</v>
      </c>
      <c r="G768" s="7" t="s">
        <v>12</v>
      </c>
      <c r="H768" s="7"/>
    </row>
    <row r="769" s="3" customFormat="1" ht="14.25" customHeight="1" spans="1:8">
      <c r="A769" s="7">
        <v>766</v>
      </c>
      <c r="B769" s="7" t="str">
        <f>"114020200401142933159870"</f>
        <v>114020200401142933159870</v>
      </c>
      <c r="C769" s="7" t="s">
        <v>736</v>
      </c>
      <c r="D769" s="7" t="str">
        <f>"张可心"</f>
        <v>张可心</v>
      </c>
      <c r="E769" s="7" t="str">
        <f t="shared" si="75"/>
        <v>女</v>
      </c>
      <c r="F769" s="7" t="s">
        <v>786</v>
      </c>
      <c r="G769" s="7" t="s">
        <v>12</v>
      </c>
      <c r="H769" s="7"/>
    </row>
    <row r="770" s="3" customFormat="1" ht="14.25" customHeight="1" spans="1:8">
      <c r="A770" s="7">
        <v>767</v>
      </c>
      <c r="B770" s="7" t="str">
        <f>"114020200401152642159893"</f>
        <v>114020200401152642159893</v>
      </c>
      <c r="C770" s="7" t="s">
        <v>736</v>
      </c>
      <c r="D770" s="7" t="str">
        <f>"符成薇"</f>
        <v>符成薇</v>
      </c>
      <c r="E770" s="7" t="str">
        <f t="shared" si="75"/>
        <v>女</v>
      </c>
      <c r="F770" s="7" t="s">
        <v>787</v>
      </c>
      <c r="G770" s="7" t="s">
        <v>12</v>
      </c>
      <c r="H770" s="7"/>
    </row>
    <row r="771" s="3" customFormat="1" ht="14.25" customHeight="1" spans="1:8">
      <c r="A771" s="7">
        <v>768</v>
      </c>
      <c r="B771" s="7" t="str">
        <f>"114020200401163802159938"</f>
        <v>114020200401163802159938</v>
      </c>
      <c r="C771" s="7" t="s">
        <v>736</v>
      </c>
      <c r="D771" s="7" t="str">
        <f>"王运委"</f>
        <v>王运委</v>
      </c>
      <c r="E771" s="7" t="str">
        <f t="shared" ref="E771:E774" si="76">"男"</f>
        <v>男</v>
      </c>
      <c r="F771" s="7" t="s">
        <v>788</v>
      </c>
      <c r="G771" s="7" t="s">
        <v>12</v>
      </c>
      <c r="H771" s="7"/>
    </row>
    <row r="772" s="3" customFormat="1" ht="14.25" customHeight="1" spans="1:8">
      <c r="A772" s="7">
        <v>769</v>
      </c>
      <c r="B772" s="7" t="str">
        <f>"114020200402100302160125"</f>
        <v>114020200402100302160125</v>
      </c>
      <c r="C772" s="7" t="s">
        <v>736</v>
      </c>
      <c r="D772" s="7" t="str">
        <f>"林显定"</f>
        <v>林显定</v>
      </c>
      <c r="E772" s="7" t="str">
        <f t="shared" si="76"/>
        <v>男</v>
      </c>
      <c r="F772" s="7" t="s">
        <v>789</v>
      </c>
      <c r="G772" s="7" t="s">
        <v>12</v>
      </c>
      <c r="H772" s="7"/>
    </row>
    <row r="773" s="3" customFormat="1" ht="14.25" customHeight="1" spans="1:8">
      <c r="A773" s="7">
        <v>770</v>
      </c>
      <c r="B773" s="7" t="str">
        <f>"114020200402114027160146"</f>
        <v>114020200402114027160146</v>
      </c>
      <c r="C773" s="7" t="s">
        <v>736</v>
      </c>
      <c r="D773" s="7" t="str">
        <f>"薛和玉"</f>
        <v>薛和玉</v>
      </c>
      <c r="E773" s="7" t="str">
        <f t="shared" ref="E773:E786" si="77">"女"</f>
        <v>女</v>
      </c>
      <c r="F773" s="7" t="s">
        <v>790</v>
      </c>
      <c r="G773" s="7" t="s">
        <v>12</v>
      </c>
      <c r="H773" s="7"/>
    </row>
    <row r="774" s="3" customFormat="1" ht="14.25" customHeight="1" spans="1:8">
      <c r="A774" s="7">
        <v>771</v>
      </c>
      <c r="B774" s="7" t="str">
        <f>"114020200402171039160249"</f>
        <v>114020200402171039160249</v>
      </c>
      <c r="C774" s="7" t="s">
        <v>736</v>
      </c>
      <c r="D774" s="7" t="str">
        <f>"王龙腾"</f>
        <v>王龙腾</v>
      </c>
      <c r="E774" s="7" t="str">
        <f t="shared" si="76"/>
        <v>男</v>
      </c>
      <c r="F774" s="7" t="s">
        <v>791</v>
      </c>
      <c r="G774" s="7" t="s">
        <v>12</v>
      </c>
      <c r="H774" s="7"/>
    </row>
    <row r="775" s="3" customFormat="1" ht="14.25" customHeight="1" spans="1:8">
      <c r="A775" s="7">
        <v>772</v>
      </c>
      <c r="B775" s="7" t="str">
        <f>"114020200403091421160375"</f>
        <v>114020200403091421160375</v>
      </c>
      <c r="C775" s="7" t="s">
        <v>736</v>
      </c>
      <c r="D775" s="7" t="str">
        <f>"王巧"</f>
        <v>王巧</v>
      </c>
      <c r="E775" s="7" t="str">
        <f t="shared" si="77"/>
        <v>女</v>
      </c>
      <c r="F775" s="7" t="s">
        <v>792</v>
      </c>
      <c r="G775" s="7" t="s">
        <v>12</v>
      </c>
      <c r="H775" s="7"/>
    </row>
    <row r="776" s="3" customFormat="1" ht="14.25" customHeight="1" spans="1:8">
      <c r="A776" s="7">
        <v>773</v>
      </c>
      <c r="B776" s="7" t="str">
        <f>"114020200403121606160438"</f>
        <v>114020200403121606160438</v>
      </c>
      <c r="C776" s="7" t="s">
        <v>736</v>
      </c>
      <c r="D776" s="7" t="str">
        <f>"秦子茹"</f>
        <v>秦子茹</v>
      </c>
      <c r="E776" s="7" t="str">
        <f t="shared" si="77"/>
        <v>女</v>
      </c>
      <c r="F776" s="7" t="s">
        <v>793</v>
      </c>
      <c r="G776" s="7" t="s">
        <v>12</v>
      </c>
      <c r="H776" s="7"/>
    </row>
    <row r="777" s="3" customFormat="1" ht="14.25" customHeight="1" spans="1:8">
      <c r="A777" s="7">
        <v>774</v>
      </c>
      <c r="B777" s="7" t="str">
        <f>"114020200403124826160446"</f>
        <v>114020200403124826160446</v>
      </c>
      <c r="C777" s="7" t="s">
        <v>736</v>
      </c>
      <c r="D777" s="7" t="str">
        <f>"王陆菊"</f>
        <v>王陆菊</v>
      </c>
      <c r="E777" s="7" t="str">
        <f t="shared" si="77"/>
        <v>女</v>
      </c>
      <c r="F777" s="7" t="s">
        <v>794</v>
      </c>
      <c r="G777" s="7" t="s">
        <v>12</v>
      </c>
      <c r="H777" s="7"/>
    </row>
    <row r="778" s="3" customFormat="1" ht="14.25" customHeight="1" spans="1:8">
      <c r="A778" s="7">
        <v>775</v>
      </c>
      <c r="B778" s="7" t="str">
        <f>"114020200403142100160465"</f>
        <v>114020200403142100160465</v>
      </c>
      <c r="C778" s="7" t="s">
        <v>736</v>
      </c>
      <c r="D778" s="7" t="str">
        <f>"辛敏"</f>
        <v>辛敏</v>
      </c>
      <c r="E778" s="7" t="str">
        <f t="shared" si="77"/>
        <v>女</v>
      </c>
      <c r="F778" s="7" t="s">
        <v>795</v>
      </c>
      <c r="G778" s="7" t="s">
        <v>12</v>
      </c>
      <c r="H778" s="7"/>
    </row>
    <row r="779" s="3" customFormat="1" ht="14.25" customHeight="1" spans="1:8">
      <c r="A779" s="7">
        <v>776</v>
      </c>
      <c r="B779" s="7" t="str">
        <f>"114020200403154427160486"</f>
        <v>114020200403154427160486</v>
      </c>
      <c r="C779" s="7" t="s">
        <v>736</v>
      </c>
      <c r="D779" s="7" t="str">
        <f>"谢是倩"</f>
        <v>谢是倩</v>
      </c>
      <c r="E779" s="7" t="str">
        <f t="shared" si="77"/>
        <v>女</v>
      </c>
      <c r="F779" s="7" t="s">
        <v>796</v>
      </c>
      <c r="G779" s="7" t="s">
        <v>12</v>
      </c>
      <c r="H779" s="7"/>
    </row>
    <row r="780" s="3" customFormat="1" ht="14.25" customHeight="1" spans="1:8">
      <c r="A780" s="7">
        <v>777</v>
      </c>
      <c r="B780" s="7" t="str">
        <f>"114020200403165009160504"</f>
        <v>114020200403165009160504</v>
      </c>
      <c r="C780" s="7" t="s">
        <v>736</v>
      </c>
      <c r="D780" s="7" t="str">
        <f>"符入敏"</f>
        <v>符入敏</v>
      </c>
      <c r="E780" s="7" t="str">
        <f t="shared" si="77"/>
        <v>女</v>
      </c>
      <c r="F780" s="7" t="s">
        <v>797</v>
      </c>
      <c r="G780" s="7" t="s">
        <v>12</v>
      </c>
      <c r="H780" s="7"/>
    </row>
    <row r="781" s="3" customFormat="1" ht="14.25" customHeight="1" spans="1:8">
      <c r="A781" s="7">
        <v>778</v>
      </c>
      <c r="B781" s="7" t="str">
        <f>"114020200403200754160538"</f>
        <v>114020200403200754160538</v>
      </c>
      <c r="C781" s="7" t="s">
        <v>736</v>
      </c>
      <c r="D781" s="7" t="str">
        <f>"唐寿葡"</f>
        <v>唐寿葡</v>
      </c>
      <c r="E781" s="7" t="str">
        <f t="shared" si="77"/>
        <v>女</v>
      </c>
      <c r="F781" s="7" t="s">
        <v>798</v>
      </c>
      <c r="G781" s="7" t="s">
        <v>12</v>
      </c>
      <c r="H781" s="7"/>
    </row>
    <row r="782" s="3" customFormat="1" ht="14.25" customHeight="1" spans="1:8">
      <c r="A782" s="7">
        <v>779</v>
      </c>
      <c r="B782" s="7" t="str">
        <f>"114020200404215503160677"</f>
        <v>114020200404215503160677</v>
      </c>
      <c r="C782" s="7" t="s">
        <v>736</v>
      </c>
      <c r="D782" s="7" t="str">
        <f>"汪向丽"</f>
        <v>汪向丽</v>
      </c>
      <c r="E782" s="7" t="str">
        <f t="shared" si="77"/>
        <v>女</v>
      </c>
      <c r="F782" s="7" t="s">
        <v>799</v>
      </c>
      <c r="G782" s="7" t="s">
        <v>12</v>
      </c>
      <c r="H782" s="7"/>
    </row>
    <row r="783" s="3" customFormat="1" ht="14.25" customHeight="1" spans="1:8">
      <c r="A783" s="7">
        <v>780</v>
      </c>
      <c r="B783" s="7" t="str">
        <f>"114020200405095315160743"</f>
        <v>114020200405095315160743</v>
      </c>
      <c r="C783" s="7" t="s">
        <v>736</v>
      </c>
      <c r="D783" s="7" t="str">
        <f>"冼泽云"</f>
        <v>冼泽云</v>
      </c>
      <c r="E783" s="7" t="str">
        <f t="shared" si="77"/>
        <v>女</v>
      </c>
      <c r="F783" s="7" t="s">
        <v>800</v>
      </c>
      <c r="G783" s="7" t="s">
        <v>12</v>
      </c>
      <c r="H783" s="7"/>
    </row>
    <row r="784" s="3" customFormat="1" ht="14.25" customHeight="1" spans="1:8">
      <c r="A784" s="7">
        <v>781</v>
      </c>
      <c r="B784" s="7" t="str">
        <f>"114020200405170852160893"</f>
        <v>114020200405170852160893</v>
      </c>
      <c r="C784" s="7" t="s">
        <v>736</v>
      </c>
      <c r="D784" s="7" t="str">
        <f>"王丽品"</f>
        <v>王丽品</v>
      </c>
      <c r="E784" s="7" t="str">
        <f t="shared" si="77"/>
        <v>女</v>
      </c>
      <c r="F784" s="7" t="s">
        <v>46</v>
      </c>
      <c r="G784" s="7" t="s">
        <v>12</v>
      </c>
      <c r="H784" s="7"/>
    </row>
    <row r="785" s="3" customFormat="1" ht="14.25" customHeight="1" spans="1:8">
      <c r="A785" s="7">
        <v>782</v>
      </c>
      <c r="B785" s="7" t="str">
        <f>"114020200405190203160931"</f>
        <v>114020200405190203160931</v>
      </c>
      <c r="C785" s="7" t="s">
        <v>736</v>
      </c>
      <c r="D785" s="7" t="str">
        <f>"何君"</f>
        <v>何君</v>
      </c>
      <c r="E785" s="7" t="str">
        <f t="shared" si="77"/>
        <v>女</v>
      </c>
      <c r="F785" s="7" t="s">
        <v>801</v>
      </c>
      <c r="G785" s="7" t="s">
        <v>12</v>
      </c>
      <c r="H785" s="7"/>
    </row>
    <row r="786" s="3" customFormat="1" ht="14.25" customHeight="1" spans="1:8">
      <c r="A786" s="7">
        <v>783</v>
      </c>
      <c r="B786" s="7" t="str">
        <f>"114020200405210845160975"</f>
        <v>114020200405210845160975</v>
      </c>
      <c r="C786" s="7" t="s">
        <v>736</v>
      </c>
      <c r="D786" s="7" t="str">
        <f>"卓萍萍"</f>
        <v>卓萍萍</v>
      </c>
      <c r="E786" s="7" t="str">
        <f t="shared" si="77"/>
        <v>女</v>
      </c>
      <c r="F786" s="7" t="s">
        <v>802</v>
      </c>
      <c r="G786" s="7" t="s">
        <v>12</v>
      </c>
      <c r="H786" s="7"/>
    </row>
    <row r="787" s="3" customFormat="1" ht="14.25" customHeight="1" spans="1:8">
      <c r="A787" s="7">
        <v>784</v>
      </c>
      <c r="B787" s="7" t="str">
        <f>"114020200405231123161027"</f>
        <v>114020200405231123161027</v>
      </c>
      <c r="C787" s="7" t="s">
        <v>736</v>
      </c>
      <c r="D787" s="7" t="str">
        <f>"林师云"</f>
        <v>林师云</v>
      </c>
      <c r="E787" s="7" t="str">
        <f>"男"</f>
        <v>男</v>
      </c>
      <c r="F787" s="7" t="s">
        <v>803</v>
      </c>
      <c r="G787" s="7" t="s">
        <v>12</v>
      </c>
      <c r="H787" s="7"/>
    </row>
    <row r="788" s="3" customFormat="1" ht="14.25" customHeight="1" spans="1:8">
      <c r="A788" s="7">
        <v>785</v>
      </c>
      <c r="B788" s="7" t="str">
        <f>"114020200406001446161040"</f>
        <v>114020200406001446161040</v>
      </c>
      <c r="C788" s="7" t="s">
        <v>736</v>
      </c>
      <c r="D788" s="7" t="str">
        <f>"邱海燕"</f>
        <v>邱海燕</v>
      </c>
      <c r="E788" s="7" t="str">
        <f t="shared" ref="E788:E790" si="78">"女"</f>
        <v>女</v>
      </c>
      <c r="F788" s="7" t="s">
        <v>804</v>
      </c>
      <c r="G788" s="7" t="s">
        <v>12</v>
      </c>
      <c r="H788" s="7"/>
    </row>
    <row r="789" s="3" customFormat="1" ht="14.25" customHeight="1" spans="1:8">
      <c r="A789" s="7">
        <v>786</v>
      </c>
      <c r="B789" s="7" t="str">
        <f>"114020200406092657161071"</f>
        <v>114020200406092657161071</v>
      </c>
      <c r="C789" s="7" t="s">
        <v>736</v>
      </c>
      <c r="D789" s="7" t="str">
        <f>"林小娟"</f>
        <v>林小娟</v>
      </c>
      <c r="E789" s="7" t="str">
        <f t="shared" si="78"/>
        <v>女</v>
      </c>
      <c r="F789" s="7" t="s">
        <v>805</v>
      </c>
      <c r="G789" s="7" t="s">
        <v>12</v>
      </c>
      <c r="H789" s="7"/>
    </row>
    <row r="790" s="3" customFormat="1" ht="14.25" customHeight="1" spans="1:8">
      <c r="A790" s="7">
        <v>787</v>
      </c>
      <c r="B790" s="7" t="str">
        <f>"114020200328090432157143"</f>
        <v>114020200328090432157143</v>
      </c>
      <c r="C790" s="7" t="s">
        <v>806</v>
      </c>
      <c r="D790" s="7" t="str">
        <f>"王俊闲"</f>
        <v>王俊闲</v>
      </c>
      <c r="E790" s="7" t="str">
        <f t="shared" si="78"/>
        <v>女</v>
      </c>
      <c r="F790" s="7" t="s">
        <v>807</v>
      </c>
      <c r="G790" s="7" t="s">
        <v>12</v>
      </c>
      <c r="H790" s="7"/>
    </row>
    <row r="791" s="3" customFormat="1" ht="14.25" customHeight="1" spans="1:8">
      <c r="A791" s="7">
        <v>788</v>
      </c>
      <c r="B791" s="7" t="str">
        <f>"114020200328090736157157"</f>
        <v>114020200328090736157157</v>
      </c>
      <c r="C791" s="7" t="s">
        <v>806</v>
      </c>
      <c r="D791" s="7" t="str">
        <f>"陈荣善"</f>
        <v>陈荣善</v>
      </c>
      <c r="E791" s="7" t="str">
        <f t="shared" ref="E791:E796" si="79">"男"</f>
        <v>男</v>
      </c>
      <c r="F791" s="7" t="s">
        <v>808</v>
      </c>
      <c r="G791" s="7" t="s">
        <v>12</v>
      </c>
      <c r="H791" s="7"/>
    </row>
    <row r="792" s="3" customFormat="1" ht="14.25" customHeight="1" spans="1:8">
      <c r="A792" s="7">
        <v>789</v>
      </c>
      <c r="B792" s="7" t="str">
        <f>"114020200328091500157168"</f>
        <v>114020200328091500157168</v>
      </c>
      <c r="C792" s="7" t="s">
        <v>806</v>
      </c>
      <c r="D792" s="7" t="str">
        <f>"李小丽"</f>
        <v>李小丽</v>
      </c>
      <c r="E792" s="7" t="str">
        <f t="shared" ref="E792:E794" si="80">"女"</f>
        <v>女</v>
      </c>
      <c r="F792" s="7" t="s">
        <v>809</v>
      </c>
      <c r="G792" s="7" t="s">
        <v>12</v>
      </c>
      <c r="H792" s="7"/>
    </row>
    <row r="793" s="3" customFormat="1" ht="14.25" customHeight="1" spans="1:8">
      <c r="A793" s="7">
        <v>790</v>
      </c>
      <c r="B793" s="7" t="str">
        <f>"114020200328092022157178"</f>
        <v>114020200328092022157178</v>
      </c>
      <c r="C793" s="7" t="s">
        <v>806</v>
      </c>
      <c r="D793" s="7" t="str">
        <f>"陈言妙"</f>
        <v>陈言妙</v>
      </c>
      <c r="E793" s="7" t="str">
        <f t="shared" si="80"/>
        <v>女</v>
      </c>
      <c r="F793" s="7" t="s">
        <v>810</v>
      </c>
      <c r="G793" s="7" t="s">
        <v>12</v>
      </c>
      <c r="H793" s="7"/>
    </row>
    <row r="794" s="3" customFormat="1" ht="14.25" customHeight="1" spans="1:8">
      <c r="A794" s="7">
        <v>791</v>
      </c>
      <c r="B794" s="7" t="str">
        <f>"114020200328092918157203"</f>
        <v>114020200328092918157203</v>
      </c>
      <c r="C794" s="7" t="s">
        <v>806</v>
      </c>
      <c r="D794" s="7" t="str">
        <f>"符晓兰"</f>
        <v>符晓兰</v>
      </c>
      <c r="E794" s="7" t="str">
        <f t="shared" si="80"/>
        <v>女</v>
      </c>
      <c r="F794" s="7" t="s">
        <v>811</v>
      </c>
      <c r="G794" s="7" t="s">
        <v>12</v>
      </c>
      <c r="H794" s="7"/>
    </row>
    <row r="795" s="3" customFormat="1" ht="14.25" customHeight="1" spans="1:8">
      <c r="A795" s="7">
        <v>792</v>
      </c>
      <c r="B795" s="7" t="str">
        <f>"114020200328092941157204"</f>
        <v>114020200328092941157204</v>
      </c>
      <c r="C795" s="7" t="s">
        <v>806</v>
      </c>
      <c r="D795" s="7" t="str">
        <f>"吉才雄"</f>
        <v>吉才雄</v>
      </c>
      <c r="E795" s="7" t="str">
        <f t="shared" si="79"/>
        <v>男</v>
      </c>
      <c r="F795" s="7" t="s">
        <v>812</v>
      </c>
      <c r="G795" s="7" t="s">
        <v>12</v>
      </c>
      <c r="H795" s="7"/>
    </row>
    <row r="796" s="3" customFormat="1" ht="14.25" customHeight="1" spans="1:8">
      <c r="A796" s="7">
        <v>793</v>
      </c>
      <c r="B796" s="7" t="str">
        <f>"114020200328093150157208"</f>
        <v>114020200328093150157208</v>
      </c>
      <c r="C796" s="7" t="s">
        <v>806</v>
      </c>
      <c r="D796" s="7" t="str">
        <f>"陈方养"</f>
        <v>陈方养</v>
      </c>
      <c r="E796" s="7" t="str">
        <f t="shared" si="79"/>
        <v>男</v>
      </c>
      <c r="F796" s="7" t="s">
        <v>813</v>
      </c>
      <c r="G796" s="7" t="s">
        <v>12</v>
      </c>
      <c r="H796" s="7"/>
    </row>
    <row r="797" s="3" customFormat="1" ht="14.25" customHeight="1" spans="1:8">
      <c r="A797" s="7">
        <v>794</v>
      </c>
      <c r="B797" s="7" t="str">
        <f>"114020200328094441157241"</f>
        <v>114020200328094441157241</v>
      </c>
      <c r="C797" s="7" t="s">
        <v>806</v>
      </c>
      <c r="D797" s="7" t="str">
        <f>"关博玲"</f>
        <v>关博玲</v>
      </c>
      <c r="E797" s="7" t="str">
        <f t="shared" ref="E797:E801" si="81">"女"</f>
        <v>女</v>
      </c>
      <c r="F797" s="7" t="s">
        <v>814</v>
      </c>
      <c r="G797" s="7" t="s">
        <v>12</v>
      </c>
      <c r="H797" s="7"/>
    </row>
    <row r="798" s="3" customFormat="1" ht="14.25" customHeight="1" spans="1:8">
      <c r="A798" s="7">
        <v>795</v>
      </c>
      <c r="B798" s="7" t="str">
        <f>"114020200328101225157305"</f>
        <v>114020200328101225157305</v>
      </c>
      <c r="C798" s="7" t="s">
        <v>806</v>
      </c>
      <c r="D798" s="7" t="str">
        <f>"邢娜雅"</f>
        <v>邢娜雅</v>
      </c>
      <c r="E798" s="7" t="str">
        <f t="shared" si="81"/>
        <v>女</v>
      </c>
      <c r="F798" s="7" t="s">
        <v>815</v>
      </c>
      <c r="G798" s="7" t="s">
        <v>12</v>
      </c>
      <c r="H798" s="7"/>
    </row>
    <row r="799" s="3" customFormat="1" ht="14.25" customHeight="1" spans="1:8">
      <c r="A799" s="7">
        <v>796</v>
      </c>
      <c r="B799" s="7" t="str">
        <f>"114020200328101305157308"</f>
        <v>114020200328101305157308</v>
      </c>
      <c r="C799" s="7" t="s">
        <v>806</v>
      </c>
      <c r="D799" s="7" t="str">
        <f>"张聪"</f>
        <v>张聪</v>
      </c>
      <c r="E799" s="7" t="str">
        <f t="shared" ref="E799:E803" si="82">"男"</f>
        <v>男</v>
      </c>
      <c r="F799" s="7" t="s">
        <v>816</v>
      </c>
      <c r="G799" s="7" t="s">
        <v>12</v>
      </c>
      <c r="H799" s="7"/>
    </row>
    <row r="800" s="3" customFormat="1" ht="14.25" customHeight="1" spans="1:8">
      <c r="A800" s="7">
        <v>797</v>
      </c>
      <c r="B800" s="7" t="str">
        <f>"114020200328101324157309"</f>
        <v>114020200328101324157309</v>
      </c>
      <c r="C800" s="7" t="s">
        <v>806</v>
      </c>
      <c r="D800" s="7" t="str">
        <f>"秦彩玉"</f>
        <v>秦彩玉</v>
      </c>
      <c r="E800" s="7" t="str">
        <f t="shared" si="81"/>
        <v>女</v>
      </c>
      <c r="F800" s="7" t="s">
        <v>817</v>
      </c>
      <c r="G800" s="7" t="s">
        <v>12</v>
      </c>
      <c r="H800" s="7"/>
    </row>
    <row r="801" s="3" customFormat="1" ht="14.25" customHeight="1" spans="1:8">
      <c r="A801" s="7">
        <v>798</v>
      </c>
      <c r="B801" s="7" t="str">
        <f>"114020200328101351157310"</f>
        <v>114020200328101351157310</v>
      </c>
      <c r="C801" s="7" t="s">
        <v>806</v>
      </c>
      <c r="D801" s="7" t="str">
        <f>"王赛娟"</f>
        <v>王赛娟</v>
      </c>
      <c r="E801" s="7" t="str">
        <f t="shared" si="81"/>
        <v>女</v>
      </c>
      <c r="F801" s="7" t="s">
        <v>818</v>
      </c>
      <c r="G801" s="7" t="s">
        <v>12</v>
      </c>
      <c r="H801" s="7"/>
    </row>
    <row r="802" s="3" customFormat="1" ht="14.25" customHeight="1" spans="1:8">
      <c r="A802" s="7">
        <v>799</v>
      </c>
      <c r="B802" s="7" t="str">
        <f>"114020200328101559157319"</f>
        <v>114020200328101559157319</v>
      </c>
      <c r="C802" s="7" t="s">
        <v>806</v>
      </c>
      <c r="D802" s="7" t="str">
        <f>"张秋生"</f>
        <v>张秋生</v>
      </c>
      <c r="E802" s="7" t="str">
        <f t="shared" si="82"/>
        <v>男</v>
      </c>
      <c r="F802" s="7" t="s">
        <v>819</v>
      </c>
      <c r="G802" s="7" t="s">
        <v>12</v>
      </c>
      <c r="H802" s="7"/>
    </row>
    <row r="803" s="3" customFormat="1" ht="14.25" customHeight="1" spans="1:8">
      <c r="A803" s="7">
        <v>800</v>
      </c>
      <c r="B803" s="7" t="str">
        <f>"114020200328102057157332"</f>
        <v>114020200328102057157332</v>
      </c>
      <c r="C803" s="7" t="s">
        <v>806</v>
      </c>
      <c r="D803" s="7" t="str">
        <f>"陈积专"</f>
        <v>陈积专</v>
      </c>
      <c r="E803" s="7" t="str">
        <f t="shared" si="82"/>
        <v>男</v>
      </c>
      <c r="F803" s="7" t="s">
        <v>820</v>
      </c>
      <c r="G803" s="7" t="s">
        <v>12</v>
      </c>
      <c r="H803" s="7"/>
    </row>
    <row r="804" s="3" customFormat="1" ht="14.25" customHeight="1" spans="1:8">
      <c r="A804" s="7">
        <v>801</v>
      </c>
      <c r="B804" s="7" t="str">
        <f>"114020200328102422157338"</f>
        <v>114020200328102422157338</v>
      </c>
      <c r="C804" s="7" t="s">
        <v>806</v>
      </c>
      <c r="D804" s="7" t="str">
        <f>"蔡雨昕"</f>
        <v>蔡雨昕</v>
      </c>
      <c r="E804" s="7" t="str">
        <f t="shared" ref="E804:E810" si="83">"女"</f>
        <v>女</v>
      </c>
      <c r="F804" s="7" t="s">
        <v>821</v>
      </c>
      <c r="G804" s="7" t="s">
        <v>12</v>
      </c>
      <c r="H804" s="7"/>
    </row>
    <row r="805" s="3" customFormat="1" ht="14.25" customHeight="1" spans="1:8">
      <c r="A805" s="7">
        <v>802</v>
      </c>
      <c r="B805" s="7" t="str">
        <f>"114020200328102435157340"</f>
        <v>114020200328102435157340</v>
      </c>
      <c r="C805" s="7" t="s">
        <v>806</v>
      </c>
      <c r="D805" s="7" t="str">
        <f>"倪俊能"</f>
        <v>倪俊能</v>
      </c>
      <c r="E805" s="7" t="str">
        <f>"男"</f>
        <v>男</v>
      </c>
      <c r="F805" s="7" t="s">
        <v>822</v>
      </c>
      <c r="G805" s="7" t="s">
        <v>12</v>
      </c>
      <c r="H805" s="7"/>
    </row>
    <row r="806" s="3" customFormat="1" ht="14.25" customHeight="1" spans="1:8">
      <c r="A806" s="7">
        <v>803</v>
      </c>
      <c r="B806" s="7" t="str">
        <f>"114020200328103002157357"</f>
        <v>114020200328103002157357</v>
      </c>
      <c r="C806" s="7" t="s">
        <v>806</v>
      </c>
      <c r="D806" s="7" t="str">
        <f>"史昌丽"</f>
        <v>史昌丽</v>
      </c>
      <c r="E806" s="7" t="str">
        <f t="shared" si="83"/>
        <v>女</v>
      </c>
      <c r="F806" s="7" t="s">
        <v>823</v>
      </c>
      <c r="G806" s="7" t="s">
        <v>12</v>
      </c>
      <c r="H806" s="7"/>
    </row>
    <row r="807" s="3" customFormat="1" ht="14.25" customHeight="1" spans="1:8">
      <c r="A807" s="7">
        <v>804</v>
      </c>
      <c r="B807" s="7" t="str">
        <f>"114020200328111810157463"</f>
        <v>114020200328111810157463</v>
      </c>
      <c r="C807" s="7" t="s">
        <v>806</v>
      </c>
      <c r="D807" s="7" t="str">
        <f>"王民政"</f>
        <v>王民政</v>
      </c>
      <c r="E807" s="7" t="str">
        <f t="shared" ref="E807:E812" si="84">"男"</f>
        <v>男</v>
      </c>
      <c r="F807" s="7" t="s">
        <v>824</v>
      </c>
      <c r="G807" s="7" t="s">
        <v>12</v>
      </c>
      <c r="H807" s="7"/>
    </row>
    <row r="808" s="3" customFormat="1" ht="14.25" customHeight="1" spans="1:8">
      <c r="A808" s="7">
        <v>805</v>
      </c>
      <c r="B808" s="7" t="str">
        <f>"114020200328112401157473"</f>
        <v>114020200328112401157473</v>
      </c>
      <c r="C808" s="7" t="s">
        <v>806</v>
      </c>
      <c r="D808" s="7" t="str">
        <f>"李启妃"</f>
        <v>李启妃</v>
      </c>
      <c r="E808" s="7" t="str">
        <f t="shared" si="83"/>
        <v>女</v>
      </c>
      <c r="F808" s="7" t="s">
        <v>825</v>
      </c>
      <c r="G808" s="7" t="s">
        <v>12</v>
      </c>
      <c r="H808" s="7"/>
    </row>
    <row r="809" s="3" customFormat="1" ht="14.25" customHeight="1" spans="1:8">
      <c r="A809" s="7">
        <v>806</v>
      </c>
      <c r="B809" s="7" t="str">
        <f>"114020200328114330157502"</f>
        <v>114020200328114330157502</v>
      </c>
      <c r="C809" s="7" t="s">
        <v>806</v>
      </c>
      <c r="D809" s="7" t="str">
        <f>"杨雪"</f>
        <v>杨雪</v>
      </c>
      <c r="E809" s="7" t="str">
        <f t="shared" si="83"/>
        <v>女</v>
      </c>
      <c r="F809" s="7" t="s">
        <v>826</v>
      </c>
      <c r="G809" s="7" t="s">
        <v>12</v>
      </c>
      <c r="H809" s="7"/>
    </row>
    <row r="810" s="3" customFormat="1" ht="14.25" customHeight="1" spans="1:8">
      <c r="A810" s="7">
        <v>807</v>
      </c>
      <c r="B810" s="7" t="str">
        <f>"114020200328115607157526"</f>
        <v>114020200328115607157526</v>
      </c>
      <c r="C810" s="7" t="s">
        <v>806</v>
      </c>
      <c r="D810" s="7" t="str">
        <f>"卓桂庄"</f>
        <v>卓桂庄</v>
      </c>
      <c r="E810" s="7" t="str">
        <f t="shared" si="83"/>
        <v>女</v>
      </c>
      <c r="F810" s="7" t="s">
        <v>827</v>
      </c>
      <c r="G810" s="7" t="s">
        <v>12</v>
      </c>
      <c r="H810" s="7"/>
    </row>
    <row r="811" s="3" customFormat="1" ht="14.25" customHeight="1" spans="1:8">
      <c r="A811" s="7">
        <v>808</v>
      </c>
      <c r="B811" s="7" t="str">
        <f>"114020200328122458157582"</f>
        <v>114020200328122458157582</v>
      </c>
      <c r="C811" s="7" t="s">
        <v>806</v>
      </c>
      <c r="D811" s="7" t="str">
        <f>"王震"</f>
        <v>王震</v>
      </c>
      <c r="E811" s="7" t="str">
        <f t="shared" si="84"/>
        <v>男</v>
      </c>
      <c r="F811" s="7" t="s">
        <v>828</v>
      </c>
      <c r="G811" s="7" t="s">
        <v>12</v>
      </c>
      <c r="H811" s="7"/>
    </row>
    <row r="812" s="3" customFormat="1" ht="14.25" customHeight="1" spans="1:8">
      <c r="A812" s="7">
        <v>809</v>
      </c>
      <c r="B812" s="7" t="str">
        <f>"114020200328122616157586"</f>
        <v>114020200328122616157586</v>
      </c>
      <c r="C812" s="7" t="s">
        <v>806</v>
      </c>
      <c r="D812" s="7" t="str">
        <f>"吴奇江"</f>
        <v>吴奇江</v>
      </c>
      <c r="E812" s="7" t="str">
        <f t="shared" si="84"/>
        <v>男</v>
      </c>
      <c r="F812" s="7" t="s">
        <v>829</v>
      </c>
      <c r="G812" s="7" t="s">
        <v>12</v>
      </c>
      <c r="H812" s="7"/>
    </row>
    <row r="813" s="3" customFormat="1" ht="14.25" customHeight="1" spans="1:8">
      <c r="A813" s="7">
        <v>810</v>
      </c>
      <c r="B813" s="7" t="str">
        <f>"114020200328123532157600"</f>
        <v>114020200328123532157600</v>
      </c>
      <c r="C813" s="7" t="s">
        <v>806</v>
      </c>
      <c r="D813" s="7" t="str">
        <f>"麦文香"</f>
        <v>麦文香</v>
      </c>
      <c r="E813" s="7" t="str">
        <f t="shared" ref="E813:E816" si="85">"女"</f>
        <v>女</v>
      </c>
      <c r="F813" s="7" t="s">
        <v>830</v>
      </c>
      <c r="G813" s="7" t="s">
        <v>12</v>
      </c>
      <c r="H813" s="7"/>
    </row>
    <row r="814" s="3" customFormat="1" ht="14.25" customHeight="1" spans="1:8">
      <c r="A814" s="7">
        <v>811</v>
      </c>
      <c r="B814" s="7" t="str">
        <f>"114020200328123925157608"</f>
        <v>114020200328123925157608</v>
      </c>
      <c r="C814" s="7" t="s">
        <v>806</v>
      </c>
      <c r="D814" s="7" t="str">
        <f>"吴克姣"</f>
        <v>吴克姣</v>
      </c>
      <c r="E814" s="7" t="str">
        <f t="shared" si="85"/>
        <v>女</v>
      </c>
      <c r="F814" s="7" t="s">
        <v>831</v>
      </c>
      <c r="G814" s="7" t="s">
        <v>12</v>
      </c>
      <c r="H814" s="7"/>
    </row>
    <row r="815" s="3" customFormat="1" ht="14.25" customHeight="1" spans="1:8">
      <c r="A815" s="7">
        <v>812</v>
      </c>
      <c r="B815" s="7" t="str">
        <f>"114020200328125826157632"</f>
        <v>114020200328125826157632</v>
      </c>
      <c r="C815" s="7" t="s">
        <v>806</v>
      </c>
      <c r="D815" s="7" t="str">
        <f>"刘安琪"</f>
        <v>刘安琪</v>
      </c>
      <c r="E815" s="7" t="str">
        <f t="shared" si="85"/>
        <v>女</v>
      </c>
      <c r="F815" s="7" t="s">
        <v>832</v>
      </c>
      <c r="G815" s="7" t="s">
        <v>12</v>
      </c>
      <c r="H815" s="7"/>
    </row>
    <row r="816" s="3" customFormat="1" ht="14.25" customHeight="1" spans="1:8">
      <c r="A816" s="7">
        <v>813</v>
      </c>
      <c r="B816" s="7" t="str">
        <f>"114020200328125857157634"</f>
        <v>114020200328125857157634</v>
      </c>
      <c r="C816" s="7" t="s">
        <v>806</v>
      </c>
      <c r="D816" s="7" t="str">
        <f>"黄秋梅"</f>
        <v>黄秋梅</v>
      </c>
      <c r="E816" s="7" t="str">
        <f t="shared" si="85"/>
        <v>女</v>
      </c>
      <c r="F816" s="7" t="s">
        <v>833</v>
      </c>
      <c r="G816" s="7" t="s">
        <v>12</v>
      </c>
      <c r="H816" s="7"/>
    </row>
    <row r="817" s="3" customFormat="1" ht="14.25" customHeight="1" spans="1:8">
      <c r="A817" s="7">
        <v>814</v>
      </c>
      <c r="B817" s="7" t="str">
        <f>"114020200328131543157661"</f>
        <v>114020200328131543157661</v>
      </c>
      <c r="C817" s="7" t="s">
        <v>806</v>
      </c>
      <c r="D817" s="7" t="str">
        <f>"纪定佳"</f>
        <v>纪定佳</v>
      </c>
      <c r="E817" s="7" t="str">
        <f t="shared" ref="E817:E823" si="86">"男"</f>
        <v>男</v>
      </c>
      <c r="F817" s="7" t="s">
        <v>834</v>
      </c>
      <c r="G817" s="7" t="s">
        <v>12</v>
      </c>
      <c r="H817" s="7"/>
    </row>
    <row r="818" s="3" customFormat="1" ht="14.25" customHeight="1" spans="1:8">
      <c r="A818" s="7">
        <v>815</v>
      </c>
      <c r="B818" s="7" t="str">
        <f>"114020200328131749157665"</f>
        <v>114020200328131749157665</v>
      </c>
      <c r="C818" s="7" t="s">
        <v>806</v>
      </c>
      <c r="D818" s="7" t="str">
        <f>"王丽秧"</f>
        <v>王丽秧</v>
      </c>
      <c r="E818" s="7" t="str">
        <f t="shared" ref="E818:E820" si="87">"女"</f>
        <v>女</v>
      </c>
      <c r="F818" s="7" t="s">
        <v>835</v>
      </c>
      <c r="G818" s="7" t="s">
        <v>12</v>
      </c>
      <c r="H818" s="7"/>
    </row>
    <row r="819" s="3" customFormat="1" ht="14.25" customHeight="1" spans="1:8">
      <c r="A819" s="7">
        <v>816</v>
      </c>
      <c r="B819" s="7" t="str">
        <f>"114020200328142054157736"</f>
        <v>114020200328142054157736</v>
      </c>
      <c r="C819" s="7" t="s">
        <v>806</v>
      </c>
      <c r="D819" s="7" t="str">
        <f>"杨晓敏"</f>
        <v>杨晓敏</v>
      </c>
      <c r="E819" s="7" t="str">
        <f t="shared" si="87"/>
        <v>女</v>
      </c>
      <c r="F819" s="7" t="s">
        <v>836</v>
      </c>
      <c r="G819" s="7" t="s">
        <v>12</v>
      </c>
      <c r="H819" s="7"/>
    </row>
    <row r="820" s="3" customFormat="1" ht="14.25" customHeight="1" spans="1:8">
      <c r="A820" s="7">
        <v>817</v>
      </c>
      <c r="B820" s="7" t="str">
        <f>"114020200328145407157766"</f>
        <v>114020200328145407157766</v>
      </c>
      <c r="C820" s="7" t="s">
        <v>806</v>
      </c>
      <c r="D820" s="7" t="str">
        <f>"杨芳丽"</f>
        <v>杨芳丽</v>
      </c>
      <c r="E820" s="7" t="str">
        <f t="shared" si="87"/>
        <v>女</v>
      </c>
      <c r="F820" s="7" t="s">
        <v>837</v>
      </c>
      <c r="G820" s="7" t="s">
        <v>12</v>
      </c>
      <c r="H820" s="7"/>
    </row>
    <row r="821" s="3" customFormat="1" ht="14.25" customHeight="1" spans="1:8">
      <c r="A821" s="7">
        <v>818</v>
      </c>
      <c r="B821" s="7" t="str">
        <f>"114020200328150125157773"</f>
        <v>114020200328150125157773</v>
      </c>
      <c r="C821" s="7" t="s">
        <v>806</v>
      </c>
      <c r="D821" s="7" t="str">
        <f>"胡涛涛"</f>
        <v>胡涛涛</v>
      </c>
      <c r="E821" s="7" t="str">
        <f t="shared" si="86"/>
        <v>男</v>
      </c>
      <c r="F821" s="7" t="s">
        <v>838</v>
      </c>
      <c r="G821" s="7" t="s">
        <v>12</v>
      </c>
      <c r="H821" s="7"/>
    </row>
    <row r="822" s="3" customFormat="1" ht="14.25" customHeight="1" spans="1:8">
      <c r="A822" s="7">
        <v>819</v>
      </c>
      <c r="B822" s="7" t="str">
        <f>"114020200328153916157809"</f>
        <v>114020200328153916157809</v>
      </c>
      <c r="C822" s="7" t="s">
        <v>806</v>
      </c>
      <c r="D822" s="7" t="str">
        <f>"吴育林"</f>
        <v>吴育林</v>
      </c>
      <c r="E822" s="7" t="str">
        <f t="shared" si="86"/>
        <v>男</v>
      </c>
      <c r="F822" s="7" t="s">
        <v>839</v>
      </c>
      <c r="G822" s="7" t="s">
        <v>12</v>
      </c>
      <c r="H822" s="7"/>
    </row>
    <row r="823" s="3" customFormat="1" ht="14.25" customHeight="1" spans="1:8">
      <c r="A823" s="7">
        <v>820</v>
      </c>
      <c r="B823" s="7" t="str">
        <f>"114020200328154643157819"</f>
        <v>114020200328154643157819</v>
      </c>
      <c r="C823" s="7" t="s">
        <v>806</v>
      </c>
      <c r="D823" s="7" t="str">
        <f>"李磊"</f>
        <v>李磊</v>
      </c>
      <c r="E823" s="7" t="str">
        <f t="shared" si="86"/>
        <v>男</v>
      </c>
      <c r="F823" s="7" t="s">
        <v>840</v>
      </c>
      <c r="G823" s="7" t="s">
        <v>12</v>
      </c>
      <c r="H823" s="7"/>
    </row>
    <row r="824" s="3" customFormat="1" ht="14.25" customHeight="1" spans="1:8">
      <c r="A824" s="7">
        <v>821</v>
      </c>
      <c r="B824" s="7" t="str">
        <f>"114020200328160729157837"</f>
        <v>114020200328160729157837</v>
      </c>
      <c r="C824" s="7" t="s">
        <v>806</v>
      </c>
      <c r="D824" s="7" t="str">
        <f>"符苗苗"</f>
        <v>符苗苗</v>
      </c>
      <c r="E824" s="7" t="str">
        <f t="shared" ref="E824:E832" si="88">"女"</f>
        <v>女</v>
      </c>
      <c r="F824" s="7" t="s">
        <v>841</v>
      </c>
      <c r="G824" s="7" t="s">
        <v>12</v>
      </c>
      <c r="H824" s="7"/>
    </row>
    <row r="825" s="3" customFormat="1" ht="14.25" customHeight="1" spans="1:8">
      <c r="A825" s="7">
        <v>822</v>
      </c>
      <c r="B825" s="7" t="str">
        <f>"114020200328161204157842"</f>
        <v>114020200328161204157842</v>
      </c>
      <c r="C825" s="7" t="s">
        <v>806</v>
      </c>
      <c r="D825" s="7" t="str">
        <f>"苏海壮"</f>
        <v>苏海壮</v>
      </c>
      <c r="E825" s="7" t="str">
        <f>"男"</f>
        <v>男</v>
      </c>
      <c r="F825" s="7" t="s">
        <v>842</v>
      </c>
      <c r="G825" s="7" t="s">
        <v>12</v>
      </c>
      <c r="H825" s="7"/>
    </row>
    <row r="826" s="3" customFormat="1" ht="14.25" customHeight="1" spans="1:8">
      <c r="A826" s="7">
        <v>823</v>
      </c>
      <c r="B826" s="7" t="str">
        <f>"114020200328162621157856"</f>
        <v>114020200328162621157856</v>
      </c>
      <c r="C826" s="7" t="s">
        <v>806</v>
      </c>
      <c r="D826" s="7" t="str">
        <f>"吴丽美"</f>
        <v>吴丽美</v>
      </c>
      <c r="E826" s="7" t="str">
        <f t="shared" si="88"/>
        <v>女</v>
      </c>
      <c r="F826" s="7" t="s">
        <v>843</v>
      </c>
      <c r="G826" s="7" t="s">
        <v>12</v>
      </c>
      <c r="H826" s="7"/>
    </row>
    <row r="827" s="3" customFormat="1" ht="14.25" customHeight="1" spans="1:8">
      <c r="A827" s="7">
        <v>824</v>
      </c>
      <c r="B827" s="7" t="str">
        <f>"114020200328162855157860"</f>
        <v>114020200328162855157860</v>
      </c>
      <c r="C827" s="7" t="s">
        <v>806</v>
      </c>
      <c r="D827" s="7" t="str">
        <f>"高世壮"</f>
        <v>高世壮</v>
      </c>
      <c r="E827" s="7" t="str">
        <f>"男"</f>
        <v>男</v>
      </c>
      <c r="F827" s="7" t="s">
        <v>844</v>
      </c>
      <c r="G827" s="7" t="s">
        <v>12</v>
      </c>
      <c r="H827" s="7"/>
    </row>
    <row r="828" s="3" customFormat="1" ht="14.25" customHeight="1" spans="1:8">
      <c r="A828" s="7">
        <v>825</v>
      </c>
      <c r="B828" s="7" t="str">
        <f>"114020200328171625157907"</f>
        <v>114020200328171625157907</v>
      </c>
      <c r="C828" s="7" t="s">
        <v>806</v>
      </c>
      <c r="D828" s="7" t="str">
        <f>"孙鸿翠"</f>
        <v>孙鸿翠</v>
      </c>
      <c r="E828" s="7" t="str">
        <f t="shared" si="88"/>
        <v>女</v>
      </c>
      <c r="F828" s="7" t="s">
        <v>845</v>
      </c>
      <c r="G828" s="7" t="s">
        <v>12</v>
      </c>
      <c r="H828" s="7"/>
    </row>
    <row r="829" s="3" customFormat="1" ht="14.25" customHeight="1" spans="1:8">
      <c r="A829" s="7">
        <v>826</v>
      </c>
      <c r="B829" s="7" t="str">
        <f>"114020200328172325157911"</f>
        <v>114020200328172325157911</v>
      </c>
      <c r="C829" s="7" t="s">
        <v>806</v>
      </c>
      <c r="D829" s="7" t="str">
        <f>"黎石带"</f>
        <v>黎石带</v>
      </c>
      <c r="E829" s="7" t="str">
        <f t="shared" si="88"/>
        <v>女</v>
      </c>
      <c r="F829" s="7" t="s">
        <v>846</v>
      </c>
      <c r="G829" s="7" t="s">
        <v>12</v>
      </c>
      <c r="H829" s="7"/>
    </row>
    <row r="830" s="3" customFormat="1" ht="14.25" customHeight="1" spans="1:8">
      <c r="A830" s="7">
        <v>827</v>
      </c>
      <c r="B830" s="7" t="str">
        <f>"114020200328175259157938"</f>
        <v>114020200328175259157938</v>
      </c>
      <c r="C830" s="7" t="s">
        <v>806</v>
      </c>
      <c r="D830" s="7" t="str">
        <f>"董慧果"</f>
        <v>董慧果</v>
      </c>
      <c r="E830" s="7" t="str">
        <f t="shared" si="88"/>
        <v>女</v>
      </c>
      <c r="F830" s="7" t="s">
        <v>847</v>
      </c>
      <c r="G830" s="7" t="s">
        <v>12</v>
      </c>
      <c r="H830" s="7"/>
    </row>
    <row r="831" s="3" customFormat="1" ht="14.25" customHeight="1" spans="1:8">
      <c r="A831" s="7">
        <v>828</v>
      </c>
      <c r="B831" s="7" t="str">
        <f>"114020200328181439157954"</f>
        <v>114020200328181439157954</v>
      </c>
      <c r="C831" s="7" t="s">
        <v>806</v>
      </c>
      <c r="D831" s="7" t="str">
        <f>"陈心怡"</f>
        <v>陈心怡</v>
      </c>
      <c r="E831" s="7" t="str">
        <f t="shared" si="88"/>
        <v>女</v>
      </c>
      <c r="F831" s="7" t="s">
        <v>848</v>
      </c>
      <c r="G831" s="7" t="s">
        <v>12</v>
      </c>
      <c r="H831" s="7"/>
    </row>
    <row r="832" s="3" customFormat="1" ht="14.25" customHeight="1" spans="1:8">
      <c r="A832" s="7">
        <v>829</v>
      </c>
      <c r="B832" s="7" t="str">
        <f>"114020200328182543157960"</f>
        <v>114020200328182543157960</v>
      </c>
      <c r="C832" s="7" t="s">
        <v>806</v>
      </c>
      <c r="D832" s="7" t="str">
        <f>"黎秋侬"</f>
        <v>黎秋侬</v>
      </c>
      <c r="E832" s="7" t="str">
        <f t="shared" si="88"/>
        <v>女</v>
      </c>
      <c r="F832" s="7" t="s">
        <v>849</v>
      </c>
      <c r="G832" s="7" t="s">
        <v>12</v>
      </c>
      <c r="H832" s="7"/>
    </row>
    <row r="833" s="3" customFormat="1" ht="14.25" customHeight="1" spans="1:8">
      <c r="A833" s="7">
        <v>830</v>
      </c>
      <c r="B833" s="7" t="str">
        <f>"114020200328202514158043"</f>
        <v>114020200328202514158043</v>
      </c>
      <c r="C833" s="7" t="s">
        <v>806</v>
      </c>
      <c r="D833" s="7" t="str">
        <f>"谢武宏"</f>
        <v>谢武宏</v>
      </c>
      <c r="E833" s="7" t="str">
        <f>"男"</f>
        <v>男</v>
      </c>
      <c r="F833" s="7" t="s">
        <v>850</v>
      </c>
      <c r="G833" s="7" t="s">
        <v>12</v>
      </c>
      <c r="H833" s="7"/>
    </row>
    <row r="834" s="3" customFormat="1" ht="14.25" customHeight="1" spans="1:8">
      <c r="A834" s="7">
        <v>831</v>
      </c>
      <c r="B834" s="7" t="str">
        <f>"114020200328210725158080"</f>
        <v>114020200328210725158080</v>
      </c>
      <c r="C834" s="7" t="s">
        <v>806</v>
      </c>
      <c r="D834" s="7" t="str">
        <f>"何喜川"</f>
        <v>何喜川</v>
      </c>
      <c r="E834" s="7" t="str">
        <f t="shared" ref="E834:E837" si="89">"女"</f>
        <v>女</v>
      </c>
      <c r="F834" s="7" t="s">
        <v>851</v>
      </c>
      <c r="G834" s="7" t="s">
        <v>12</v>
      </c>
      <c r="H834" s="7"/>
    </row>
    <row r="835" s="3" customFormat="1" ht="14.25" customHeight="1" spans="1:8">
      <c r="A835" s="7">
        <v>832</v>
      </c>
      <c r="B835" s="7" t="str">
        <f>"114020200328212513158090"</f>
        <v>114020200328212513158090</v>
      </c>
      <c r="C835" s="7" t="s">
        <v>806</v>
      </c>
      <c r="D835" s="7" t="str">
        <f>"符思琳"</f>
        <v>符思琳</v>
      </c>
      <c r="E835" s="7" t="str">
        <f t="shared" si="89"/>
        <v>女</v>
      </c>
      <c r="F835" s="7" t="s">
        <v>852</v>
      </c>
      <c r="G835" s="7" t="s">
        <v>12</v>
      </c>
      <c r="H835" s="7"/>
    </row>
    <row r="836" s="3" customFormat="1" ht="14.25" customHeight="1" spans="1:8">
      <c r="A836" s="7">
        <v>833</v>
      </c>
      <c r="B836" s="7" t="str">
        <f>"114020200328213902158101"</f>
        <v>114020200328213902158101</v>
      </c>
      <c r="C836" s="7" t="s">
        <v>806</v>
      </c>
      <c r="D836" s="7" t="str">
        <f>"蒙绪娜"</f>
        <v>蒙绪娜</v>
      </c>
      <c r="E836" s="7" t="str">
        <f t="shared" si="89"/>
        <v>女</v>
      </c>
      <c r="F836" s="7" t="s">
        <v>853</v>
      </c>
      <c r="G836" s="7" t="s">
        <v>12</v>
      </c>
      <c r="H836" s="7"/>
    </row>
    <row r="837" s="3" customFormat="1" ht="14.25" customHeight="1" spans="1:8">
      <c r="A837" s="7">
        <v>834</v>
      </c>
      <c r="B837" s="7" t="str">
        <f>"114020200328223112158135"</f>
        <v>114020200328223112158135</v>
      </c>
      <c r="C837" s="7" t="s">
        <v>806</v>
      </c>
      <c r="D837" s="7" t="str">
        <f>"李燕芳"</f>
        <v>李燕芳</v>
      </c>
      <c r="E837" s="7" t="str">
        <f t="shared" si="89"/>
        <v>女</v>
      </c>
      <c r="F837" s="7" t="s">
        <v>854</v>
      </c>
      <c r="G837" s="7" t="s">
        <v>12</v>
      </c>
      <c r="H837" s="7"/>
    </row>
    <row r="838" s="3" customFormat="1" ht="14.25" customHeight="1" spans="1:8">
      <c r="A838" s="7">
        <v>835</v>
      </c>
      <c r="B838" s="7" t="str">
        <f>"114020200329012624158191"</f>
        <v>114020200329012624158191</v>
      </c>
      <c r="C838" s="7" t="s">
        <v>806</v>
      </c>
      <c r="D838" s="7" t="str">
        <f>"李运鹏"</f>
        <v>李运鹏</v>
      </c>
      <c r="E838" s="7" t="str">
        <f t="shared" ref="E838:E843" si="90">"男"</f>
        <v>男</v>
      </c>
      <c r="F838" s="7" t="s">
        <v>855</v>
      </c>
      <c r="G838" s="7" t="s">
        <v>12</v>
      </c>
      <c r="H838" s="7"/>
    </row>
    <row r="839" s="3" customFormat="1" ht="14.25" customHeight="1" spans="1:8">
      <c r="A839" s="7">
        <v>836</v>
      </c>
      <c r="B839" s="7" t="str">
        <f>"114020200329075421158196"</f>
        <v>114020200329075421158196</v>
      </c>
      <c r="C839" s="7" t="s">
        <v>806</v>
      </c>
      <c r="D839" s="7" t="str">
        <f>"陈明月"</f>
        <v>陈明月</v>
      </c>
      <c r="E839" s="7" t="str">
        <f t="shared" ref="E839:E844" si="91">"女"</f>
        <v>女</v>
      </c>
      <c r="F839" s="7" t="s">
        <v>856</v>
      </c>
      <c r="G839" s="7" t="s">
        <v>12</v>
      </c>
      <c r="H839" s="7"/>
    </row>
    <row r="840" s="3" customFormat="1" ht="14.25" customHeight="1" spans="1:8">
      <c r="A840" s="7">
        <v>837</v>
      </c>
      <c r="B840" s="7" t="str">
        <f>"114020200329100312158244"</f>
        <v>114020200329100312158244</v>
      </c>
      <c r="C840" s="7" t="s">
        <v>806</v>
      </c>
      <c r="D840" s="7" t="str">
        <f>"陈遵安"</f>
        <v>陈遵安</v>
      </c>
      <c r="E840" s="7" t="str">
        <f t="shared" si="90"/>
        <v>男</v>
      </c>
      <c r="F840" s="7" t="s">
        <v>857</v>
      </c>
      <c r="G840" s="7" t="s">
        <v>12</v>
      </c>
      <c r="H840" s="7"/>
    </row>
    <row r="841" s="3" customFormat="1" ht="14.25" customHeight="1" spans="1:8">
      <c r="A841" s="7">
        <v>838</v>
      </c>
      <c r="B841" s="7" t="str">
        <f>"114020200329101312158252"</f>
        <v>114020200329101312158252</v>
      </c>
      <c r="C841" s="7" t="s">
        <v>806</v>
      </c>
      <c r="D841" s="7" t="str">
        <f>"王丽"</f>
        <v>王丽</v>
      </c>
      <c r="E841" s="7" t="str">
        <f t="shared" si="91"/>
        <v>女</v>
      </c>
      <c r="F841" s="7" t="s">
        <v>858</v>
      </c>
      <c r="G841" s="7" t="s">
        <v>12</v>
      </c>
      <c r="H841" s="7"/>
    </row>
    <row r="842" s="3" customFormat="1" ht="14.25" customHeight="1" spans="1:8">
      <c r="A842" s="7">
        <v>839</v>
      </c>
      <c r="B842" s="7" t="str">
        <f>"114020200329101810158258"</f>
        <v>114020200329101810158258</v>
      </c>
      <c r="C842" s="7" t="s">
        <v>806</v>
      </c>
      <c r="D842" s="7" t="str">
        <f>"王川"</f>
        <v>王川</v>
      </c>
      <c r="E842" s="7" t="str">
        <f t="shared" si="90"/>
        <v>男</v>
      </c>
      <c r="F842" s="7" t="s">
        <v>859</v>
      </c>
      <c r="G842" s="7" t="s">
        <v>12</v>
      </c>
      <c r="H842" s="7"/>
    </row>
    <row r="843" s="3" customFormat="1" ht="14.25" customHeight="1" spans="1:8">
      <c r="A843" s="7">
        <v>840</v>
      </c>
      <c r="B843" s="7" t="str">
        <f>"114020200329104805158291"</f>
        <v>114020200329104805158291</v>
      </c>
      <c r="C843" s="7" t="s">
        <v>806</v>
      </c>
      <c r="D843" s="7" t="str">
        <f>"陈晓峰"</f>
        <v>陈晓峰</v>
      </c>
      <c r="E843" s="7" t="str">
        <f t="shared" si="90"/>
        <v>男</v>
      </c>
      <c r="F843" s="7" t="s">
        <v>860</v>
      </c>
      <c r="G843" s="7" t="s">
        <v>12</v>
      </c>
      <c r="H843" s="7"/>
    </row>
    <row r="844" s="3" customFormat="1" ht="14.25" customHeight="1" spans="1:8">
      <c r="A844" s="7">
        <v>841</v>
      </c>
      <c r="B844" s="7" t="str">
        <f>"114020200329105259158295"</f>
        <v>114020200329105259158295</v>
      </c>
      <c r="C844" s="7" t="s">
        <v>806</v>
      </c>
      <c r="D844" s="7" t="str">
        <f>"欧春南"</f>
        <v>欧春南</v>
      </c>
      <c r="E844" s="7" t="str">
        <f t="shared" si="91"/>
        <v>女</v>
      </c>
      <c r="F844" s="7" t="s">
        <v>861</v>
      </c>
      <c r="G844" s="7" t="s">
        <v>12</v>
      </c>
      <c r="H844" s="7"/>
    </row>
    <row r="845" s="3" customFormat="1" ht="14.25" customHeight="1" spans="1:8">
      <c r="A845" s="7">
        <v>842</v>
      </c>
      <c r="B845" s="7" t="str">
        <f>"114020200329113956158327"</f>
        <v>114020200329113956158327</v>
      </c>
      <c r="C845" s="7" t="s">
        <v>806</v>
      </c>
      <c r="D845" s="7" t="str">
        <f>"李卫"</f>
        <v>李卫</v>
      </c>
      <c r="E845" s="7" t="str">
        <f t="shared" ref="E845:E850" si="92">"男"</f>
        <v>男</v>
      </c>
      <c r="F845" s="7" t="s">
        <v>862</v>
      </c>
      <c r="G845" s="7" t="s">
        <v>12</v>
      </c>
      <c r="H845" s="7"/>
    </row>
    <row r="846" s="3" customFormat="1" ht="14.25" customHeight="1" spans="1:8">
      <c r="A846" s="7">
        <v>843</v>
      </c>
      <c r="B846" s="7" t="str">
        <f>"114020200329114718158336"</f>
        <v>114020200329114718158336</v>
      </c>
      <c r="C846" s="7" t="s">
        <v>806</v>
      </c>
      <c r="D846" s="7" t="str">
        <f>"黄栋"</f>
        <v>黄栋</v>
      </c>
      <c r="E846" s="7" t="str">
        <f t="shared" si="92"/>
        <v>男</v>
      </c>
      <c r="F846" s="7" t="s">
        <v>863</v>
      </c>
      <c r="G846" s="7" t="s">
        <v>12</v>
      </c>
      <c r="H846" s="7"/>
    </row>
    <row r="847" s="3" customFormat="1" ht="14.25" customHeight="1" spans="1:8">
      <c r="A847" s="7">
        <v>844</v>
      </c>
      <c r="B847" s="7" t="str">
        <f>"114020200329115358158345"</f>
        <v>114020200329115358158345</v>
      </c>
      <c r="C847" s="7" t="s">
        <v>806</v>
      </c>
      <c r="D847" s="7" t="str">
        <f>"叶佩玲"</f>
        <v>叶佩玲</v>
      </c>
      <c r="E847" s="7" t="str">
        <f t="shared" ref="E847:E849" si="93">"女"</f>
        <v>女</v>
      </c>
      <c r="F847" s="7" t="s">
        <v>864</v>
      </c>
      <c r="G847" s="7" t="s">
        <v>12</v>
      </c>
      <c r="H847" s="7"/>
    </row>
    <row r="848" s="3" customFormat="1" ht="14.25" customHeight="1" spans="1:8">
      <c r="A848" s="7">
        <v>845</v>
      </c>
      <c r="B848" s="7" t="str">
        <f>"114020200329120918158356"</f>
        <v>114020200329120918158356</v>
      </c>
      <c r="C848" s="7" t="s">
        <v>806</v>
      </c>
      <c r="D848" s="7" t="str">
        <f>"薛婆育"</f>
        <v>薛婆育</v>
      </c>
      <c r="E848" s="7" t="str">
        <f t="shared" si="93"/>
        <v>女</v>
      </c>
      <c r="F848" s="7" t="s">
        <v>865</v>
      </c>
      <c r="G848" s="7" t="s">
        <v>12</v>
      </c>
      <c r="H848" s="7"/>
    </row>
    <row r="849" s="3" customFormat="1" ht="14.25" customHeight="1" spans="1:8">
      <c r="A849" s="7">
        <v>846</v>
      </c>
      <c r="B849" s="7" t="str">
        <f>"114020200329144349158444"</f>
        <v>114020200329144349158444</v>
      </c>
      <c r="C849" s="7" t="s">
        <v>806</v>
      </c>
      <c r="D849" s="7" t="str">
        <f>"刘广霞"</f>
        <v>刘广霞</v>
      </c>
      <c r="E849" s="7" t="str">
        <f t="shared" si="93"/>
        <v>女</v>
      </c>
      <c r="F849" s="7" t="s">
        <v>866</v>
      </c>
      <c r="G849" s="7" t="s">
        <v>12</v>
      </c>
      <c r="H849" s="7"/>
    </row>
    <row r="850" s="3" customFormat="1" ht="14.25" customHeight="1" spans="1:8">
      <c r="A850" s="7">
        <v>847</v>
      </c>
      <c r="B850" s="7" t="str">
        <f>"114020200329162015158486"</f>
        <v>114020200329162015158486</v>
      </c>
      <c r="C850" s="7" t="s">
        <v>806</v>
      </c>
      <c r="D850" s="7" t="str">
        <f>"陈俊鲁"</f>
        <v>陈俊鲁</v>
      </c>
      <c r="E850" s="7" t="str">
        <f t="shared" si="92"/>
        <v>男</v>
      </c>
      <c r="F850" s="7" t="s">
        <v>867</v>
      </c>
      <c r="G850" s="7" t="s">
        <v>12</v>
      </c>
      <c r="H850" s="7"/>
    </row>
    <row r="851" s="3" customFormat="1" ht="14.25" customHeight="1" spans="1:8">
      <c r="A851" s="7">
        <v>848</v>
      </c>
      <c r="B851" s="7" t="str">
        <f>"114020200329163950158499"</f>
        <v>114020200329163950158499</v>
      </c>
      <c r="C851" s="7" t="s">
        <v>806</v>
      </c>
      <c r="D851" s="7" t="str">
        <f>"唐娟"</f>
        <v>唐娟</v>
      </c>
      <c r="E851" s="7" t="str">
        <f t="shared" ref="E851:E854" si="94">"女"</f>
        <v>女</v>
      </c>
      <c r="F851" s="7" t="s">
        <v>868</v>
      </c>
      <c r="G851" s="7" t="s">
        <v>12</v>
      </c>
      <c r="H851" s="7"/>
    </row>
    <row r="852" s="3" customFormat="1" ht="14.25" customHeight="1" spans="1:8">
      <c r="A852" s="7">
        <v>849</v>
      </c>
      <c r="B852" s="7" t="str">
        <f>"114020200329172700158527"</f>
        <v>114020200329172700158527</v>
      </c>
      <c r="C852" s="7" t="s">
        <v>806</v>
      </c>
      <c r="D852" s="7" t="str">
        <f>"季胜年"</f>
        <v>季胜年</v>
      </c>
      <c r="E852" s="7" t="str">
        <f t="shared" ref="E852:E857" si="95">"男"</f>
        <v>男</v>
      </c>
      <c r="F852" s="7" t="s">
        <v>869</v>
      </c>
      <c r="G852" s="7" t="s">
        <v>12</v>
      </c>
      <c r="H852" s="7"/>
    </row>
    <row r="853" s="3" customFormat="1" ht="14.25" customHeight="1" spans="1:8">
      <c r="A853" s="7">
        <v>850</v>
      </c>
      <c r="B853" s="7" t="str">
        <f>"114020200329203028158624"</f>
        <v>114020200329203028158624</v>
      </c>
      <c r="C853" s="7" t="s">
        <v>806</v>
      </c>
      <c r="D853" s="7" t="str">
        <f>"黄雨霞"</f>
        <v>黄雨霞</v>
      </c>
      <c r="E853" s="7" t="str">
        <f t="shared" si="94"/>
        <v>女</v>
      </c>
      <c r="F853" s="7" t="s">
        <v>870</v>
      </c>
      <c r="G853" s="7" t="s">
        <v>12</v>
      </c>
      <c r="H853" s="7"/>
    </row>
    <row r="854" s="3" customFormat="1" ht="14.25" customHeight="1" spans="1:8">
      <c r="A854" s="7">
        <v>851</v>
      </c>
      <c r="B854" s="7" t="str">
        <f>"114020200329204124158630"</f>
        <v>114020200329204124158630</v>
      </c>
      <c r="C854" s="7" t="s">
        <v>806</v>
      </c>
      <c r="D854" s="7" t="str">
        <f>"杨土桃"</f>
        <v>杨土桃</v>
      </c>
      <c r="E854" s="7" t="str">
        <f t="shared" si="94"/>
        <v>女</v>
      </c>
      <c r="F854" s="7" t="s">
        <v>871</v>
      </c>
      <c r="G854" s="7" t="s">
        <v>12</v>
      </c>
      <c r="H854" s="7"/>
    </row>
    <row r="855" s="3" customFormat="1" ht="14.25" customHeight="1" spans="1:8">
      <c r="A855" s="7">
        <v>852</v>
      </c>
      <c r="B855" s="7" t="str">
        <f>"114020200329204749158635"</f>
        <v>114020200329204749158635</v>
      </c>
      <c r="C855" s="7" t="s">
        <v>806</v>
      </c>
      <c r="D855" s="7" t="str">
        <f>"傅人团"</f>
        <v>傅人团</v>
      </c>
      <c r="E855" s="7" t="str">
        <f t="shared" si="95"/>
        <v>男</v>
      </c>
      <c r="F855" s="7" t="s">
        <v>872</v>
      </c>
      <c r="G855" s="7" t="s">
        <v>12</v>
      </c>
      <c r="H855" s="7"/>
    </row>
    <row r="856" s="3" customFormat="1" ht="14.25" customHeight="1" spans="1:8">
      <c r="A856" s="7">
        <v>853</v>
      </c>
      <c r="B856" s="7" t="str">
        <f>"114020200329215851158688"</f>
        <v>114020200329215851158688</v>
      </c>
      <c r="C856" s="7" t="s">
        <v>806</v>
      </c>
      <c r="D856" s="7" t="str">
        <f>"薛小荣"</f>
        <v>薛小荣</v>
      </c>
      <c r="E856" s="7" t="str">
        <f t="shared" ref="E856:E860" si="96">"女"</f>
        <v>女</v>
      </c>
      <c r="F856" s="7" t="s">
        <v>873</v>
      </c>
      <c r="G856" s="7" t="s">
        <v>12</v>
      </c>
      <c r="H856" s="7"/>
    </row>
    <row r="857" s="3" customFormat="1" ht="14.25" customHeight="1" spans="1:8">
      <c r="A857" s="7">
        <v>854</v>
      </c>
      <c r="B857" s="7" t="str">
        <f>"114020200329220324158691"</f>
        <v>114020200329220324158691</v>
      </c>
      <c r="C857" s="7" t="s">
        <v>806</v>
      </c>
      <c r="D857" s="7" t="str">
        <f>"符贻钦"</f>
        <v>符贻钦</v>
      </c>
      <c r="E857" s="7" t="str">
        <f t="shared" si="95"/>
        <v>男</v>
      </c>
      <c r="F857" s="7" t="s">
        <v>874</v>
      </c>
      <c r="G857" s="7" t="s">
        <v>12</v>
      </c>
      <c r="H857" s="7"/>
    </row>
    <row r="858" s="3" customFormat="1" ht="14.25" customHeight="1" spans="1:8">
      <c r="A858" s="7">
        <v>855</v>
      </c>
      <c r="B858" s="7" t="str">
        <f>"114020200329222000158700"</f>
        <v>114020200329222000158700</v>
      </c>
      <c r="C858" s="7" t="s">
        <v>806</v>
      </c>
      <c r="D858" s="7" t="str">
        <f>"刘小婷"</f>
        <v>刘小婷</v>
      </c>
      <c r="E858" s="7" t="str">
        <f t="shared" si="96"/>
        <v>女</v>
      </c>
      <c r="F858" s="7" t="s">
        <v>875</v>
      </c>
      <c r="G858" s="7" t="s">
        <v>12</v>
      </c>
      <c r="H858" s="7"/>
    </row>
    <row r="859" s="3" customFormat="1" ht="14.25" customHeight="1" spans="1:8">
      <c r="A859" s="7">
        <v>856</v>
      </c>
      <c r="B859" s="7" t="str">
        <f>"114020200330092704158808"</f>
        <v>114020200330092704158808</v>
      </c>
      <c r="C859" s="7" t="s">
        <v>806</v>
      </c>
      <c r="D859" s="7" t="str">
        <f>"李妃"</f>
        <v>李妃</v>
      </c>
      <c r="E859" s="7" t="str">
        <f t="shared" si="96"/>
        <v>女</v>
      </c>
      <c r="F859" s="7" t="s">
        <v>876</v>
      </c>
      <c r="G859" s="7" t="s">
        <v>12</v>
      </c>
      <c r="H859" s="7"/>
    </row>
    <row r="860" s="3" customFormat="1" ht="14.25" customHeight="1" spans="1:8">
      <c r="A860" s="7">
        <v>857</v>
      </c>
      <c r="B860" s="7" t="str">
        <f>"114020200330095856158847"</f>
        <v>114020200330095856158847</v>
      </c>
      <c r="C860" s="7" t="s">
        <v>806</v>
      </c>
      <c r="D860" s="7" t="str">
        <f>"郭海婷"</f>
        <v>郭海婷</v>
      </c>
      <c r="E860" s="7" t="str">
        <f t="shared" si="96"/>
        <v>女</v>
      </c>
      <c r="F860" s="7" t="s">
        <v>877</v>
      </c>
      <c r="G860" s="7" t="s">
        <v>12</v>
      </c>
      <c r="H860" s="7"/>
    </row>
    <row r="861" s="3" customFormat="1" ht="14.25" customHeight="1" spans="1:8">
      <c r="A861" s="7">
        <v>858</v>
      </c>
      <c r="B861" s="7" t="str">
        <f>"114020200330105611158900"</f>
        <v>114020200330105611158900</v>
      </c>
      <c r="C861" s="7" t="s">
        <v>806</v>
      </c>
      <c r="D861" s="7" t="str">
        <f>"吉祥秀"</f>
        <v>吉祥秀</v>
      </c>
      <c r="E861" s="7" t="str">
        <f t="shared" ref="E861:E868" si="97">"男"</f>
        <v>男</v>
      </c>
      <c r="F861" s="7" t="s">
        <v>878</v>
      </c>
      <c r="G861" s="7" t="s">
        <v>12</v>
      </c>
      <c r="H861" s="7"/>
    </row>
    <row r="862" s="3" customFormat="1" ht="14.25" customHeight="1" spans="1:8">
      <c r="A862" s="7">
        <v>859</v>
      </c>
      <c r="B862" s="7" t="str">
        <f>"114020200330110352158909"</f>
        <v>114020200330110352158909</v>
      </c>
      <c r="C862" s="7" t="s">
        <v>806</v>
      </c>
      <c r="D862" s="7" t="str">
        <f>"郑彩妹"</f>
        <v>郑彩妹</v>
      </c>
      <c r="E862" s="7" t="str">
        <f t="shared" ref="E862:E865" si="98">"女"</f>
        <v>女</v>
      </c>
      <c r="F862" s="7" t="s">
        <v>879</v>
      </c>
      <c r="G862" s="7" t="s">
        <v>12</v>
      </c>
      <c r="H862" s="7"/>
    </row>
    <row r="863" s="3" customFormat="1" ht="14.25" customHeight="1" spans="1:8">
      <c r="A863" s="7">
        <v>860</v>
      </c>
      <c r="B863" s="7" t="str">
        <f>"114020200330113643158939"</f>
        <v>114020200330113643158939</v>
      </c>
      <c r="C863" s="7" t="s">
        <v>806</v>
      </c>
      <c r="D863" s="7" t="str">
        <f>"王琼丹"</f>
        <v>王琼丹</v>
      </c>
      <c r="E863" s="7" t="str">
        <f t="shared" si="98"/>
        <v>女</v>
      </c>
      <c r="F863" s="7" t="s">
        <v>880</v>
      </c>
      <c r="G863" s="7" t="s">
        <v>12</v>
      </c>
      <c r="H863" s="7"/>
    </row>
    <row r="864" s="3" customFormat="1" ht="14.25" customHeight="1" spans="1:8">
      <c r="A864" s="7">
        <v>861</v>
      </c>
      <c r="B864" s="7" t="str">
        <f>"114020200330115136158957"</f>
        <v>114020200330115136158957</v>
      </c>
      <c r="C864" s="7" t="s">
        <v>806</v>
      </c>
      <c r="D864" s="7" t="str">
        <f>"王凯锋"</f>
        <v>王凯锋</v>
      </c>
      <c r="E864" s="7" t="str">
        <f t="shared" si="97"/>
        <v>男</v>
      </c>
      <c r="F864" s="7" t="s">
        <v>881</v>
      </c>
      <c r="G864" s="7" t="s">
        <v>12</v>
      </c>
      <c r="H864" s="7"/>
    </row>
    <row r="865" s="3" customFormat="1" ht="14.25" customHeight="1" spans="1:8">
      <c r="A865" s="7">
        <v>862</v>
      </c>
      <c r="B865" s="7" t="str">
        <f>"114020200330115907158962"</f>
        <v>114020200330115907158962</v>
      </c>
      <c r="C865" s="7" t="s">
        <v>806</v>
      </c>
      <c r="D865" s="7" t="str">
        <f>"苏德娇"</f>
        <v>苏德娇</v>
      </c>
      <c r="E865" s="7" t="str">
        <f t="shared" si="98"/>
        <v>女</v>
      </c>
      <c r="F865" s="7" t="s">
        <v>882</v>
      </c>
      <c r="G865" s="7" t="s">
        <v>12</v>
      </c>
      <c r="H865" s="7"/>
    </row>
    <row r="866" s="3" customFormat="1" ht="14.25" customHeight="1" spans="1:8">
      <c r="A866" s="7">
        <v>863</v>
      </c>
      <c r="B866" s="7" t="str">
        <f>"114020200330121346158971"</f>
        <v>114020200330121346158971</v>
      </c>
      <c r="C866" s="7" t="s">
        <v>806</v>
      </c>
      <c r="D866" s="7" t="str">
        <f>"颜碧凡"</f>
        <v>颜碧凡</v>
      </c>
      <c r="E866" s="7" t="str">
        <f t="shared" si="97"/>
        <v>男</v>
      </c>
      <c r="F866" s="7" t="s">
        <v>883</v>
      </c>
      <c r="G866" s="7" t="s">
        <v>12</v>
      </c>
      <c r="H866" s="7"/>
    </row>
    <row r="867" s="3" customFormat="1" ht="14.25" customHeight="1" spans="1:8">
      <c r="A867" s="7">
        <v>864</v>
      </c>
      <c r="B867" s="7" t="str">
        <f>"114020200330130118158995"</f>
        <v>114020200330130118158995</v>
      </c>
      <c r="C867" s="7" t="s">
        <v>806</v>
      </c>
      <c r="D867" s="7" t="str">
        <f>"聂灿"</f>
        <v>聂灿</v>
      </c>
      <c r="E867" s="7" t="str">
        <f t="shared" si="97"/>
        <v>男</v>
      </c>
      <c r="F867" s="7" t="s">
        <v>884</v>
      </c>
      <c r="G867" s="7" t="s">
        <v>12</v>
      </c>
      <c r="H867" s="7"/>
    </row>
    <row r="868" s="3" customFormat="1" ht="14.25" customHeight="1" spans="1:8">
      <c r="A868" s="7">
        <v>865</v>
      </c>
      <c r="B868" s="7" t="str">
        <f>"114020200330150059159066"</f>
        <v>114020200330150059159066</v>
      </c>
      <c r="C868" s="7" t="s">
        <v>806</v>
      </c>
      <c r="D868" s="7" t="str">
        <f>"李盈虎"</f>
        <v>李盈虎</v>
      </c>
      <c r="E868" s="7" t="str">
        <f t="shared" si="97"/>
        <v>男</v>
      </c>
      <c r="F868" s="7" t="s">
        <v>885</v>
      </c>
      <c r="G868" s="7" t="s">
        <v>12</v>
      </c>
      <c r="H868" s="7"/>
    </row>
    <row r="869" s="3" customFormat="1" ht="14.25" customHeight="1" spans="1:8">
      <c r="A869" s="7">
        <v>866</v>
      </c>
      <c r="B869" s="7" t="str">
        <f>"114020200330153124159086"</f>
        <v>114020200330153124159086</v>
      </c>
      <c r="C869" s="7" t="s">
        <v>806</v>
      </c>
      <c r="D869" s="7" t="str">
        <f>"陈晓莎"</f>
        <v>陈晓莎</v>
      </c>
      <c r="E869" s="7" t="str">
        <f t="shared" ref="E869:E880" si="99">"女"</f>
        <v>女</v>
      </c>
      <c r="F869" s="7" t="s">
        <v>886</v>
      </c>
      <c r="G869" s="7" t="s">
        <v>12</v>
      </c>
      <c r="H869" s="7"/>
    </row>
    <row r="870" s="3" customFormat="1" ht="14.25" customHeight="1" spans="1:8">
      <c r="A870" s="7">
        <v>867</v>
      </c>
      <c r="B870" s="7" t="str">
        <f>"114020200330161547159118"</f>
        <v>114020200330161547159118</v>
      </c>
      <c r="C870" s="7" t="s">
        <v>806</v>
      </c>
      <c r="D870" s="7" t="str">
        <f>"孙衍术"</f>
        <v>孙衍术</v>
      </c>
      <c r="E870" s="7" t="str">
        <f t="shared" ref="E870:E873" si="100">"男"</f>
        <v>男</v>
      </c>
      <c r="F870" s="7" t="s">
        <v>887</v>
      </c>
      <c r="G870" s="7" t="s">
        <v>12</v>
      </c>
      <c r="H870" s="7"/>
    </row>
    <row r="871" s="3" customFormat="1" ht="14.25" customHeight="1" spans="1:8">
      <c r="A871" s="7">
        <v>868</v>
      </c>
      <c r="B871" s="7" t="str">
        <f>"114020200330162251159123"</f>
        <v>114020200330162251159123</v>
      </c>
      <c r="C871" s="7" t="s">
        <v>806</v>
      </c>
      <c r="D871" s="7" t="str">
        <f>"韩妹"</f>
        <v>韩妹</v>
      </c>
      <c r="E871" s="7" t="str">
        <f t="shared" si="99"/>
        <v>女</v>
      </c>
      <c r="F871" s="7" t="s">
        <v>888</v>
      </c>
      <c r="G871" s="7" t="s">
        <v>12</v>
      </c>
      <c r="H871" s="7"/>
    </row>
    <row r="872" s="3" customFormat="1" ht="14.25" customHeight="1" spans="1:8">
      <c r="A872" s="7">
        <v>869</v>
      </c>
      <c r="B872" s="7" t="str">
        <f>"114020200330170302159161"</f>
        <v>114020200330170302159161</v>
      </c>
      <c r="C872" s="7" t="s">
        <v>806</v>
      </c>
      <c r="D872" s="7" t="str">
        <f>"吴耀亮"</f>
        <v>吴耀亮</v>
      </c>
      <c r="E872" s="7" t="str">
        <f t="shared" si="100"/>
        <v>男</v>
      </c>
      <c r="F872" s="7" t="s">
        <v>889</v>
      </c>
      <c r="G872" s="7" t="s">
        <v>12</v>
      </c>
      <c r="H872" s="7"/>
    </row>
    <row r="873" s="3" customFormat="1" ht="14.25" customHeight="1" spans="1:8">
      <c r="A873" s="7">
        <v>870</v>
      </c>
      <c r="B873" s="7" t="str">
        <f>"114020200330221519159315"</f>
        <v>114020200330221519159315</v>
      </c>
      <c r="C873" s="7" t="s">
        <v>806</v>
      </c>
      <c r="D873" s="7" t="str">
        <f>"黄印"</f>
        <v>黄印</v>
      </c>
      <c r="E873" s="7" t="str">
        <f t="shared" si="100"/>
        <v>男</v>
      </c>
      <c r="F873" s="7" t="s">
        <v>890</v>
      </c>
      <c r="G873" s="7" t="s">
        <v>12</v>
      </c>
      <c r="H873" s="7"/>
    </row>
    <row r="874" s="3" customFormat="1" ht="14.25" customHeight="1" spans="1:8">
      <c r="A874" s="7">
        <v>871</v>
      </c>
      <c r="B874" s="7" t="str">
        <f>"114020200330222204159320"</f>
        <v>114020200330222204159320</v>
      </c>
      <c r="C874" s="7" t="s">
        <v>806</v>
      </c>
      <c r="D874" s="7" t="str">
        <f>"曾梅蓉"</f>
        <v>曾梅蓉</v>
      </c>
      <c r="E874" s="7" t="str">
        <f t="shared" si="99"/>
        <v>女</v>
      </c>
      <c r="F874" s="7" t="s">
        <v>891</v>
      </c>
      <c r="G874" s="7" t="s">
        <v>12</v>
      </c>
      <c r="H874" s="7"/>
    </row>
    <row r="875" s="3" customFormat="1" ht="14.25" customHeight="1" spans="1:8">
      <c r="A875" s="7">
        <v>872</v>
      </c>
      <c r="B875" s="7" t="str">
        <f>"114020200330224530159334"</f>
        <v>114020200330224530159334</v>
      </c>
      <c r="C875" s="7" t="s">
        <v>806</v>
      </c>
      <c r="D875" s="7" t="str">
        <f>"陈益娇"</f>
        <v>陈益娇</v>
      </c>
      <c r="E875" s="7" t="str">
        <f t="shared" si="99"/>
        <v>女</v>
      </c>
      <c r="F875" s="7" t="s">
        <v>892</v>
      </c>
      <c r="G875" s="7" t="s">
        <v>12</v>
      </c>
      <c r="H875" s="7"/>
    </row>
    <row r="876" s="3" customFormat="1" ht="14.25" customHeight="1" spans="1:8">
      <c r="A876" s="7">
        <v>873</v>
      </c>
      <c r="B876" s="7" t="str">
        <f>"114020200330230530159342"</f>
        <v>114020200330230530159342</v>
      </c>
      <c r="C876" s="7" t="s">
        <v>806</v>
      </c>
      <c r="D876" s="7" t="str">
        <f>"邢婧婧"</f>
        <v>邢婧婧</v>
      </c>
      <c r="E876" s="7" t="str">
        <f t="shared" si="99"/>
        <v>女</v>
      </c>
      <c r="F876" s="7" t="s">
        <v>893</v>
      </c>
      <c r="G876" s="7" t="s">
        <v>12</v>
      </c>
      <c r="H876" s="7"/>
    </row>
    <row r="877" s="3" customFormat="1" ht="14.25" customHeight="1" spans="1:8">
      <c r="A877" s="7">
        <v>874</v>
      </c>
      <c r="B877" s="7" t="str">
        <f>"114020200331114817159452"</f>
        <v>114020200331114817159452</v>
      </c>
      <c r="C877" s="7" t="s">
        <v>806</v>
      </c>
      <c r="D877" s="7" t="str">
        <f>"何木养"</f>
        <v>何木养</v>
      </c>
      <c r="E877" s="7" t="str">
        <f t="shared" si="99"/>
        <v>女</v>
      </c>
      <c r="F877" s="7" t="s">
        <v>894</v>
      </c>
      <c r="G877" s="7" t="s">
        <v>12</v>
      </c>
      <c r="H877" s="7"/>
    </row>
    <row r="878" s="3" customFormat="1" ht="14.25" customHeight="1" spans="1:8">
      <c r="A878" s="7">
        <v>875</v>
      </c>
      <c r="B878" s="7" t="str">
        <f>"114020200331124353159485"</f>
        <v>114020200331124353159485</v>
      </c>
      <c r="C878" s="7" t="s">
        <v>806</v>
      </c>
      <c r="D878" s="7" t="str">
        <f>"黎新钰"</f>
        <v>黎新钰</v>
      </c>
      <c r="E878" s="7" t="str">
        <f t="shared" si="99"/>
        <v>女</v>
      </c>
      <c r="F878" s="7" t="s">
        <v>895</v>
      </c>
      <c r="G878" s="7" t="s">
        <v>12</v>
      </c>
      <c r="H878" s="7"/>
    </row>
    <row r="879" s="3" customFormat="1" ht="14.25" customHeight="1" spans="1:8">
      <c r="A879" s="7">
        <v>876</v>
      </c>
      <c r="B879" s="7" t="str">
        <f>"114020200331133611159512"</f>
        <v>114020200331133611159512</v>
      </c>
      <c r="C879" s="7" t="s">
        <v>806</v>
      </c>
      <c r="D879" s="7" t="str">
        <f>"张碧玲"</f>
        <v>张碧玲</v>
      </c>
      <c r="E879" s="7" t="str">
        <f t="shared" si="99"/>
        <v>女</v>
      </c>
      <c r="F879" s="7" t="s">
        <v>896</v>
      </c>
      <c r="G879" s="7" t="s">
        <v>12</v>
      </c>
      <c r="H879" s="7"/>
    </row>
    <row r="880" s="3" customFormat="1" ht="14.25" customHeight="1" spans="1:8">
      <c r="A880" s="7">
        <v>877</v>
      </c>
      <c r="B880" s="7" t="str">
        <f>"114020200331141906159533"</f>
        <v>114020200331141906159533</v>
      </c>
      <c r="C880" s="7" t="s">
        <v>806</v>
      </c>
      <c r="D880" s="7" t="str">
        <f>"王初同"</f>
        <v>王初同</v>
      </c>
      <c r="E880" s="7" t="str">
        <f t="shared" si="99"/>
        <v>女</v>
      </c>
      <c r="F880" s="7" t="s">
        <v>897</v>
      </c>
      <c r="G880" s="7" t="s">
        <v>12</v>
      </c>
      <c r="H880" s="7"/>
    </row>
    <row r="881" s="3" customFormat="1" ht="14.25" customHeight="1" spans="1:8">
      <c r="A881" s="7">
        <v>878</v>
      </c>
      <c r="B881" s="7" t="str">
        <f>"114020200331165344159603"</f>
        <v>114020200331165344159603</v>
      </c>
      <c r="C881" s="7" t="s">
        <v>806</v>
      </c>
      <c r="D881" s="7" t="str">
        <f>"张兴泉"</f>
        <v>张兴泉</v>
      </c>
      <c r="E881" s="7" t="str">
        <f>"男"</f>
        <v>男</v>
      </c>
      <c r="F881" s="7" t="s">
        <v>898</v>
      </c>
      <c r="G881" s="7" t="s">
        <v>12</v>
      </c>
      <c r="H881" s="7"/>
    </row>
    <row r="882" s="3" customFormat="1" ht="14.25" customHeight="1" spans="1:8">
      <c r="A882" s="7">
        <v>879</v>
      </c>
      <c r="B882" s="7" t="str">
        <f>"114020200331173212159619"</f>
        <v>114020200331173212159619</v>
      </c>
      <c r="C882" s="7" t="s">
        <v>806</v>
      </c>
      <c r="D882" s="7" t="str">
        <f>"陈丽倩"</f>
        <v>陈丽倩</v>
      </c>
      <c r="E882" s="7" t="str">
        <f t="shared" ref="E882:E886" si="101">"女"</f>
        <v>女</v>
      </c>
      <c r="F882" s="7" t="s">
        <v>899</v>
      </c>
      <c r="G882" s="7" t="s">
        <v>12</v>
      </c>
      <c r="H882" s="7"/>
    </row>
    <row r="883" s="3" customFormat="1" ht="14.25" customHeight="1" spans="1:8">
      <c r="A883" s="7">
        <v>880</v>
      </c>
      <c r="B883" s="7" t="str">
        <f>"114020200331175726159625"</f>
        <v>114020200331175726159625</v>
      </c>
      <c r="C883" s="7" t="s">
        <v>806</v>
      </c>
      <c r="D883" s="7" t="str">
        <f>"符林霞"</f>
        <v>符林霞</v>
      </c>
      <c r="E883" s="7" t="str">
        <f t="shared" si="101"/>
        <v>女</v>
      </c>
      <c r="F883" s="7" t="s">
        <v>900</v>
      </c>
      <c r="G883" s="7" t="s">
        <v>12</v>
      </c>
      <c r="H883" s="7"/>
    </row>
    <row r="884" s="3" customFormat="1" ht="14.25" customHeight="1" spans="1:8">
      <c r="A884" s="7">
        <v>881</v>
      </c>
      <c r="B884" s="7" t="str">
        <f>"114020200331202644159667"</f>
        <v>114020200331202644159667</v>
      </c>
      <c r="C884" s="7" t="s">
        <v>806</v>
      </c>
      <c r="D884" s="7" t="str">
        <f>"李大清"</f>
        <v>李大清</v>
      </c>
      <c r="E884" s="7" t="str">
        <f t="shared" ref="E884:E888" si="102">"男"</f>
        <v>男</v>
      </c>
      <c r="F884" s="7" t="s">
        <v>901</v>
      </c>
      <c r="G884" s="7" t="s">
        <v>12</v>
      </c>
      <c r="H884" s="7"/>
    </row>
    <row r="885" s="3" customFormat="1" ht="14.25" customHeight="1" spans="1:8">
      <c r="A885" s="7">
        <v>882</v>
      </c>
      <c r="B885" s="7" t="str">
        <f>"114020200331212921159690"</f>
        <v>114020200331212921159690</v>
      </c>
      <c r="C885" s="7" t="s">
        <v>806</v>
      </c>
      <c r="D885" s="7" t="str">
        <f>"陈懿珊"</f>
        <v>陈懿珊</v>
      </c>
      <c r="E885" s="7" t="str">
        <f t="shared" si="101"/>
        <v>女</v>
      </c>
      <c r="F885" s="7" t="s">
        <v>902</v>
      </c>
      <c r="G885" s="7" t="s">
        <v>12</v>
      </c>
      <c r="H885" s="7"/>
    </row>
    <row r="886" s="3" customFormat="1" ht="14.25" customHeight="1" spans="1:8">
      <c r="A886" s="7">
        <v>883</v>
      </c>
      <c r="B886" s="7" t="str">
        <f>"114020200331221835159710"</f>
        <v>114020200331221835159710</v>
      </c>
      <c r="C886" s="7" t="s">
        <v>806</v>
      </c>
      <c r="D886" s="7" t="str">
        <f>"邓海波"</f>
        <v>邓海波</v>
      </c>
      <c r="E886" s="7" t="str">
        <f t="shared" si="101"/>
        <v>女</v>
      </c>
      <c r="F886" s="7" t="s">
        <v>903</v>
      </c>
      <c r="G886" s="7" t="s">
        <v>12</v>
      </c>
      <c r="H886" s="7"/>
    </row>
    <row r="887" s="3" customFormat="1" ht="14.25" customHeight="1" spans="1:8">
      <c r="A887" s="7">
        <v>884</v>
      </c>
      <c r="B887" s="7" t="str">
        <f>"114020200401093212159759"</f>
        <v>114020200401093212159759</v>
      </c>
      <c r="C887" s="7" t="s">
        <v>806</v>
      </c>
      <c r="D887" s="7" t="str">
        <f>"陈元瑞"</f>
        <v>陈元瑞</v>
      </c>
      <c r="E887" s="7" t="str">
        <f t="shared" si="102"/>
        <v>男</v>
      </c>
      <c r="F887" s="7" t="s">
        <v>904</v>
      </c>
      <c r="G887" s="7" t="s">
        <v>12</v>
      </c>
      <c r="H887" s="7"/>
    </row>
    <row r="888" s="3" customFormat="1" ht="14.25" customHeight="1" spans="1:8">
      <c r="A888" s="7">
        <v>885</v>
      </c>
      <c r="B888" s="7" t="str">
        <f>"114020200401102928159780"</f>
        <v>114020200401102928159780</v>
      </c>
      <c r="C888" s="7" t="s">
        <v>806</v>
      </c>
      <c r="D888" s="7" t="str">
        <f>"陈永斌"</f>
        <v>陈永斌</v>
      </c>
      <c r="E888" s="7" t="str">
        <f t="shared" si="102"/>
        <v>男</v>
      </c>
      <c r="F888" s="7" t="s">
        <v>905</v>
      </c>
      <c r="G888" s="7" t="s">
        <v>12</v>
      </c>
      <c r="H888" s="7"/>
    </row>
    <row r="889" s="3" customFormat="1" ht="14.25" customHeight="1" spans="1:8">
      <c r="A889" s="7">
        <v>886</v>
      </c>
      <c r="B889" s="7" t="str">
        <f>"114020200401115818159821"</f>
        <v>114020200401115818159821</v>
      </c>
      <c r="C889" s="7" t="s">
        <v>806</v>
      </c>
      <c r="D889" s="7" t="str">
        <f>"李青丽"</f>
        <v>李青丽</v>
      </c>
      <c r="E889" s="7" t="str">
        <f t="shared" ref="E889:E892" si="103">"女"</f>
        <v>女</v>
      </c>
      <c r="F889" s="7" t="s">
        <v>906</v>
      </c>
      <c r="G889" s="7" t="s">
        <v>12</v>
      </c>
      <c r="H889" s="7"/>
    </row>
    <row r="890" s="3" customFormat="1" ht="14.25" customHeight="1" spans="1:8">
      <c r="A890" s="7">
        <v>887</v>
      </c>
      <c r="B890" s="7" t="str">
        <f>"114020200401123030159835"</f>
        <v>114020200401123030159835</v>
      </c>
      <c r="C890" s="7" t="s">
        <v>806</v>
      </c>
      <c r="D890" s="7" t="str">
        <f>"吴德爱"</f>
        <v>吴德爱</v>
      </c>
      <c r="E890" s="7" t="str">
        <f t="shared" si="103"/>
        <v>女</v>
      </c>
      <c r="F890" s="7" t="s">
        <v>907</v>
      </c>
      <c r="G890" s="7" t="s">
        <v>12</v>
      </c>
      <c r="H890" s="7"/>
    </row>
    <row r="891" s="3" customFormat="1" ht="14.25" customHeight="1" spans="1:8">
      <c r="A891" s="7">
        <v>888</v>
      </c>
      <c r="B891" s="7" t="str">
        <f>"114020200401124211159840"</f>
        <v>114020200401124211159840</v>
      </c>
      <c r="C891" s="7" t="s">
        <v>806</v>
      </c>
      <c r="D891" s="7" t="str">
        <f>"刘彦池"</f>
        <v>刘彦池</v>
      </c>
      <c r="E891" s="7" t="str">
        <f>"男"</f>
        <v>男</v>
      </c>
      <c r="F891" s="7" t="s">
        <v>908</v>
      </c>
      <c r="G891" s="7" t="s">
        <v>12</v>
      </c>
      <c r="H891" s="7"/>
    </row>
    <row r="892" s="3" customFormat="1" ht="14.25" customHeight="1" spans="1:8">
      <c r="A892" s="7">
        <v>889</v>
      </c>
      <c r="B892" s="7" t="str">
        <f>"114020200401160518159916"</f>
        <v>114020200401160518159916</v>
      </c>
      <c r="C892" s="7" t="s">
        <v>806</v>
      </c>
      <c r="D892" s="7" t="str">
        <f>"李小儒"</f>
        <v>李小儒</v>
      </c>
      <c r="E892" s="7" t="str">
        <f t="shared" si="103"/>
        <v>女</v>
      </c>
      <c r="F892" s="7" t="s">
        <v>909</v>
      </c>
      <c r="G892" s="7" t="s">
        <v>12</v>
      </c>
      <c r="H892" s="7"/>
    </row>
    <row r="893" s="3" customFormat="1" ht="14.25" customHeight="1" spans="1:8">
      <c r="A893" s="7">
        <v>890</v>
      </c>
      <c r="B893" s="7" t="str">
        <f>"114020200401165718159946"</f>
        <v>114020200401165718159946</v>
      </c>
      <c r="C893" s="7" t="s">
        <v>806</v>
      </c>
      <c r="D893" s="7" t="str">
        <f>"王长确"</f>
        <v>王长确</v>
      </c>
      <c r="E893" s="7" t="str">
        <f>"男"</f>
        <v>男</v>
      </c>
      <c r="F893" s="7" t="s">
        <v>910</v>
      </c>
      <c r="G893" s="7" t="s">
        <v>12</v>
      </c>
      <c r="H893" s="7"/>
    </row>
    <row r="894" s="3" customFormat="1" ht="14.25" customHeight="1" spans="1:8">
      <c r="A894" s="7">
        <v>891</v>
      </c>
      <c r="B894" s="7" t="str">
        <f>"114020200401165950159949"</f>
        <v>114020200401165950159949</v>
      </c>
      <c r="C894" s="7" t="s">
        <v>806</v>
      </c>
      <c r="D894" s="7" t="str">
        <f>"王佳琦"</f>
        <v>王佳琦</v>
      </c>
      <c r="E894" s="7" t="str">
        <f t="shared" ref="E894:E900" si="104">"女"</f>
        <v>女</v>
      </c>
      <c r="F894" s="7" t="s">
        <v>911</v>
      </c>
      <c r="G894" s="7" t="s">
        <v>12</v>
      </c>
      <c r="H894" s="7"/>
    </row>
    <row r="895" s="3" customFormat="1" ht="14.25" customHeight="1" spans="1:8">
      <c r="A895" s="7">
        <v>892</v>
      </c>
      <c r="B895" s="7" t="str">
        <f>"114020200401214647160053"</f>
        <v>114020200401214647160053</v>
      </c>
      <c r="C895" s="7" t="s">
        <v>806</v>
      </c>
      <c r="D895" s="7" t="str">
        <f>"王彩丹"</f>
        <v>王彩丹</v>
      </c>
      <c r="E895" s="7" t="str">
        <f t="shared" si="104"/>
        <v>女</v>
      </c>
      <c r="F895" s="7" t="s">
        <v>912</v>
      </c>
      <c r="G895" s="7" t="s">
        <v>12</v>
      </c>
      <c r="H895" s="7"/>
    </row>
    <row r="896" s="3" customFormat="1" ht="14.25" customHeight="1" spans="1:8">
      <c r="A896" s="7">
        <v>893</v>
      </c>
      <c r="B896" s="7" t="str">
        <f>"114020200401214912160058"</f>
        <v>114020200401214912160058</v>
      </c>
      <c r="C896" s="7" t="s">
        <v>806</v>
      </c>
      <c r="D896" s="7" t="str">
        <f>"黎明翠"</f>
        <v>黎明翠</v>
      </c>
      <c r="E896" s="7" t="str">
        <f t="shared" si="104"/>
        <v>女</v>
      </c>
      <c r="F896" s="7" t="s">
        <v>913</v>
      </c>
      <c r="G896" s="7" t="s">
        <v>12</v>
      </c>
      <c r="H896" s="7"/>
    </row>
    <row r="897" s="3" customFormat="1" ht="14.25" customHeight="1" spans="1:8">
      <c r="A897" s="7">
        <v>894</v>
      </c>
      <c r="B897" s="7" t="str">
        <f>"114020200401221115160062"</f>
        <v>114020200401221115160062</v>
      </c>
      <c r="C897" s="7" t="s">
        <v>806</v>
      </c>
      <c r="D897" s="7" t="str">
        <f>"林文莉"</f>
        <v>林文莉</v>
      </c>
      <c r="E897" s="7" t="str">
        <f t="shared" si="104"/>
        <v>女</v>
      </c>
      <c r="F897" s="7" t="s">
        <v>914</v>
      </c>
      <c r="G897" s="7" t="s">
        <v>12</v>
      </c>
      <c r="H897" s="7"/>
    </row>
    <row r="898" s="3" customFormat="1" ht="14.25" customHeight="1" spans="1:8">
      <c r="A898" s="7">
        <v>895</v>
      </c>
      <c r="B898" s="7" t="str">
        <f>"114020200401230224160078"</f>
        <v>114020200401230224160078</v>
      </c>
      <c r="C898" s="7" t="s">
        <v>806</v>
      </c>
      <c r="D898" s="7" t="str">
        <f>"林云丽"</f>
        <v>林云丽</v>
      </c>
      <c r="E898" s="7" t="str">
        <f t="shared" si="104"/>
        <v>女</v>
      </c>
      <c r="F898" s="7" t="s">
        <v>915</v>
      </c>
      <c r="G898" s="7" t="s">
        <v>12</v>
      </c>
      <c r="H898" s="7"/>
    </row>
    <row r="899" s="3" customFormat="1" ht="14.25" customHeight="1" spans="1:8">
      <c r="A899" s="7">
        <v>896</v>
      </c>
      <c r="B899" s="7" t="str">
        <f>"114020200402084258160102"</f>
        <v>114020200402084258160102</v>
      </c>
      <c r="C899" s="7" t="s">
        <v>806</v>
      </c>
      <c r="D899" s="7" t="str">
        <f>"朱木英"</f>
        <v>朱木英</v>
      </c>
      <c r="E899" s="7" t="str">
        <f t="shared" si="104"/>
        <v>女</v>
      </c>
      <c r="F899" s="7" t="s">
        <v>916</v>
      </c>
      <c r="G899" s="7" t="s">
        <v>12</v>
      </c>
      <c r="H899" s="7"/>
    </row>
    <row r="900" s="3" customFormat="1" ht="14.25" customHeight="1" spans="1:8">
      <c r="A900" s="7">
        <v>897</v>
      </c>
      <c r="B900" s="7" t="str">
        <f>"114020200402110422160138"</f>
        <v>114020200402110422160138</v>
      </c>
      <c r="C900" s="7" t="s">
        <v>806</v>
      </c>
      <c r="D900" s="7" t="str">
        <f>"吴海曼"</f>
        <v>吴海曼</v>
      </c>
      <c r="E900" s="7" t="str">
        <f t="shared" si="104"/>
        <v>女</v>
      </c>
      <c r="F900" s="7" t="s">
        <v>917</v>
      </c>
      <c r="G900" s="7" t="s">
        <v>12</v>
      </c>
      <c r="H900" s="7"/>
    </row>
    <row r="901" s="3" customFormat="1" ht="14.25" customHeight="1" spans="1:8">
      <c r="A901" s="7">
        <v>898</v>
      </c>
      <c r="B901" s="7" t="str">
        <f>"114020200402121354160159"</f>
        <v>114020200402121354160159</v>
      </c>
      <c r="C901" s="7" t="s">
        <v>806</v>
      </c>
      <c r="D901" s="7" t="str">
        <f>"杨华"</f>
        <v>杨华</v>
      </c>
      <c r="E901" s="7" t="str">
        <f>"男"</f>
        <v>男</v>
      </c>
      <c r="F901" s="7" t="s">
        <v>918</v>
      </c>
      <c r="G901" s="7" t="s">
        <v>12</v>
      </c>
      <c r="H901" s="7"/>
    </row>
    <row r="902" s="3" customFormat="1" ht="14.25" customHeight="1" spans="1:8">
      <c r="A902" s="7">
        <v>899</v>
      </c>
      <c r="B902" s="7" t="str">
        <f>"114020200402131011160169"</f>
        <v>114020200402131011160169</v>
      </c>
      <c r="C902" s="7" t="s">
        <v>806</v>
      </c>
      <c r="D902" s="7" t="str">
        <f>"陈亚婷"</f>
        <v>陈亚婷</v>
      </c>
      <c r="E902" s="7" t="str">
        <f t="shared" ref="E902:E907" si="105">"女"</f>
        <v>女</v>
      </c>
      <c r="F902" s="7" t="s">
        <v>919</v>
      </c>
      <c r="G902" s="7" t="s">
        <v>12</v>
      </c>
      <c r="H902" s="7"/>
    </row>
    <row r="903" s="3" customFormat="1" ht="14.25" customHeight="1" spans="1:8">
      <c r="A903" s="7">
        <v>900</v>
      </c>
      <c r="B903" s="7" t="str">
        <f>"114020200402211608160306"</f>
        <v>114020200402211608160306</v>
      </c>
      <c r="C903" s="7" t="s">
        <v>806</v>
      </c>
      <c r="D903" s="7" t="str">
        <f>"孙琦媛"</f>
        <v>孙琦媛</v>
      </c>
      <c r="E903" s="7" t="str">
        <f t="shared" si="105"/>
        <v>女</v>
      </c>
      <c r="F903" s="7" t="s">
        <v>920</v>
      </c>
      <c r="G903" s="7" t="s">
        <v>12</v>
      </c>
      <c r="H903" s="7"/>
    </row>
    <row r="904" s="3" customFormat="1" ht="14.25" customHeight="1" spans="1:8">
      <c r="A904" s="7">
        <v>901</v>
      </c>
      <c r="B904" s="7" t="str">
        <f>"114020200402230254160339"</f>
        <v>114020200402230254160339</v>
      </c>
      <c r="C904" s="7" t="s">
        <v>806</v>
      </c>
      <c r="D904" s="7" t="str">
        <f>"符小清"</f>
        <v>符小清</v>
      </c>
      <c r="E904" s="7" t="str">
        <f t="shared" si="105"/>
        <v>女</v>
      </c>
      <c r="F904" s="7" t="s">
        <v>921</v>
      </c>
      <c r="G904" s="7" t="s">
        <v>12</v>
      </c>
      <c r="H904" s="7"/>
    </row>
    <row r="905" s="3" customFormat="1" ht="14.25" customHeight="1" spans="1:8">
      <c r="A905" s="7">
        <v>902</v>
      </c>
      <c r="B905" s="7" t="str">
        <f>"114020200403000908160352"</f>
        <v>114020200403000908160352</v>
      </c>
      <c r="C905" s="7" t="s">
        <v>806</v>
      </c>
      <c r="D905" s="7" t="str">
        <f>"孟巧璞"</f>
        <v>孟巧璞</v>
      </c>
      <c r="E905" s="7" t="str">
        <f t="shared" si="105"/>
        <v>女</v>
      </c>
      <c r="F905" s="7" t="s">
        <v>922</v>
      </c>
      <c r="G905" s="7" t="s">
        <v>12</v>
      </c>
      <c r="H905" s="7"/>
    </row>
    <row r="906" s="3" customFormat="1" ht="14.25" customHeight="1" spans="1:8">
      <c r="A906" s="7">
        <v>903</v>
      </c>
      <c r="B906" s="7" t="str">
        <f>"114020200403085212160371"</f>
        <v>114020200403085212160371</v>
      </c>
      <c r="C906" s="7" t="s">
        <v>806</v>
      </c>
      <c r="D906" s="7" t="str">
        <f>"林小南"</f>
        <v>林小南</v>
      </c>
      <c r="E906" s="7" t="str">
        <f t="shared" si="105"/>
        <v>女</v>
      </c>
      <c r="F906" s="7" t="s">
        <v>923</v>
      </c>
      <c r="G906" s="7" t="s">
        <v>12</v>
      </c>
      <c r="H906" s="7"/>
    </row>
    <row r="907" s="3" customFormat="1" ht="14.25" customHeight="1" spans="1:8">
      <c r="A907" s="7">
        <v>904</v>
      </c>
      <c r="B907" s="7" t="str">
        <f>"114020200403100048160387"</f>
        <v>114020200403100048160387</v>
      </c>
      <c r="C907" s="7" t="s">
        <v>806</v>
      </c>
      <c r="D907" s="7" t="str">
        <f>"符桂秋"</f>
        <v>符桂秋</v>
      </c>
      <c r="E907" s="7" t="str">
        <f t="shared" si="105"/>
        <v>女</v>
      </c>
      <c r="F907" s="7" t="s">
        <v>924</v>
      </c>
      <c r="G907" s="7" t="s">
        <v>12</v>
      </c>
      <c r="H907" s="7"/>
    </row>
    <row r="908" s="3" customFormat="1" ht="14.25" customHeight="1" spans="1:8">
      <c r="A908" s="7">
        <v>905</v>
      </c>
      <c r="B908" s="7" t="str">
        <f>"114020200403114138160422"</f>
        <v>114020200403114138160422</v>
      </c>
      <c r="C908" s="7" t="s">
        <v>806</v>
      </c>
      <c r="D908" s="7" t="str">
        <f>"陈杨涛"</f>
        <v>陈杨涛</v>
      </c>
      <c r="E908" s="7" t="str">
        <f t="shared" ref="E908:E912" si="106">"男"</f>
        <v>男</v>
      </c>
      <c r="F908" s="7" t="s">
        <v>925</v>
      </c>
      <c r="G908" s="7" t="s">
        <v>12</v>
      </c>
      <c r="H908" s="7"/>
    </row>
    <row r="909" s="3" customFormat="1" ht="14.25" customHeight="1" spans="1:8">
      <c r="A909" s="7">
        <v>906</v>
      </c>
      <c r="B909" s="7" t="str">
        <f>"114020200403204043160545"</f>
        <v>114020200403204043160545</v>
      </c>
      <c r="C909" s="7" t="s">
        <v>806</v>
      </c>
      <c r="D909" s="7" t="str">
        <f>"张静"</f>
        <v>张静</v>
      </c>
      <c r="E909" s="7" t="str">
        <f t="shared" si="106"/>
        <v>男</v>
      </c>
      <c r="F909" s="7" t="s">
        <v>926</v>
      </c>
      <c r="G909" s="7" t="s">
        <v>12</v>
      </c>
      <c r="H909" s="7"/>
    </row>
    <row r="910" s="3" customFormat="1" ht="14.25" customHeight="1" spans="1:8">
      <c r="A910" s="7">
        <v>907</v>
      </c>
      <c r="B910" s="7" t="str">
        <f>"114020200403204256160546"</f>
        <v>114020200403204256160546</v>
      </c>
      <c r="C910" s="7" t="s">
        <v>806</v>
      </c>
      <c r="D910" s="7" t="str">
        <f>"林芸妃"</f>
        <v>林芸妃</v>
      </c>
      <c r="E910" s="7" t="str">
        <f t="shared" ref="E910:E915" si="107">"女"</f>
        <v>女</v>
      </c>
      <c r="F910" s="7" t="s">
        <v>927</v>
      </c>
      <c r="G910" s="7" t="s">
        <v>12</v>
      </c>
      <c r="H910" s="7"/>
    </row>
    <row r="911" s="3" customFormat="1" ht="14.25" customHeight="1" spans="1:8">
      <c r="A911" s="7">
        <v>908</v>
      </c>
      <c r="B911" s="7" t="str">
        <f>"114020200404122640160604"</f>
        <v>114020200404122640160604</v>
      </c>
      <c r="C911" s="7" t="s">
        <v>806</v>
      </c>
      <c r="D911" s="7" t="str">
        <f>"许邦凯"</f>
        <v>许邦凯</v>
      </c>
      <c r="E911" s="7" t="str">
        <f t="shared" si="106"/>
        <v>男</v>
      </c>
      <c r="F911" s="7" t="s">
        <v>928</v>
      </c>
      <c r="G911" s="7" t="s">
        <v>12</v>
      </c>
      <c r="H911" s="7"/>
    </row>
    <row r="912" s="3" customFormat="1" ht="14.25" customHeight="1" spans="1:8">
      <c r="A912" s="7">
        <v>909</v>
      </c>
      <c r="B912" s="7" t="str">
        <f>"114020200404141023160612"</f>
        <v>114020200404141023160612</v>
      </c>
      <c r="C912" s="7" t="s">
        <v>806</v>
      </c>
      <c r="D912" s="7" t="str">
        <f>"林志金"</f>
        <v>林志金</v>
      </c>
      <c r="E912" s="7" t="str">
        <f t="shared" si="106"/>
        <v>男</v>
      </c>
      <c r="F912" s="7" t="s">
        <v>929</v>
      </c>
      <c r="G912" s="7" t="s">
        <v>12</v>
      </c>
      <c r="H912" s="7"/>
    </row>
    <row r="913" s="3" customFormat="1" ht="14.25" customHeight="1" spans="1:8">
      <c r="A913" s="7">
        <v>910</v>
      </c>
      <c r="B913" s="7" t="str">
        <f>"114020200404204505160656"</f>
        <v>114020200404204505160656</v>
      </c>
      <c r="C913" s="7" t="s">
        <v>806</v>
      </c>
      <c r="D913" s="7" t="str">
        <f>"岳伟彤"</f>
        <v>岳伟彤</v>
      </c>
      <c r="E913" s="7" t="str">
        <f t="shared" si="107"/>
        <v>女</v>
      </c>
      <c r="F913" s="7" t="s">
        <v>930</v>
      </c>
      <c r="G913" s="7" t="s">
        <v>12</v>
      </c>
      <c r="H913" s="7"/>
    </row>
    <row r="914" s="3" customFormat="1" ht="14.25" customHeight="1" spans="1:8">
      <c r="A914" s="7">
        <v>911</v>
      </c>
      <c r="B914" s="7" t="str">
        <f>"114020200404211414160663"</f>
        <v>114020200404211414160663</v>
      </c>
      <c r="C914" s="7" t="s">
        <v>806</v>
      </c>
      <c r="D914" s="7" t="str">
        <f>"王玉兰"</f>
        <v>王玉兰</v>
      </c>
      <c r="E914" s="7" t="str">
        <f t="shared" si="107"/>
        <v>女</v>
      </c>
      <c r="F914" s="7" t="s">
        <v>931</v>
      </c>
      <c r="G914" s="7" t="s">
        <v>12</v>
      </c>
      <c r="H914" s="7"/>
    </row>
    <row r="915" s="3" customFormat="1" ht="14.25" customHeight="1" spans="1:8">
      <c r="A915" s="7">
        <v>912</v>
      </c>
      <c r="B915" s="7" t="str">
        <f>"114020200405233421161034"</f>
        <v>114020200405233421161034</v>
      </c>
      <c r="C915" s="7" t="s">
        <v>806</v>
      </c>
      <c r="D915" s="7" t="str">
        <f>"陈雪"</f>
        <v>陈雪</v>
      </c>
      <c r="E915" s="7" t="str">
        <f t="shared" si="107"/>
        <v>女</v>
      </c>
      <c r="F915" s="7" t="s">
        <v>932</v>
      </c>
      <c r="G915" s="7" t="s">
        <v>12</v>
      </c>
      <c r="H915" s="7"/>
    </row>
    <row r="916" s="3" customFormat="1" ht="14.25" customHeight="1" spans="1:8">
      <c r="A916" s="7">
        <v>913</v>
      </c>
      <c r="B916" s="7" t="str">
        <f>"114020200405235627161038"</f>
        <v>114020200405235627161038</v>
      </c>
      <c r="C916" s="7" t="s">
        <v>806</v>
      </c>
      <c r="D916" s="7" t="str">
        <f>"王小清"</f>
        <v>王小清</v>
      </c>
      <c r="E916" s="7" t="str">
        <f t="shared" ref="E916:E921" si="108">"男"</f>
        <v>男</v>
      </c>
      <c r="F916" s="7" t="s">
        <v>933</v>
      </c>
      <c r="G916" s="7" t="s">
        <v>12</v>
      </c>
      <c r="H916" s="7"/>
    </row>
    <row r="917" s="3" customFormat="1" ht="14.25" customHeight="1" spans="1:8">
      <c r="A917" s="7">
        <v>914</v>
      </c>
      <c r="B917" s="7" t="str">
        <f>"114020200406094109161081"</f>
        <v>114020200406094109161081</v>
      </c>
      <c r="C917" s="7" t="s">
        <v>806</v>
      </c>
      <c r="D917" s="7" t="str">
        <f>"吉训俐"</f>
        <v>吉训俐</v>
      </c>
      <c r="E917" s="7" t="str">
        <f t="shared" ref="E917:E920" si="109">"女"</f>
        <v>女</v>
      </c>
      <c r="F917" s="7" t="s">
        <v>934</v>
      </c>
      <c r="G917" s="7" t="s">
        <v>12</v>
      </c>
      <c r="H917" s="7"/>
    </row>
    <row r="918" s="3" customFormat="1" ht="14.25" customHeight="1" spans="1:8">
      <c r="A918" s="7">
        <v>915</v>
      </c>
      <c r="B918" s="7" t="str">
        <f>"114020200406095746161092"</f>
        <v>114020200406095746161092</v>
      </c>
      <c r="C918" s="7" t="s">
        <v>806</v>
      </c>
      <c r="D918" s="7" t="str">
        <f>"林翠"</f>
        <v>林翠</v>
      </c>
      <c r="E918" s="7" t="str">
        <f t="shared" si="109"/>
        <v>女</v>
      </c>
      <c r="F918" s="7" t="s">
        <v>935</v>
      </c>
      <c r="G918" s="7" t="s">
        <v>12</v>
      </c>
      <c r="H918" s="7"/>
    </row>
    <row r="919" s="3" customFormat="1" ht="14.25" customHeight="1" spans="1:8">
      <c r="A919" s="7">
        <v>916</v>
      </c>
      <c r="B919" s="7" t="str">
        <f>"114020200406112126161154"</f>
        <v>114020200406112126161154</v>
      </c>
      <c r="C919" s="7" t="s">
        <v>806</v>
      </c>
      <c r="D919" s="7" t="str">
        <f>"符文山"</f>
        <v>符文山</v>
      </c>
      <c r="E919" s="7" t="str">
        <f t="shared" si="108"/>
        <v>男</v>
      </c>
      <c r="F919" s="7" t="s">
        <v>936</v>
      </c>
      <c r="G919" s="7" t="s">
        <v>12</v>
      </c>
      <c r="H919" s="7"/>
    </row>
    <row r="920" s="3" customFormat="1" ht="14.25" customHeight="1" spans="1:8">
      <c r="A920" s="7">
        <v>917</v>
      </c>
      <c r="B920" s="7" t="str">
        <f>"114020200328091836157173"</f>
        <v>114020200328091836157173</v>
      </c>
      <c r="C920" s="7" t="s">
        <v>937</v>
      </c>
      <c r="D920" s="7" t="str">
        <f>"关红"</f>
        <v>关红</v>
      </c>
      <c r="E920" s="7" t="str">
        <f t="shared" si="109"/>
        <v>女</v>
      </c>
      <c r="F920" s="7" t="s">
        <v>938</v>
      </c>
      <c r="G920" s="7" t="s">
        <v>12</v>
      </c>
      <c r="H920" s="7"/>
    </row>
    <row r="921" s="3" customFormat="1" ht="14.25" customHeight="1" spans="1:8">
      <c r="A921" s="7">
        <v>918</v>
      </c>
      <c r="B921" s="7" t="str">
        <f>"114020200328092251157185"</f>
        <v>114020200328092251157185</v>
      </c>
      <c r="C921" s="7" t="s">
        <v>937</v>
      </c>
      <c r="D921" s="7" t="str">
        <f>"吴挺川"</f>
        <v>吴挺川</v>
      </c>
      <c r="E921" s="7" t="str">
        <f t="shared" si="108"/>
        <v>男</v>
      </c>
      <c r="F921" s="7" t="s">
        <v>939</v>
      </c>
      <c r="G921" s="7" t="s">
        <v>12</v>
      </c>
      <c r="H921" s="7"/>
    </row>
    <row r="922" s="3" customFormat="1" ht="14.25" customHeight="1" spans="1:8">
      <c r="A922" s="7">
        <v>919</v>
      </c>
      <c r="B922" s="7" t="str">
        <f>"114020200328093426157215"</f>
        <v>114020200328093426157215</v>
      </c>
      <c r="C922" s="7" t="s">
        <v>937</v>
      </c>
      <c r="D922" s="7" t="str">
        <f>"张义亮"</f>
        <v>张义亮</v>
      </c>
      <c r="E922" s="7" t="str">
        <f t="shared" ref="E922:E924" si="110">"女"</f>
        <v>女</v>
      </c>
      <c r="F922" s="7" t="s">
        <v>940</v>
      </c>
      <c r="G922" s="7" t="s">
        <v>12</v>
      </c>
      <c r="H922" s="7"/>
    </row>
    <row r="923" s="3" customFormat="1" ht="14.25" customHeight="1" spans="1:8">
      <c r="A923" s="7">
        <v>920</v>
      </c>
      <c r="B923" s="7" t="str">
        <f>"114020200328101220157304"</f>
        <v>114020200328101220157304</v>
      </c>
      <c r="C923" s="7" t="s">
        <v>937</v>
      </c>
      <c r="D923" s="7" t="str">
        <f>"陈巧敏"</f>
        <v>陈巧敏</v>
      </c>
      <c r="E923" s="7" t="str">
        <f t="shared" si="110"/>
        <v>女</v>
      </c>
      <c r="F923" s="7" t="s">
        <v>941</v>
      </c>
      <c r="G923" s="7" t="s">
        <v>12</v>
      </c>
      <c r="H923" s="7"/>
    </row>
    <row r="924" s="3" customFormat="1" ht="14.25" customHeight="1" spans="1:8">
      <c r="A924" s="7">
        <v>921</v>
      </c>
      <c r="B924" s="7" t="str">
        <f>"114020200328101750157323"</f>
        <v>114020200328101750157323</v>
      </c>
      <c r="C924" s="7" t="s">
        <v>937</v>
      </c>
      <c r="D924" s="7" t="str">
        <f>"陈承凤"</f>
        <v>陈承凤</v>
      </c>
      <c r="E924" s="7" t="str">
        <f t="shared" si="110"/>
        <v>女</v>
      </c>
      <c r="F924" s="7" t="s">
        <v>942</v>
      </c>
      <c r="G924" s="7" t="s">
        <v>12</v>
      </c>
      <c r="H924" s="7"/>
    </row>
    <row r="925" s="3" customFormat="1" ht="14.25" customHeight="1" spans="1:8">
      <c r="A925" s="7">
        <v>922</v>
      </c>
      <c r="B925" s="7" t="str">
        <f>"114020200328102429157339"</f>
        <v>114020200328102429157339</v>
      </c>
      <c r="C925" s="7" t="s">
        <v>937</v>
      </c>
      <c r="D925" s="7" t="str">
        <f>"郭枝茂"</f>
        <v>郭枝茂</v>
      </c>
      <c r="E925" s="7" t="str">
        <f>"男"</f>
        <v>男</v>
      </c>
      <c r="F925" s="7" t="s">
        <v>943</v>
      </c>
      <c r="G925" s="7" t="s">
        <v>12</v>
      </c>
      <c r="H925" s="7"/>
    </row>
    <row r="926" s="3" customFormat="1" ht="14.25" customHeight="1" spans="1:8">
      <c r="A926" s="7">
        <v>923</v>
      </c>
      <c r="B926" s="7" t="str">
        <f>"114020200328102736157350"</f>
        <v>114020200328102736157350</v>
      </c>
      <c r="C926" s="7" t="s">
        <v>937</v>
      </c>
      <c r="D926" s="7" t="str">
        <f>"李黎秋燕"</f>
        <v>李黎秋燕</v>
      </c>
      <c r="E926" s="7" t="str">
        <f t="shared" ref="E926:E932" si="111">"女"</f>
        <v>女</v>
      </c>
      <c r="F926" s="7" t="s">
        <v>944</v>
      </c>
      <c r="G926" s="7" t="s">
        <v>12</v>
      </c>
      <c r="H926" s="7"/>
    </row>
    <row r="927" s="3" customFormat="1" ht="14.25" customHeight="1" spans="1:8">
      <c r="A927" s="7">
        <v>924</v>
      </c>
      <c r="B927" s="7" t="str">
        <f>"114020200328102822157354"</f>
        <v>114020200328102822157354</v>
      </c>
      <c r="C927" s="7" t="s">
        <v>937</v>
      </c>
      <c r="D927" s="7" t="str">
        <f>"李峻毅"</f>
        <v>李峻毅</v>
      </c>
      <c r="E927" s="7" t="str">
        <f>"男"</f>
        <v>男</v>
      </c>
      <c r="F927" s="7" t="s">
        <v>945</v>
      </c>
      <c r="G927" s="7" t="s">
        <v>12</v>
      </c>
      <c r="H927" s="7"/>
    </row>
    <row r="928" s="3" customFormat="1" ht="14.25" customHeight="1" spans="1:8">
      <c r="A928" s="7">
        <v>925</v>
      </c>
      <c r="B928" s="7" t="str">
        <f>"114020200328105353157406"</f>
        <v>114020200328105353157406</v>
      </c>
      <c r="C928" s="7" t="s">
        <v>937</v>
      </c>
      <c r="D928" s="7" t="str">
        <f>"何吉花"</f>
        <v>何吉花</v>
      </c>
      <c r="E928" s="7" t="str">
        <f t="shared" si="111"/>
        <v>女</v>
      </c>
      <c r="F928" s="7" t="s">
        <v>946</v>
      </c>
      <c r="G928" s="7" t="s">
        <v>12</v>
      </c>
      <c r="H928" s="7"/>
    </row>
    <row r="929" s="3" customFormat="1" ht="14.25" customHeight="1" spans="1:8">
      <c r="A929" s="7">
        <v>926</v>
      </c>
      <c r="B929" s="7" t="str">
        <f>"114020200328110755157439"</f>
        <v>114020200328110755157439</v>
      </c>
      <c r="C929" s="7" t="s">
        <v>937</v>
      </c>
      <c r="D929" s="7" t="str">
        <f>"黄丝丽"</f>
        <v>黄丝丽</v>
      </c>
      <c r="E929" s="7" t="str">
        <f t="shared" si="111"/>
        <v>女</v>
      </c>
      <c r="F929" s="7" t="s">
        <v>947</v>
      </c>
      <c r="G929" s="7" t="s">
        <v>12</v>
      </c>
      <c r="H929" s="7"/>
    </row>
    <row r="930" s="3" customFormat="1" ht="14.25" customHeight="1" spans="1:8">
      <c r="A930" s="7">
        <v>927</v>
      </c>
      <c r="B930" s="7" t="str">
        <f>"114020200328113020157482"</f>
        <v>114020200328113020157482</v>
      </c>
      <c r="C930" s="7" t="s">
        <v>937</v>
      </c>
      <c r="D930" s="7" t="str">
        <f>"冯雪"</f>
        <v>冯雪</v>
      </c>
      <c r="E930" s="7" t="str">
        <f t="shared" si="111"/>
        <v>女</v>
      </c>
      <c r="F930" s="7" t="s">
        <v>948</v>
      </c>
      <c r="G930" s="7" t="s">
        <v>12</v>
      </c>
      <c r="H930" s="7"/>
    </row>
    <row r="931" s="3" customFormat="1" ht="14.25" customHeight="1" spans="1:8">
      <c r="A931" s="7">
        <v>928</v>
      </c>
      <c r="B931" s="7" t="str">
        <f>"114020200328114608157508"</f>
        <v>114020200328114608157508</v>
      </c>
      <c r="C931" s="7" t="s">
        <v>937</v>
      </c>
      <c r="D931" s="7" t="str">
        <f>"张生丽"</f>
        <v>张生丽</v>
      </c>
      <c r="E931" s="7" t="str">
        <f t="shared" si="111"/>
        <v>女</v>
      </c>
      <c r="F931" s="7" t="s">
        <v>949</v>
      </c>
      <c r="G931" s="7" t="s">
        <v>12</v>
      </c>
      <c r="H931" s="7"/>
    </row>
    <row r="932" s="3" customFormat="1" ht="14.25" customHeight="1" spans="1:8">
      <c r="A932" s="7">
        <v>929</v>
      </c>
      <c r="B932" s="7" t="str">
        <f>"114020200328121733157566"</f>
        <v>114020200328121733157566</v>
      </c>
      <c r="C932" s="7" t="s">
        <v>937</v>
      </c>
      <c r="D932" s="7" t="str">
        <f>"符彩燕"</f>
        <v>符彩燕</v>
      </c>
      <c r="E932" s="7" t="str">
        <f t="shared" si="111"/>
        <v>女</v>
      </c>
      <c r="F932" s="7" t="s">
        <v>291</v>
      </c>
      <c r="G932" s="7" t="s">
        <v>12</v>
      </c>
      <c r="H932" s="7"/>
    </row>
    <row r="933" s="3" customFormat="1" ht="14.25" customHeight="1" spans="1:8">
      <c r="A933" s="7">
        <v>930</v>
      </c>
      <c r="B933" s="7" t="str">
        <f>"114020200328132101157670"</f>
        <v>114020200328132101157670</v>
      </c>
      <c r="C933" s="7" t="s">
        <v>937</v>
      </c>
      <c r="D933" s="7" t="str">
        <f>"卢家宏"</f>
        <v>卢家宏</v>
      </c>
      <c r="E933" s="7" t="str">
        <f t="shared" ref="E933:E938" si="112">"男"</f>
        <v>男</v>
      </c>
      <c r="F933" s="7" t="s">
        <v>950</v>
      </c>
      <c r="G933" s="7" t="s">
        <v>12</v>
      </c>
      <c r="H933" s="7"/>
    </row>
    <row r="934" s="3" customFormat="1" ht="14.25" customHeight="1" spans="1:8">
      <c r="A934" s="7">
        <v>931</v>
      </c>
      <c r="B934" s="7" t="str">
        <f>"114020200328140627157726"</f>
        <v>114020200328140627157726</v>
      </c>
      <c r="C934" s="7" t="s">
        <v>937</v>
      </c>
      <c r="D934" s="7" t="str">
        <f>"崔庭兰"</f>
        <v>崔庭兰</v>
      </c>
      <c r="E934" s="7" t="str">
        <f t="shared" ref="E934:E937" si="113">"女"</f>
        <v>女</v>
      </c>
      <c r="F934" s="7" t="s">
        <v>951</v>
      </c>
      <c r="G934" s="7" t="s">
        <v>12</v>
      </c>
      <c r="H934" s="7"/>
    </row>
    <row r="935" s="3" customFormat="1" ht="14.25" customHeight="1" spans="1:8">
      <c r="A935" s="7">
        <v>932</v>
      </c>
      <c r="B935" s="7" t="str">
        <f>"114020200328142829157744"</f>
        <v>114020200328142829157744</v>
      </c>
      <c r="C935" s="7" t="s">
        <v>937</v>
      </c>
      <c r="D935" s="7" t="str">
        <f>"罗树婷"</f>
        <v>罗树婷</v>
      </c>
      <c r="E935" s="7" t="str">
        <f t="shared" si="113"/>
        <v>女</v>
      </c>
      <c r="F935" s="7" t="s">
        <v>111</v>
      </c>
      <c r="G935" s="7" t="s">
        <v>12</v>
      </c>
      <c r="H935" s="7"/>
    </row>
    <row r="936" s="3" customFormat="1" ht="14.25" customHeight="1" spans="1:8">
      <c r="A936" s="7">
        <v>933</v>
      </c>
      <c r="B936" s="7" t="str">
        <f>"114020200328144525157758"</f>
        <v>114020200328144525157758</v>
      </c>
      <c r="C936" s="7" t="s">
        <v>937</v>
      </c>
      <c r="D936" s="7" t="str">
        <f>"黎博典"</f>
        <v>黎博典</v>
      </c>
      <c r="E936" s="7" t="str">
        <f t="shared" si="112"/>
        <v>男</v>
      </c>
      <c r="F936" s="7" t="s">
        <v>952</v>
      </c>
      <c r="G936" s="7" t="s">
        <v>12</v>
      </c>
      <c r="H936" s="7"/>
    </row>
    <row r="937" s="3" customFormat="1" ht="14.25" customHeight="1" spans="1:8">
      <c r="A937" s="7">
        <v>934</v>
      </c>
      <c r="B937" s="7" t="str">
        <f>"114020200328145809157770"</f>
        <v>114020200328145809157770</v>
      </c>
      <c r="C937" s="7" t="s">
        <v>937</v>
      </c>
      <c r="D937" s="7" t="str">
        <f>"吴月丽"</f>
        <v>吴月丽</v>
      </c>
      <c r="E937" s="7" t="str">
        <f t="shared" si="113"/>
        <v>女</v>
      </c>
      <c r="F937" s="7" t="s">
        <v>953</v>
      </c>
      <c r="G937" s="7" t="s">
        <v>12</v>
      </c>
      <c r="H937" s="7"/>
    </row>
    <row r="938" s="3" customFormat="1" ht="14.25" customHeight="1" spans="1:8">
      <c r="A938" s="7">
        <v>935</v>
      </c>
      <c r="B938" s="7" t="str">
        <f>"114020200328150617157776"</f>
        <v>114020200328150617157776</v>
      </c>
      <c r="C938" s="7" t="s">
        <v>937</v>
      </c>
      <c r="D938" s="7" t="str">
        <f>"朱德誉"</f>
        <v>朱德誉</v>
      </c>
      <c r="E938" s="7" t="str">
        <f t="shared" si="112"/>
        <v>男</v>
      </c>
      <c r="F938" s="7" t="s">
        <v>954</v>
      </c>
      <c r="G938" s="7" t="s">
        <v>12</v>
      </c>
      <c r="H938" s="7"/>
    </row>
    <row r="939" s="3" customFormat="1" ht="14.25" customHeight="1" spans="1:8">
      <c r="A939" s="7">
        <v>936</v>
      </c>
      <c r="B939" s="7" t="str">
        <f>"114020200328151658157783"</f>
        <v>114020200328151658157783</v>
      </c>
      <c r="C939" s="7" t="s">
        <v>937</v>
      </c>
      <c r="D939" s="7" t="str">
        <f>"林丽娜"</f>
        <v>林丽娜</v>
      </c>
      <c r="E939" s="7" t="str">
        <f t="shared" ref="E939:E950" si="114">"女"</f>
        <v>女</v>
      </c>
      <c r="F939" s="7" t="s">
        <v>955</v>
      </c>
      <c r="G939" s="7" t="s">
        <v>12</v>
      </c>
      <c r="H939" s="7"/>
    </row>
    <row r="940" s="3" customFormat="1" ht="14.25" customHeight="1" spans="1:8">
      <c r="A940" s="7">
        <v>937</v>
      </c>
      <c r="B940" s="7" t="str">
        <f>"114020200328161325157844"</f>
        <v>114020200328161325157844</v>
      </c>
      <c r="C940" s="7" t="s">
        <v>937</v>
      </c>
      <c r="D940" s="7" t="str">
        <f>"郭江霞"</f>
        <v>郭江霞</v>
      </c>
      <c r="E940" s="7" t="str">
        <f t="shared" si="114"/>
        <v>女</v>
      </c>
      <c r="F940" s="7" t="s">
        <v>956</v>
      </c>
      <c r="G940" s="7" t="s">
        <v>12</v>
      </c>
      <c r="H940" s="7"/>
    </row>
    <row r="941" s="3" customFormat="1" ht="14.25" customHeight="1" spans="1:8">
      <c r="A941" s="7">
        <v>938</v>
      </c>
      <c r="B941" s="7" t="str">
        <f>"114020200328162656157858"</f>
        <v>114020200328162656157858</v>
      </c>
      <c r="C941" s="7" t="s">
        <v>937</v>
      </c>
      <c r="D941" s="7" t="str">
        <f>"陆凌英"</f>
        <v>陆凌英</v>
      </c>
      <c r="E941" s="7" t="str">
        <f t="shared" si="114"/>
        <v>女</v>
      </c>
      <c r="F941" s="7" t="s">
        <v>957</v>
      </c>
      <c r="G941" s="7" t="s">
        <v>12</v>
      </c>
      <c r="H941" s="7"/>
    </row>
    <row r="942" s="3" customFormat="1" ht="14.25" customHeight="1" spans="1:8">
      <c r="A942" s="7">
        <v>939</v>
      </c>
      <c r="B942" s="7" t="str">
        <f>"114020200328163340157866"</f>
        <v>114020200328163340157866</v>
      </c>
      <c r="C942" s="7" t="s">
        <v>937</v>
      </c>
      <c r="D942" s="7" t="str">
        <f>"许世桃"</f>
        <v>许世桃</v>
      </c>
      <c r="E942" s="7" t="str">
        <f t="shared" si="114"/>
        <v>女</v>
      </c>
      <c r="F942" s="7" t="s">
        <v>958</v>
      </c>
      <c r="G942" s="7" t="s">
        <v>12</v>
      </c>
      <c r="H942" s="7"/>
    </row>
    <row r="943" s="3" customFormat="1" ht="14.25" customHeight="1" spans="1:8">
      <c r="A943" s="7">
        <v>940</v>
      </c>
      <c r="B943" s="7" t="str">
        <f>"114020200328165700157891"</f>
        <v>114020200328165700157891</v>
      </c>
      <c r="C943" s="7" t="s">
        <v>937</v>
      </c>
      <c r="D943" s="7" t="str">
        <f>"王善妃"</f>
        <v>王善妃</v>
      </c>
      <c r="E943" s="7" t="str">
        <f t="shared" si="114"/>
        <v>女</v>
      </c>
      <c r="F943" s="7" t="s">
        <v>959</v>
      </c>
      <c r="G943" s="7" t="s">
        <v>12</v>
      </c>
      <c r="H943" s="7"/>
    </row>
    <row r="944" s="3" customFormat="1" ht="14.25" customHeight="1" spans="1:8">
      <c r="A944" s="7">
        <v>941</v>
      </c>
      <c r="B944" s="7" t="str">
        <f>"114020200328204318158055"</f>
        <v>114020200328204318158055</v>
      </c>
      <c r="C944" s="7" t="s">
        <v>937</v>
      </c>
      <c r="D944" s="7" t="str">
        <f>"吉发霞"</f>
        <v>吉发霞</v>
      </c>
      <c r="E944" s="7" t="str">
        <f t="shared" si="114"/>
        <v>女</v>
      </c>
      <c r="F944" s="7" t="s">
        <v>752</v>
      </c>
      <c r="G944" s="7" t="s">
        <v>12</v>
      </c>
      <c r="H944" s="7"/>
    </row>
    <row r="945" s="3" customFormat="1" ht="14.25" customHeight="1" spans="1:8">
      <c r="A945" s="7">
        <v>942</v>
      </c>
      <c r="B945" s="7" t="str">
        <f>"114020200328204359158056"</f>
        <v>114020200328204359158056</v>
      </c>
      <c r="C945" s="7" t="s">
        <v>937</v>
      </c>
      <c r="D945" s="7" t="str">
        <f>"黎帝兰"</f>
        <v>黎帝兰</v>
      </c>
      <c r="E945" s="7" t="str">
        <f t="shared" si="114"/>
        <v>女</v>
      </c>
      <c r="F945" s="7" t="s">
        <v>960</v>
      </c>
      <c r="G945" s="7" t="s">
        <v>12</v>
      </c>
      <c r="H945" s="7"/>
    </row>
    <row r="946" s="3" customFormat="1" ht="14.25" customHeight="1" spans="1:8">
      <c r="A946" s="7">
        <v>943</v>
      </c>
      <c r="B946" s="7" t="str">
        <f>"114020200328215634158116"</f>
        <v>114020200328215634158116</v>
      </c>
      <c r="C946" s="7" t="s">
        <v>937</v>
      </c>
      <c r="D946" s="7" t="str">
        <f>"李明清"</f>
        <v>李明清</v>
      </c>
      <c r="E946" s="7" t="str">
        <f t="shared" si="114"/>
        <v>女</v>
      </c>
      <c r="F946" s="7" t="s">
        <v>961</v>
      </c>
      <c r="G946" s="7" t="s">
        <v>12</v>
      </c>
      <c r="H946" s="7"/>
    </row>
    <row r="947" s="3" customFormat="1" ht="14.25" customHeight="1" spans="1:8">
      <c r="A947" s="7">
        <v>944</v>
      </c>
      <c r="B947" s="7" t="str">
        <f>"114020200328221500158123"</f>
        <v>114020200328221500158123</v>
      </c>
      <c r="C947" s="7" t="s">
        <v>937</v>
      </c>
      <c r="D947" s="7" t="str">
        <f>"陈彩玉"</f>
        <v>陈彩玉</v>
      </c>
      <c r="E947" s="7" t="str">
        <f t="shared" si="114"/>
        <v>女</v>
      </c>
      <c r="F947" s="7" t="s">
        <v>962</v>
      </c>
      <c r="G947" s="7" t="s">
        <v>12</v>
      </c>
      <c r="H947" s="7"/>
    </row>
    <row r="948" s="3" customFormat="1" ht="14.25" customHeight="1" spans="1:8">
      <c r="A948" s="7">
        <v>945</v>
      </c>
      <c r="B948" s="7" t="str">
        <f>"114020200328235125158171"</f>
        <v>114020200328235125158171</v>
      </c>
      <c r="C948" s="7" t="s">
        <v>937</v>
      </c>
      <c r="D948" s="7" t="str">
        <f>"夏梦红"</f>
        <v>夏梦红</v>
      </c>
      <c r="E948" s="7" t="str">
        <f t="shared" si="114"/>
        <v>女</v>
      </c>
      <c r="F948" s="7" t="s">
        <v>963</v>
      </c>
      <c r="G948" s="7" t="s">
        <v>12</v>
      </c>
      <c r="H948" s="7"/>
    </row>
    <row r="949" s="3" customFormat="1" ht="14.25" customHeight="1" spans="1:8">
      <c r="A949" s="7">
        <v>946</v>
      </c>
      <c r="B949" s="7" t="str">
        <f>"114020200329082215158198"</f>
        <v>114020200329082215158198</v>
      </c>
      <c r="C949" s="7" t="s">
        <v>937</v>
      </c>
      <c r="D949" s="7" t="str">
        <f>"张子燕"</f>
        <v>张子燕</v>
      </c>
      <c r="E949" s="7" t="str">
        <f t="shared" si="114"/>
        <v>女</v>
      </c>
      <c r="F949" s="7" t="s">
        <v>964</v>
      </c>
      <c r="G949" s="7" t="s">
        <v>12</v>
      </c>
      <c r="H949" s="7"/>
    </row>
    <row r="950" s="3" customFormat="1" ht="14.25" customHeight="1" spans="1:8">
      <c r="A950" s="7">
        <v>947</v>
      </c>
      <c r="B950" s="7" t="str">
        <f>"114020200329085915158209"</f>
        <v>114020200329085915158209</v>
      </c>
      <c r="C950" s="7" t="s">
        <v>937</v>
      </c>
      <c r="D950" s="7" t="str">
        <f>"李德霞"</f>
        <v>李德霞</v>
      </c>
      <c r="E950" s="7" t="str">
        <f t="shared" si="114"/>
        <v>女</v>
      </c>
      <c r="F950" s="7" t="s">
        <v>965</v>
      </c>
      <c r="G950" s="7" t="s">
        <v>12</v>
      </c>
      <c r="H950" s="7"/>
    </row>
    <row r="951" s="3" customFormat="1" ht="14.25" customHeight="1" spans="1:8">
      <c r="A951" s="7">
        <v>948</v>
      </c>
      <c r="B951" s="7" t="str">
        <f>"114020200329093235158230"</f>
        <v>114020200329093235158230</v>
      </c>
      <c r="C951" s="7" t="s">
        <v>937</v>
      </c>
      <c r="D951" s="7" t="str">
        <f>"梁志鹏"</f>
        <v>梁志鹏</v>
      </c>
      <c r="E951" s="7" t="str">
        <f>"男"</f>
        <v>男</v>
      </c>
      <c r="F951" s="7" t="s">
        <v>966</v>
      </c>
      <c r="G951" s="7" t="s">
        <v>12</v>
      </c>
      <c r="H951" s="7"/>
    </row>
    <row r="952" s="3" customFormat="1" ht="14.25" customHeight="1" spans="1:8">
      <c r="A952" s="7">
        <v>949</v>
      </c>
      <c r="B952" s="7" t="str">
        <f>"114020200329094913158237"</f>
        <v>114020200329094913158237</v>
      </c>
      <c r="C952" s="7" t="s">
        <v>937</v>
      </c>
      <c r="D952" s="7" t="str">
        <f>"彭金梅"</f>
        <v>彭金梅</v>
      </c>
      <c r="E952" s="7" t="str">
        <f t="shared" ref="E952:E956" si="115">"女"</f>
        <v>女</v>
      </c>
      <c r="F952" s="7" t="s">
        <v>967</v>
      </c>
      <c r="G952" s="7" t="s">
        <v>12</v>
      </c>
      <c r="H952" s="7"/>
    </row>
    <row r="953" s="3" customFormat="1" ht="14.25" customHeight="1" spans="1:8">
      <c r="A953" s="7">
        <v>950</v>
      </c>
      <c r="B953" s="7" t="str">
        <f>"114020200329112857158322"</f>
        <v>114020200329112857158322</v>
      </c>
      <c r="C953" s="7" t="s">
        <v>937</v>
      </c>
      <c r="D953" s="7" t="str">
        <f>"陈丽"</f>
        <v>陈丽</v>
      </c>
      <c r="E953" s="7" t="str">
        <f t="shared" si="115"/>
        <v>女</v>
      </c>
      <c r="F953" s="7" t="s">
        <v>968</v>
      </c>
      <c r="G953" s="7" t="s">
        <v>12</v>
      </c>
      <c r="H953" s="7"/>
    </row>
    <row r="954" s="3" customFormat="1" ht="14.25" customHeight="1" spans="1:8">
      <c r="A954" s="7">
        <v>951</v>
      </c>
      <c r="B954" s="7" t="str">
        <f>"114020200329115505158346"</f>
        <v>114020200329115505158346</v>
      </c>
      <c r="C954" s="7" t="s">
        <v>937</v>
      </c>
      <c r="D954" s="7" t="str">
        <f>"林宇静"</f>
        <v>林宇静</v>
      </c>
      <c r="E954" s="7" t="str">
        <f t="shared" si="115"/>
        <v>女</v>
      </c>
      <c r="F954" s="7" t="s">
        <v>969</v>
      </c>
      <c r="G954" s="7" t="s">
        <v>12</v>
      </c>
      <c r="H954" s="7"/>
    </row>
    <row r="955" s="3" customFormat="1" ht="14.25" customHeight="1" spans="1:8">
      <c r="A955" s="7">
        <v>952</v>
      </c>
      <c r="B955" s="7" t="str">
        <f>"114020200329130613158393"</f>
        <v>114020200329130613158393</v>
      </c>
      <c r="C955" s="7" t="s">
        <v>937</v>
      </c>
      <c r="D955" s="7" t="str">
        <f>"王发真"</f>
        <v>王发真</v>
      </c>
      <c r="E955" s="7" t="str">
        <f t="shared" si="115"/>
        <v>女</v>
      </c>
      <c r="F955" s="7" t="s">
        <v>970</v>
      </c>
      <c r="G955" s="7" t="s">
        <v>12</v>
      </c>
      <c r="H955" s="7"/>
    </row>
    <row r="956" s="3" customFormat="1" ht="14.25" customHeight="1" spans="1:8">
      <c r="A956" s="7">
        <v>953</v>
      </c>
      <c r="B956" s="7" t="str">
        <f>"114020200329131533158398"</f>
        <v>114020200329131533158398</v>
      </c>
      <c r="C956" s="7" t="s">
        <v>937</v>
      </c>
      <c r="D956" s="7" t="str">
        <f>"林道巧"</f>
        <v>林道巧</v>
      </c>
      <c r="E956" s="7" t="str">
        <f t="shared" si="115"/>
        <v>女</v>
      </c>
      <c r="F956" s="7" t="s">
        <v>971</v>
      </c>
      <c r="G956" s="7" t="s">
        <v>12</v>
      </c>
      <c r="H956" s="7"/>
    </row>
    <row r="957" s="3" customFormat="1" ht="14.25" customHeight="1" spans="1:8">
      <c r="A957" s="7">
        <v>954</v>
      </c>
      <c r="B957" s="7" t="str">
        <f>"114020200329134035158416"</f>
        <v>114020200329134035158416</v>
      </c>
      <c r="C957" s="7" t="s">
        <v>937</v>
      </c>
      <c r="D957" s="7" t="str">
        <f>"吴钟龙"</f>
        <v>吴钟龙</v>
      </c>
      <c r="E957" s="7" t="str">
        <f>"男"</f>
        <v>男</v>
      </c>
      <c r="F957" s="7" t="s">
        <v>972</v>
      </c>
      <c r="G957" s="7" t="s">
        <v>12</v>
      </c>
      <c r="H957" s="7"/>
    </row>
    <row r="958" s="3" customFormat="1" ht="14.25" customHeight="1" spans="1:8">
      <c r="A958" s="7">
        <v>955</v>
      </c>
      <c r="B958" s="7" t="str">
        <f>"114020200329135217158420"</f>
        <v>114020200329135217158420</v>
      </c>
      <c r="C958" s="7" t="s">
        <v>937</v>
      </c>
      <c r="D958" s="7" t="str">
        <f>"王寸升"</f>
        <v>王寸升</v>
      </c>
      <c r="E958" s="7" t="str">
        <f t="shared" ref="E958:E963" si="116">"女"</f>
        <v>女</v>
      </c>
      <c r="F958" s="7" t="s">
        <v>973</v>
      </c>
      <c r="G958" s="7" t="s">
        <v>12</v>
      </c>
      <c r="H958" s="7"/>
    </row>
    <row r="959" s="3" customFormat="1" ht="14.25" customHeight="1" spans="1:8">
      <c r="A959" s="7">
        <v>956</v>
      </c>
      <c r="B959" s="7" t="str">
        <f>"114020200329142022158432"</f>
        <v>114020200329142022158432</v>
      </c>
      <c r="C959" s="7" t="s">
        <v>937</v>
      </c>
      <c r="D959" s="7" t="str">
        <f>"符柳凤"</f>
        <v>符柳凤</v>
      </c>
      <c r="E959" s="7" t="str">
        <f t="shared" si="116"/>
        <v>女</v>
      </c>
      <c r="F959" s="7" t="s">
        <v>974</v>
      </c>
      <c r="G959" s="7" t="s">
        <v>12</v>
      </c>
      <c r="H959" s="7"/>
    </row>
    <row r="960" s="3" customFormat="1" ht="14.25" customHeight="1" spans="1:8">
      <c r="A960" s="7">
        <v>957</v>
      </c>
      <c r="B960" s="7" t="str">
        <f>"114020200329192131158580"</f>
        <v>114020200329192131158580</v>
      </c>
      <c r="C960" s="7" t="s">
        <v>937</v>
      </c>
      <c r="D960" s="7" t="str">
        <f>"李沙沙"</f>
        <v>李沙沙</v>
      </c>
      <c r="E960" s="7" t="str">
        <f t="shared" si="116"/>
        <v>女</v>
      </c>
      <c r="F960" s="7" t="s">
        <v>975</v>
      </c>
      <c r="G960" s="7" t="s">
        <v>12</v>
      </c>
      <c r="H960" s="7"/>
    </row>
    <row r="961" s="3" customFormat="1" ht="14.25" customHeight="1" spans="1:8">
      <c r="A961" s="7">
        <v>958</v>
      </c>
      <c r="B961" s="7" t="str">
        <f>"114020200329192335158581"</f>
        <v>114020200329192335158581</v>
      </c>
      <c r="C961" s="7" t="s">
        <v>937</v>
      </c>
      <c r="D961" s="7" t="str">
        <f>"曾妙"</f>
        <v>曾妙</v>
      </c>
      <c r="E961" s="7" t="str">
        <f t="shared" si="116"/>
        <v>女</v>
      </c>
      <c r="F961" s="7" t="s">
        <v>976</v>
      </c>
      <c r="G961" s="7" t="s">
        <v>12</v>
      </c>
      <c r="H961" s="7"/>
    </row>
    <row r="962" s="3" customFormat="1" ht="14.25" customHeight="1" spans="1:8">
      <c r="A962" s="7">
        <v>959</v>
      </c>
      <c r="B962" s="7" t="str">
        <f>"114020200329193808158591"</f>
        <v>114020200329193808158591</v>
      </c>
      <c r="C962" s="7" t="s">
        <v>937</v>
      </c>
      <c r="D962" s="7" t="str">
        <f>"郭秀春"</f>
        <v>郭秀春</v>
      </c>
      <c r="E962" s="7" t="str">
        <f t="shared" si="116"/>
        <v>女</v>
      </c>
      <c r="F962" s="7" t="s">
        <v>977</v>
      </c>
      <c r="G962" s="7" t="s">
        <v>12</v>
      </c>
      <c r="H962" s="7"/>
    </row>
    <row r="963" s="3" customFormat="1" ht="14.25" customHeight="1" spans="1:8">
      <c r="A963" s="7">
        <v>960</v>
      </c>
      <c r="B963" s="7" t="str">
        <f>"114020200329195810158601"</f>
        <v>114020200329195810158601</v>
      </c>
      <c r="C963" s="7" t="s">
        <v>937</v>
      </c>
      <c r="D963" s="7" t="str">
        <f>"王青"</f>
        <v>王青</v>
      </c>
      <c r="E963" s="7" t="str">
        <f t="shared" si="116"/>
        <v>女</v>
      </c>
      <c r="F963" s="7" t="s">
        <v>978</v>
      </c>
      <c r="G963" s="7" t="s">
        <v>12</v>
      </c>
      <c r="H963" s="7"/>
    </row>
    <row r="964" s="3" customFormat="1" ht="14.25" customHeight="1" spans="1:8">
      <c r="A964" s="7">
        <v>961</v>
      </c>
      <c r="B964" s="7" t="str">
        <f>"114020200329201252158610"</f>
        <v>114020200329201252158610</v>
      </c>
      <c r="C964" s="7" t="s">
        <v>937</v>
      </c>
      <c r="D964" s="7" t="str">
        <f>"周德文"</f>
        <v>周德文</v>
      </c>
      <c r="E964" s="7" t="str">
        <f>"男"</f>
        <v>男</v>
      </c>
      <c r="F964" s="7" t="s">
        <v>979</v>
      </c>
      <c r="G964" s="7" t="s">
        <v>12</v>
      </c>
      <c r="H964" s="7"/>
    </row>
    <row r="965" s="3" customFormat="1" ht="14.25" customHeight="1" spans="1:8">
      <c r="A965" s="7">
        <v>962</v>
      </c>
      <c r="B965" s="7" t="str">
        <f>"114020200329202126158615"</f>
        <v>114020200329202126158615</v>
      </c>
      <c r="C965" s="7" t="s">
        <v>937</v>
      </c>
      <c r="D965" s="7" t="str">
        <f>"钟小雪"</f>
        <v>钟小雪</v>
      </c>
      <c r="E965" s="7" t="str">
        <f t="shared" ref="E965:E984" si="117">"女"</f>
        <v>女</v>
      </c>
      <c r="F965" s="7" t="s">
        <v>980</v>
      </c>
      <c r="G965" s="7" t="s">
        <v>12</v>
      </c>
      <c r="H965" s="7"/>
    </row>
    <row r="966" s="3" customFormat="1" ht="14.25" customHeight="1" spans="1:8">
      <c r="A966" s="7">
        <v>963</v>
      </c>
      <c r="B966" s="7" t="str">
        <f>"114020200329220158158690"</f>
        <v>114020200329220158158690</v>
      </c>
      <c r="C966" s="7" t="s">
        <v>937</v>
      </c>
      <c r="D966" s="7" t="str">
        <f>"顾红"</f>
        <v>顾红</v>
      </c>
      <c r="E966" s="7" t="str">
        <f t="shared" si="117"/>
        <v>女</v>
      </c>
      <c r="F966" s="7" t="s">
        <v>981</v>
      </c>
      <c r="G966" s="7" t="s">
        <v>12</v>
      </c>
      <c r="H966" s="7"/>
    </row>
    <row r="967" s="3" customFormat="1" ht="14.25" customHeight="1" spans="1:8">
      <c r="A967" s="7">
        <v>964</v>
      </c>
      <c r="B967" s="7" t="str">
        <f>"114020200329221821158698"</f>
        <v>114020200329221821158698</v>
      </c>
      <c r="C967" s="7" t="s">
        <v>937</v>
      </c>
      <c r="D967" s="7" t="str">
        <f>"刘欢"</f>
        <v>刘欢</v>
      </c>
      <c r="E967" s="7" t="str">
        <f t="shared" si="117"/>
        <v>女</v>
      </c>
      <c r="F967" s="7" t="s">
        <v>982</v>
      </c>
      <c r="G967" s="7" t="s">
        <v>12</v>
      </c>
      <c r="H967" s="7"/>
    </row>
    <row r="968" s="3" customFormat="1" ht="14.25" customHeight="1" spans="1:8">
      <c r="A968" s="7">
        <v>965</v>
      </c>
      <c r="B968" s="7" t="str">
        <f>"114020200329222609158705"</f>
        <v>114020200329222609158705</v>
      </c>
      <c r="C968" s="7" t="s">
        <v>937</v>
      </c>
      <c r="D968" s="7" t="str">
        <f>"胡吉玲"</f>
        <v>胡吉玲</v>
      </c>
      <c r="E968" s="7" t="str">
        <f t="shared" si="117"/>
        <v>女</v>
      </c>
      <c r="F968" s="7" t="s">
        <v>983</v>
      </c>
      <c r="G968" s="7" t="s">
        <v>12</v>
      </c>
      <c r="H968" s="7"/>
    </row>
    <row r="969" s="3" customFormat="1" ht="14.25" customHeight="1" spans="1:8">
      <c r="A969" s="7">
        <v>966</v>
      </c>
      <c r="B969" s="7" t="str">
        <f>"114020200329224336158713"</f>
        <v>114020200329224336158713</v>
      </c>
      <c r="C969" s="7" t="s">
        <v>937</v>
      </c>
      <c r="D969" s="7" t="str">
        <f>"林雪婷"</f>
        <v>林雪婷</v>
      </c>
      <c r="E969" s="7" t="str">
        <f t="shared" si="117"/>
        <v>女</v>
      </c>
      <c r="F969" s="7" t="s">
        <v>984</v>
      </c>
      <c r="G969" s="7" t="s">
        <v>12</v>
      </c>
      <c r="H969" s="7"/>
    </row>
    <row r="970" s="3" customFormat="1" ht="14.25" customHeight="1" spans="1:8">
      <c r="A970" s="7">
        <v>967</v>
      </c>
      <c r="B970" s="7" t="str">
        <f>"114020200330093056158810"</f>
        <v>114020200330093056158810</v>
      </c>
      <c r="C970" s="7" t="s">
        <v>937</v>
      </c>
      <c r="D970" s="7" t="str">
        <f>"董为丽"</f>
        <v>董为丽</v>
      </c>
      <c r="E970" s="7" t="str">
        <f t="shared" si="117"/>
        <v>女</v>
      </c>
      <c r="F970" s="7" t="s">
        <v>985</v>
      </c>
      <c r="G970" s="7" t="s">
        <v>12</v>
      </c>
      <c r="H970" s="7"/>
    </row>
    <row r="971" s="3" customFormat="1" ht="14.25" customHeight="1" spans="1:8">
      <c r="A971" s="7">
        <v>968</v>
      </c>
      <c r="B971" s="7" t="str">
        <f>"114020200330095923158848"</f>
        <v>114020200330095923158848</v>
      </c>
      <c r="C971" s="7" t="s">
        <v>937</v>
      </c>
      <c r="D971" s="7" t="str">
        <f>"郭秀月"</f>
        <v>郭秀月</v>
      </c>
      <c r="E971" s="7" t="str">
        <f t="shared" si="117"/>
        <v>女</v>
      </c>
      <c r="F971" s="7" t="s">
        <v>986</v>
      </c>
      <c r="G971" s="7" t="s">
        <v>12</v>
      </c>
      <c r="H971" s="7"/>
    </row>
    <row r="972" s="3" customFormat="1" ht="14.25" customHeight="1" spans="1:8">
      <c r="A972" s="7">
        <v>969</v>
      </c>
      <c r="B972" s="7" t="str">
        <f>"114020200330100307158851"</f>
        <v>114020200330100307158851</v>
      </c>
      <c r="C972" s="7" t="s">
        <v>937</v>
      </c>
      <c r="D972" s="7" t="str">
        <f>"郑云宵"</f>
        <v>郑云宵</v>
      </c>
      <c r="E972" s="7" t="str">
        <f t="shared" si="117"/>
        <v>女</v>
      </c>
      <c r="F972" s="7" t="s">
        <v>987</v>
      </c>
      <c r="G972" s="7" t="s">
        <v>12</v>
      </c>
      <c r="H972" s="7"/>
    </row>
    <row r="973" s="3" customFormat="1" ht="14.25" customHeight="1" spans="1:8">
      <c r="A973" s="7">
        <v>970</v>
      </c>
      <c r="B973" s="7" t="str">
        <f>"114020200330100951158856"</f>
        <v>114020200330100951158856</v>
      </c>
      <c r="C973" s="7" t="s">
        <v>937</v>
      </c>
      <c r="D973" s="7" t="str">
        <f>"王丹丹"</f>
        <v>王丹丹</v>
      </c>
      <c r="E973" s="7" t="str">
        <f t="shared" si="117"/>
        <v>女</v>
      </c>
      <c r="F973" s="7" t="s">
        <v>988</v>
      </c>
      <c r="G973" s="7" t="s">
        <v>12</v>
      </c>
      <c r="H973" s="7"/>
    </row>
    <row r="974" s="3" customFormat="1" ht="14.25" customHeight="1" spans="1:8">
      <c r="A974" s="7">
        <v>971</v>
      </c>
      <c r="B974" s="7" t="str">
        <f>"114020200330101811158865"</f>
        <v>114020200330101811158865</v>
      </c>
      <c r="C974" s="7" t="s">
        <v>937</v>
      </c>
      <c r="D974" s="7" t="str">
        <f>"何永秀"</f>
        <v>何永秀</v>
      </c>
      <c r="E974" s="7" t="str">
        <f t="shared" si="117"/>
        <v>女</v>
      </c>
      <c r="F974" s="7" t="s">
        <v>989</v>
      </c>
      <c r="G974" s="7" t="s">
        <v>12</v>
      </c>
      <c r="H974" s="7"/>
    </row>
    <row r="975" s="3" customFormat="1" ht="14.25" customHeight="1" spans="1:8">
      <c r="A975" s="7">
        <v>972</v>
      </c>
      <c r="B975" s="7" t="str">
        <f>"114020200330112157158921"</f>
        <v>114020200330112157158921</v>
      </c>
      <c r="C975" s="7" t="s">
        <v>937</v>
      </c>
      <c r="D975" s="7" t="str">
        <f>"林福曲"</f>
        <v>林福曲</v>
      </c>
      <c r="E975" s="7" t="str">
        <f t="shared" si="117"/>
        <v>女</v>
      </c>
      <c r="F975" s="7" t="s">
        <v>990</v>
      </c>
      <c r="G975" s="7" t="s">
        <v>12</v>
      </c>
      <c r="H975" s="7"/>
    </row>
    <row r="976" s="3" customFormat="1" ht="14.25" customHeight="1" spans="1:8">
      <c r="A976" s="7">
        <v>973</v>
      </c>
      <c r="B976" s="7" t="str">
        <f>"114020200330113933158943"</f>
        <v>114020200330113933158943</v>
      </c>
      <c r="C976" s="7" t="s">
        <v>937</v>
      </c>
      <c r="D976" s="7" t="str">
        <f>"孙婧倩"</f>
        <v>孙婧倩</v>
      </c>
      <c r="E976" s="7" t="str">
        <f t="shared" si="117"/>
        <v>女</v>
      </c>
      <c r="F976" s="7" t="s">
        <v>991</v>
      </c>
      <c r="G976" s="7" t="s">
        <v>12</v>
      </c>
      <c r="H976" s="7"/>
    </row>
    <row r="977" s="3" customFormat="1" ht="14.25" customHeight="1" spans="1:8">
      <c r="A977" s="7">
        <v>974</v>
      </c>
      <c r="B977" s="7" t="str">
        <f>"114020200330123407158982"</f>
        <v>114020200330123407158982</v>
      </c>
      <c r="C977" s="7" t="s">
        <v>937</v>
      </c>
      <c r="D977" s="7" t="str">
        <f>"曾敏琴"</f>
        <v>曾敏琴</v>
      </c>
      <c r="E977" s="7" t="str">
        <f t="shared" si="117"/>
        <v>女</v>
      </c>
      <c r="F977" s="7" t="s">
        <v>992</v>
      </c>
      <c r="G977" s="7" t="s">
        <v>12</v>
      </c>
      <c r="H977" s="7"/>
    </row>
    <row r="978" s="3" customFormat="1" ht="14.25" customHeight="1" spans="1:8">
      <c r="A978" s="7">
        <v>975</v>
      </c>
      <c r="B978" s="7" t="str">
        <f>"114020200330150953159071"</f>
        <v>114020200330150953159071</v>
      </c>
      <c r="C978" s="7" t="s">
        <v>937</v>
      </c>
      <c r="D978" s="7" t="str">
        <f>"高雄丽"</f>
        <v>高雄丽</v>
      </c>
      <c r="E978" s="7" t="str">
        <f t="shared" si="117"/>
        <v>女</v>
      </c>
      <c r="F978" s="7" t="s">
        <v>993</v>
      </c>
      <c r="G978" s="7" t="s">
        <v>12</v>
      </c>
      <c r="H978" s="7"/>
    </row>
    <row r="979" s="3" customFormat="1" ht="14.25" customHeight="1" spans="1:8">
      <c r="A979" s="7">
        <v>976</v>
      </c>
      <c r="B979" s="7" t="str">
        <f>"114020200330153220159088"</f>
        <v>114020200330153220159088</v>
      </c>
      <c r="C979" s="7" t="s">
        <v>937</v>
      </c>
      <c r="D979" s="7" t="str">
        <f>"邢婷婷"</f>
        <v>邢婷婷</v>
      </c>
      <c r="E979" s="7" t="str">
        <f t="shared" si="117"/>
        <v>女</v>
      </c>
      <c r="F979" s="7" t="s">
        <v>994</v>
      </c>
      <c r="G979" s="7" t="s">
        <v>12</v>
      </c>
      <c r="H979" s="7"/>
    </row>
    <row r="980" s="3" customFormat="1" ht="14.25" customHeight="1" spans="1:8">
      <c r="A980" s="7">
        <v>977</v>
      </c>
      <c r="B980" s="7" t="str">
        <f>"114020200330153347159089"</f>
        <v>114020200330153347159089</v>
      </c>
      <c r="C980" s="7" t="s">
        <v>937</v>
      </c>
      <c r="D980" s="7" t="str">
        <f>"吴海娜"</f>
        <v>吴海娜</v>
      </c>
      <c r="E980" s="7" t="str">
        <f t="shared" si="117"/>
        <v>女</v>
      </c>
      <c r="F980" s="7" t="s">
        <v>995</v>
      </c>
      <c r="G980" s="7" t="s">
        <v>12</v>
      </c>
      <c r="H980" s="7"/>
    </row>
    <row r="981" s="3" customFormat="1" ht="14.25" customHeight="1" spans="1:8">
      <c r="A981" s="7">
        <v>978</v>
      </c>
      <c r="B981" s="7" t="str">
        <f>"114020200330153850159094"</f>
        <v>114020200330153850159094</v>
      </c>
      <c r="C981" s="7" t="s">
        <v>937</v>
      </c>
      <c r="D981" s="7" t="str">
        <f>"符家珍"</f>
        <v>符家珍</v>
      </c>
      <c r="E981" s="7" t="str">
        <f t="shared" si="117"/>
        <v>女</v>
      </c>
      <c r="F981" s="7" t="s">
        <v>996</v>
      </c>
      <c r="G981" s="7" t="s">
        <v>12</v>
      </c>
      <c r="H981" s="7"/>
    </row>
    <row r="982" s="3" customFormat="1" ht="14.25" customHeight="1" spans="1:8">
      <c r="A982" s="7">
        <v>979</v>
      </c>
      <c r="B982" s="7" t="str">
        <f>"114020200330160723159113"</f>
        <v>114020200330160723159113</v>
      </c>
      <c r="C982" s="7" t="s">
        <v>937</v>
      </c>
      <c r="D982" s="7" t="str">
        <f>"陈孟紫"</f>
        <v>陈孟紫</v>
      </c>
      <c r="E982" s="7" t="str">
        <f t="shared" si="117"/>
        <v>女</v>
      </c>
      <c r="F982" s="7" t="s">
        <v>997</v>
      </c>
      <c r="G982" s="7" t="s">
        <v>12</v>
      </c>
      <c r="H982" s="7"/>
    </row>
    <row r="983" s="3" customFormat="1" ht="14.25" customHeight="1" spans="1:8">
      <c r="A983" s="7">
        <v>980</v>
      </c>
      <c r="B983" s="7" t="str">
        <f>"114020200330180458159193"</f>
        <v>114020200330180458159193</v>
      </c>
      <c r="C983" s="7" t="s">
        <v>937</v>
      </c>
      <c r="D983" s="7" t="str">
        <f>"陈碧娇"</f>
        <v>陈碧娇</v>
      </c>
      <c r="E983" s="7" t="str">
        <f t="shared" si="117"/>
        <v>女</v>
      </c>
      <c r="F983" s="7" t="s">
        <v>998</v>
      </c>
      <c r="G983" s="7" t="s">
        <v>12</v>
      </c>
      <c r="H983" s="7"/>
    </row>
    <row r="984" s="3" customFormat="1" ht="14.25" customHeight="1" spans="1:8">
      <c r="A984" s="7">
        <v>981</v>
      </c>
      <c r="B984" s="7" t="str">
        <f>"114020200330205922159264"</f>
        <v>114020200330205922159264</v>
      </c>
      <c r="C984" s="7" t="s">
        <v>937</v>
      </c>
      <c r="D984" s="7" t="str">
        <f>"王凤丹"</f>
        <v>王凤丹</v>
      </c>
      <c r="E984" s="7" t="str">
        <f t="shared" si="117"/>
        <v>女</v>
      </c>
      <c r="F984" s="7" t="s">
        <v>999</v>
      </c>
      <c r="G984" s="7" t="s">
        <v>12</v>
      </c>
      <c r="H984" s="7"/>
    </row>
    <row r="985" s="3" customFormat="1" ht="14.25" customHeight="1" spans="1:8">
      <c r="A985" s="7">
        <v>982</v>
      </c>
      <c r="B985" s="7" t="str">
        <f>"114020200330213747159298"</f>
        <v>114020200330213747159298</v>
      </c>
      <c r="C985" s="7" t="s">
        <v>937</v>
      </c>
      <c r="D985" s="7" t="str">
        <f>"伍理权"</f>
        <v>伍理权</v>
      </c>
      <c r="E985" s="7" t="str">
        <f>"男"</f>
        <v>男</v>
      </c>
      <c r="F985" s="7" t="s">
        <v>1000</v>
      </c>
      <c r="G985" s="7" t="s">
        <v>12</v>
      </c>
      <c r="H985" s="7"/>
    </row>
    <row r="986" s="3" customFormat="1" ht="14.25" customHeight="1" spans="1:8">
      <c r="A986" s="7">
        <v>983</v>
      </c>
      <c r="B986" s="7" t="str">
        <f>"114020200330213803159299"</f>
        <v>114020200330213803159299</v>
      </c>
      <c r="C986" s="7" t="s">
        <v>937</v>
      </c>
      <c r="D986" s="7" t="str">
        <f>"符龙衣"</f>
        <v>符龙衣</v>
      </c>
      <c r="E986" s="7" t="str">
        <f t="shared" ref="E986:E991" si="118">"女"</f>
        <v>女</v>
      </c>
      <c r="F986" s="7" t="s">
        <v>1001</v>
      </c>
      <c r="G986" s="7" t="s">
        <v>12</v>
      </c>
      <c r="H986" s="7"/>
    </row>
    <row r="987" s="3" customFormat="1" ht="14.25" customHeight="1" spans="1:8">
      <c r="A987" s="7">
        <v>984</v>
      </c>
      <c r="B987" s="7" t="str">
        <f>"114020200330222913159323"</f>
        <v>114020200330222913159323</v>
      </c>
      <c r="C987" s="7" t="s">
        <v>937</v>
      </c>
      <c r="D987" s="7" t="str">
        <f>"谭发山"</f>
        <v>谭发山</v>
      </c>
      <c r="E987" s="7" t="str">
        <f>"男"</f>
        <v>男</v>
      </c>
      <c r="F987" s="7" t="s">
        <v>1002</v>
      </c>
      <c r="G987" s="7" t="s">
        <v>12</v>
      </c>
      <c r="H987" s="7"/>
    </row>
    <row r="988" s="3" customFormat="1" ht="14.25" customHeight="1" spans="1:8">
      <c r="A988" s="7">
        <v>985</v>
      </c>
      <c r="B988" s="7" t="str">
        <f>"114020200330231436159347"</f>
        <v>114020200330231436159347</v>
      </c>
      <c r="C988" s="7" t="s">
        <v>937</v>
      </c>
      <c r="D988" s="7" t="str">
        <f>"梁美婷"</f>
        <v>梁美婷</v>
      </c>
      <c r="E988" s="7" t="str">
        <f t="shared" si="118"/>
        <v>女</v>
      </c>
      <c r="F988" s="7" t="s">
        <v>1003</v>
      </c>
      <c r="G988" s="7" t="s">
        <v>12</v>
      </c>
      <c r="H988" s="7"/>
    </row>
    <row r="989" s="3" customFormat="1" ht="14.25" customHeight="1" spans="1:8">
      <c r="A989" s="7">
        <v>986</v>
      </c>
      <c r="B989" s="7" t="str">
        <f>"114020200331104306159420"</f>
        <v>114020200331104306159420</v>
      </c>
      <c r="C989" s="7" t="s">
        <v>937</v>
      </c>
      <c r="D989" s="7" t="str">
        <f>"陈小桂"</f>
        <v>陈小桂</v>
      </c>
      <c r="E989" s="7" t="str">
        <f t="shared" si="118"/>
        <v>女</v>
      </c>
      <c r="F989" s="7" t="s">
        <v>1004</v>
      </c>
      <c r="G989" s="7" t="s">
        <v>12</v>
      </c>
      <c r="H989" s="7"/>
    </row>
    <row r="990" s="3" customFormat="1" ht="14.25" customHeight="1" spans="1:8">
      <c r="A990" s="7">
        <v>987</v>
      </c>
      <c r="B990" s="7" t="str">
        <f>"114020200331115336159457"</f>
        <v>114020200331115336159457</v>
      </c>
      <c r="C990" s="7" t="s">
        <v>937</v>
      </c>
      <c r="D990" s="7" t="str">
        <f>"陈慧"</f>
        <v>陈慧</v>
      </c>
      <c r="E990" s="7" t="str">
        <f t="shared" si="118"/>
        <v>女</v>
      </c>
      <c r="F990" s="7" t="s">
        <v>1005</v>
      </c>
      <c r="G990" s="7" t="s">
        <v>12</v>
      </c>
      <c r="H990" s="7"/>
    </row>
    <row r="991" s="3" customFormat="1" ht="14.25" customHeight="1" spans="1:8">
      <c r="A991" s="7">
        <v>988</v>
      </c>
      <c r="B991" s="7" t="str">
        <f>"114020200331125750159493"</f>
        <v>114020200331125750159493</v>
      </c>
      <c r="C991" s="7" t="s">
        <v>937</v>
      </c>
      <c r="D991" s="7" t="str">
        <f>"王明连"</f>
        <v>王明连</v>
      </c>
      <c r="E991" s="7" t="str">
        <f t="shared" si="118"/>
        <v>女</v>
      </c>
      <c r="F991" s="7" t="s">
        <v>1006</v>
      </c>
      <c r="G991" s="7" t="s">
        <v>12</v>
      </c>
      <c r="H991" s="7"/>
    </row>
    <row r="992" s="3" customFormat="1" ht="14.25" customHeight="1" spans="1:8">
      <c r="A992" s="7">
        <v>989</v>
      </c>
      <c r="B992" s="7" t="str">
        <f>"114020200331125805159494"</f>
        <v>114020200331125805159494</v>
      </c>
      <c r="C992" s="7" t="s">
        <v>937</v>
      </c>
      <c r="D992" s="7" t="str">
        <f>"吴育经"</f>
        <v>吴育经</v>
      </c>
      <c r="E992" s="7" t="str">
        <f>"男"</f>
        <v>男</v>
      </c>
      <c r="F992" s="7" t="s">
        <v>1007</v>
      </c>
      <c r="G992" s="7" t="s">
        <v>12</v>
      </c>
      <c r="H992" s="7"/>
    </row>
    <row r="993" s="3" customFormat="1" ht="14.25" customHeight="1" spans="1:8">
      <c r="A993" s="7">
        <v>990</v>
      </c>
      <c r="B993" s="7" t="str">
        <f>"114020200331150636159554"</f>
        <v>114020200331150636159554</v>
      </c>
      <c r="C993" s="7" t="s">
        <v>937</v>
      </c>
      <c r="D993" s="7" t="str">
        <f>"吴喜娟"</f>
        <v>吴喜娟</v>
      </c>
      <c r="E993" s="7" t="str">
        <f t="shared" ref="E993:E995" si="119">"女"</f>
        <v>女</v>
      </c>
      <c r="F993" s="7" t="s">
        <v>1008</v>
      </c>
      <c r="G993" s="7" t="s">
        <v>12</v>
      </c>
      <c r="H993" s="7"/>
    </row>
    <row r="994" s="3" customFormat="1" ht="14.25" customHeight="1" spans="1:8">
      <c r="A994" s="7">
        <v>991</v>
      </c>
      <c r="B994" s="7" t="str">
        <f>"114020200331154008159569"</f>
        <v>114020200331154008159569</v>
      </c>
      <c r="C994" s="7" t="s">
        <v>937</v>
      </c>
      <c r="D994" s="7" t="str">
        <f>"王燕珍"</f>
        <v>王燕珍</v>
      </c>
      <c r="E994" s="7" t="str">
        <f t="shared" si="119"/>
        <v>女</v>
      </c>
      <c r="F994" s="7" t="s">
        <v>1009</v>
      </c>
      <c r="G994" s="7" t="s">
        <v>12</v>
      </c>
      <c r="H994" s="7"/>
    </row>
    <row r="995" s="3" customFormat="1" ht="14.25" customHeight="1" spans="1:8">
      <c r="A995" s="7">
        <v>992</v>
      </c>
      <c r="B995" s="7" t="str">
        <f>"114020200331155054159573"</f>
        <v>114020200331155054159573</v>
      </c>
      <c r="C995" s="7" t="s">
        <v>937</v>
      </c>
      <c r="D995" s="7" t="str">
        <f>"李秋月"</f>
        <v>李秋月</v>
      </c>
      <c r="E995" s="7" t="str">
        <f t="shared" si="119"/>
        <v>女</v>
      </c>
      <c r="F995" s="7" t="s">
        <v>1010</v>
      </c>
      <c r="G995" s="7" t="s">
        <v>12</v>
      </c>
      <c r="H995" s="7"/>
    </row>
    <row r="996" s="3" customFormat="1" ht="14.25" customHeight="1" spans="1:8">
      <c r="A996" s="7">
        <v>993</v>
      </c>
      <c r="B996" s="7" t="str">
        <f>"114020200331155356159576"</f>
        <v>114020200331155356159576</v>
      </c>
      <c r="C996" s="7" t="s">
        <v>937</v>
      </c>
      <c r="D996" s="7" t="str">
        <f>"文光烈"</f>
        <v>文光烈</v>
      </c>
      <c r="E996" s="7" t="str">
        <f>"男"</f>
        <v>男</v>
      </c>
      <c r="F996" s="7" t="s">
        <v>1011</v>
      </c>
      <c r="G996" s="7" t="s">
        <v>12</v>
      </c>
      <c r="H996" s="7"/>
    </row>
    <row r="997" s="3" customFormat="1" ht="14.25" customHeight="1" spans="1:8">
      <c r="A997" s="7">
        <v>994</v>
      </c>
      <c r="B997" s="7" t="str">
        <f>"114020200331181710159630"</f>
        <v>114020200331181710159630</v>
      </c>
      <c r="C997" s="7" t="s">
        <v>937</v>
      </c>
      <c r="D997" s="7" t="str">
        <f>"陈玉珍"</f>
        <v>陈玉珍</v>
      </c>
      <c r="E997" s="7" t="str">
        <f t="shared" ref="E997:E1006" si="120">"女"</f>
        <v>女</v>
      </c>
      <c r="F997" s="7" t="s">
        <v>1012</v>
      </c>
      <c r="G997" s="7" t="s">
        <v>12</v>
      </c>
      <c r="H997" s="7"/>
    </row>
    <row r="998" s="3" customFormat="1" ht="14.25" customHeight="1" spans="1:8">
      <c r="A998" s="7">
        <v>995</v>
      </c>
      <c r="B998" s="7" t="str">
        <f>"114020200331194250159650"</f>
        <v>114020200331194250159650</v>
      </c>
      <c r="C998" s="7" t="s">
        <v>937</v>
      </c>
      <c r="D998" s="7" t="str">
        <f>"林环"</f>
        <v>林环</v>
      </c>
      <c r="E998" s="7" t="str">
        <f t="shared" si="120"/>
        <v>女</v>
      </c>
      <c r="F998" s="7" t="s">
        <v>1013</v>
      </c>
      <c r="G998" s="7" t="s">
        <v>12</v>
      </c>
      <c r="H998" s="7"/>
    </row>
    <row r="999" s="3" customFormat="1" ht="14.25" customHeight="1" spans="1:8">
      <c r="A999" s="7">
        <v>996</v>
      </c>
      <c r="B999" s="7" t="str">
        <f>"114020200331211043159683"</f>
        <v>114020200331211043159683</v>
      </c>
      <c r="C999" s="7" t="s">
        <v>937</v>
      </c>
      <c r="D999" s="7" t="str">
        <f>"吴南林"</f>
        <v>吴南林</v>
      </c>
      <c r="E999" s="7" t="str">
        <f t="shared" si="120"/>
        <v>女</v>
      </c>
      <c r="F999" s="7" t="s">
        <v>1014</v>
      </c>
      <c r="G999" s="7" t="s">
        <v>12</v>
      </c>
      <c r="H999" s="7"/>
    </row>
    <row r="1000" s="3" customFormat="1" ht="14.25" customHeight="1" spans="1:8">
      <c r="A1000" s="7">
        <v>997</v>
      </c>
      <c r="B1000" s="7" t="str">
        <f>"114020200331224412159718"</f>
        <v>114020200331224412159718</v>
      </c>
      <c r="C1000" s="7" t="s">
        <v>937</v>
      </c>
      <c r="D1000" s="7" t="str">
        <f>"符爱孟"</f>
        <v>符爱孟</v>
      </c>
      <c r="E1000" s="7" t="str">
        <f t="shared" si="120"/>
        <v>女</v>
      </c>
      <c r="F1000" s="7" t="s">
        <v>1015</v>
      </c>
      <c r="G1000" s="7" t="s">
        <v>12</v>
      </c>
      <c r="H1000" s="7"/>
    </row>
    <row r="1001" s="3" customFormat="1" ht="14.25" customHeight="1" spans="1:8">
      <c r="A1001" s="7">
        <v>998</v>
      </c>
      <c r="B1001" s="7" t="str">
        <f>"114020200401022443159736"</f>
        <v>114020200401022443159736</v>
      </c>
      <c r="C1001" s="7" t="s">
        <v>937</v>
      </c>
      <c r="D1001" s="7" t="str">
        <f>"周红燕"</f>
        <v>周红燕</v>
      </c>
      <c r="E1001" s="7" t="str">
        <f t="shared" si="120"/>
        <v>女</v>
      </c>
      <c r="F1001" s="7" t="s">
        <v>1016</v>
      </c>
      <c r="G1001" s="7" t="s">
        <v>12</v>
      </c>
      <c r="H1001" s="7"/>
    </row>
    <row r="1002" s="3" customFormat="1" ht="14.25" customHeight="1" spans="1:8">
      <c r="A1002" s="7">
        <v>999</v>
      </c>
      <c r="B1002" s="7" t="str">
        <f>"114020200401091327159750"</f>
        <v>114020200401091327159750</v>
      </c>
      <c r="C1002" s="7" t="s">
        <v>937</v>
      </c>
      <c r="D1002" s="7" t="str">
        <f>"容子"</f>
        <v>容子</v>
      </c>
      <c r="E1002" s="7" t="str">
        <f t="shared" si="120"/>
        <v>女</v>
      </c>
      <c r="F1002" s="7" t="s">
        <v>1017</v>
      </c>
      <c r="G1002" s="7" t="s">
        <v>12</v>
      </c>
      <c r="H1002" s="7"/>
    </row>
    <row r="1003" s="3" customFormat="1" ht="14.25" customHeight="1" spans="1:8">
      <c r="A1003" s="7">
        <v>1000</v>
      </c>
      <c r="B1003" s="7" t="str">
        <f>"114020200401092305159754"</f>
        <v>114020200401092305159754</v>
      </c>
      <c r="C1003" s="7" t="s">
        <v>937</v>
      </c>
      <c r="D1003" s="7" t="str">
        <f>"杨艳"</f>
        <v>杨艳</v>
      </c>
      <c r="E1003" s="7" t="str">
        <f t="shared" si="120"/>
        <v>女</v>
      </c>
      <c r="F1003" s="7" t="s">
        <v>1018</v>
      </c>
      <c r="G1003" s="7" t="s">
        <v>12</v>
      </c>
      <c r="H1003" s="7"/>
    </row>
    <row r="1004" s="3" customFormat="1" ht="14.25" customHeight="1" spans="1:8">
      <c r="A1004" s="7">
        <v>1001</v>
      </c>
      <c r="B1004" s="7" t="str">
        <f>"114020200401093614159761"</f>
        <v>114020200401093614159761</v>
      </c>
      <c r="C1004" s="7" t="s">
        <v>937</v>
      </c>
      <c r="D1004" s="7" t="str">
        <f>"符金玲"</f>
        <v>符金玲</v>
      </c>
      <c r="E1004" s="7" t="str">
        <f t="shared" si="120"/>
        <v>女</v>
      </c>
      <c r="F1004" s="7" t="s">
        <v>1019</v>
      </c>
      <c r="G1004" s="7" t="s">
        <v>12</v>
      </c>
      <c r="H1004" s="7"/>
    </row>
    <row r="1005" s="3" customFormat="1" ht="14.25" customHeight="1" spans="1:8">
      <c r="A1005" s="7">
        <v>1002</v>
      </c>
      <c r="B1005" s="7" t="str">
        <f>"114020200401111612159803"</f>
        <v>114020200401111612159803</v>
      </c>
      <c r="C1005" s="7" t="s">
        <v>937</v>
      </c>
      <c r="D1005" s="7" t="str">
        <f>"符珠倩"</f>
        <v>符珠倩</v>
      </c>
      <c r="E1005" s="7" t="str">
        <f t="shared" si="120"/>
        <v>女</v>
      </c>
      <c r="F1005" s="7" t="s">
        <v>1020</v>
      </c>
      <c r="G1005" s="7" t="s">
        <v>12</v>
      </c>
      <c r="H1005" s="7"/>
    </row>
    <row r="1006" s="3" customFormat="1" ht="14.25" customHeight="1" spans="1:8">
      <c r="A1006" s="7">
        <v>1003</v>
      </c>
      <c r="B1006" s="7" t="str">
        <f>"114020200401145635159876"</f>
        <v>114020200401145635159876</v>
      </c>
      <c r="C1006" s="7" t="s">
        <v>937</v>
      </c>
      <c r="D1006" s="7" t="str">
        <f>"麦雨婷"</f>
        <v>麦雨婷</v>
      </c>
      <c r="E1006" s="7" t="str">
        <f t="shared" si="120"/>
        <v>女</v>
      </c>
      <c r="F1006" s="7" t="s">
        <v>1021</v>
      </c>
      <c r="G1006" s="7" t="s">
        <v>12</v>
      </c>
      <c r="H1006" s="7"/>
    </row>
    <row r="1007" s="3" customFormat="1" ht="14.25" customHeight="1" spans="1:8">
      <c r="A1007" s="7">
        <v>1004</v>
      </c>
      <c r="B1007" s="7" t="str">
        <f>"114020200401152544159891"</f>
        <v>114020200401152544159891</v>
      </c>
      <c r="C1007" s="7" t="s">
        <v>937</v>
      </c>
      <c r="D1007" s="7" t="str">
        <f>"王禄云"</f>
        <v>王禄云</v>
      </c>
      <c r="E1007" s="7" t="str">
        <f>"男"</f>
        <v>男</v>
      </c>
      <c r="F1007" s="7" t="s">
        <v>1022</v>
      </c>
      <c r="G1007" s="7" t="s">
        <v>12</v>
      </c>
      <c r="H1007" s="7"/>
    </row>
    <row r="1008" s="3" customFormat="1" ht="14.25" customHeight="1" spans="1:8">
      <c r="A1008" s="7">
        <v>1005</v>
      </c>
      <c r="B1008" s="7" t="str">
        <f>"114020200401182644159985"</f>
        <v>114020200401182644159985</v>
      </c>
      <c r="C1008" s="7" t="s">
        <v>937</v>
      </c>
      <c r="D1008" s="7" t="str">
        <f>"薛秋妍"</f>
        <v>薛秋妍</v>
      </c>
      <c r="E1008" s="7" t="str">
        <f t="shared" ref="E1008:E1013" si="121">"女"</f>
        <v>女</v>
      </c>
      <c r="F1008" s="7" t="s">
        <v>1023</v>
      </c>
      <c r="G1008" s="7" t="s">
        <v>12</v>
      </c>
      <c r="H1008" s="7"/>
    </row>
    <row r="1009" s="3" customFormat="1" ht="14.25" customHeight="1" spans="1:8">
      <c r="A1009" s="7">
        <v>1006</v>
      </c>
      <c r="B1009" s="7" t="str">
        <f>"114020200401224247160073"</f>
        <v>114020200401224247160073</v>
      </c>
      <c r="C1009" s="7" t="s">
        <v>937</v>
      </c>
      <c r="D1009" s="7" t="str">
        <f>"王凤珍"</f>
        <v>王凤珍</v>
      </c>
      <c r="E1009" s="7" t="str">
        <f t="shared" si="121"/>
        <v>女</v>
      </c>
      <c r="F1009" s="7" t="s">
        <v>1024</v>
      </c>
      <c r="G1009" s="7" t="s">
        <v>12</v>
      </c>
      <c r="H1009" s="7"/>
    </row>
    <row r="1010" s="3" customFormat="1" ht="14.25" customHeight="1" spans="1:8">
      <c r="A1010" s="7">
        <v>1007</v>
      </c>
      <c r="B1010" s="7" t="str">
        <f>"114020200402081313160100"</f>
        <v>114020200402081313160100</v>
      </c>
      <c r="C1010" s="7" t="s">
        <v>937</v>
      </c>
      <c r="D1010" s="7" t="str">
        <f>"梁承教"</f>
        <v>梁承教</v>
      </c>
      <c r="E1010" s="7" t="str">
        <f t="shared" si="121"/>
        <v>女</v>
      </c>
      <c r="F1010" s="7" t="s">
        <v>1025</v>
      </c>
      <c r="G1010" s="7" t="s">
        <v>12</v>
      </c>
      <c r="H1010" s="7"/>
    </row>
    <row r="1011" s="3" customFormat="1" ht="14.25" customHeight="1" spans="1:8">
      <c r="A1011" s="7">
        <v>1008</v>
      </c>
      <c r="B1011" s="7" t="str">
        <f>"114020200402102607160130"</f>
        <v>114020200402102607160130</v>
      </c>
      <c r="C1011" s="7" t="s">
        <v>937</v>
      </c>
      <c r="D1011" s="7" t="str">
        <f>"符卫何"</f>
        <v>符卫何</v>
      </c>
      <c r="E1011" s="7" t="str">
        <f t="shared" si="121"/>
        <v>女</v>
      </c>
      <c r="F1011" s="7" t="s">
        <v>1026</v>
      </c>
      <c r="G1011" s="7" t="s">
        <v>12</v>
      </c>
      <c r="H1011" s="7"/>
    </row>
    <row r="1012" s="3" customFormat="1" ht="14.25" customHeight="1" spans="1:8">
      <c r="A1012" s="7">
        <v>1009</v>
      </c>
      <c r="B1012" s="7" t="str">
        <f>"114020200402115752160153"</f>
        <v>114020200402115752160153</v>
      </c>
      <c r="C1012" s="7" t="s">
        <v>937</v>
      </c>
      <c r="D1012" s="7" t="str">
        <f>"凌玉"</f>
        <v>凌玉</v>
      </c>
      <c r="E1012" s="7" t="str">
        <f t="shared" si="121"/>
        <v>女</v>
      </c>
      <c r="F1012" s="7" t="s">
        <v>1027</v>
      </c>
      <c r="G1012" s="7" t="s">
        <v>12</v>
      </c>
      <c r="H1012" s="7"/>
    </row>
    <row r="1013" s="3" customFormat="1" ht="14.25" customHeight="1" spans="1:8">
      <c r="A1013" s="7">
        <v>1010</v>
      </c>
      <c r="B1013" s="7" t="str">
        <f>"114020200402141558160185"</f>
        <v>114020200402141558160185</v>
      </c>
      <c r="C1013" s="7" t="s">
        <v>937</v>
      </c>
      <c r="D1013" s="7" t="str">
        <f>"王香梅"</f>
        <v>王香梅</v>
      </c>
      <c r="E1013" s="7" t="str">
        <f t="shared" si="121"/>
        <v>女</v>
      </c>
      <c r="F1013" s="7" t="s">
        <v>1028</v>
      </c>
      <c r="G1013" s="7" t="s">
        <v>12</v>
      </c>
      <c r="H1013" s="7"/>
    </row>
    <row r="1014" s="3" customFormat="1" ht="14.25" customHeight="1" spans="1:8">
      <c r="A1014" s="7">
        <v>1011</v>
      </c>
      <c r="B1014" s="7" t="str">
        <f>"114020200403110135160403"</f>
        <v>114020200403110135160403</v>
      </c>
      <c r="C1014" s="7" t="s">
        <v>937</v>
      </c>
      <c r="D1014" s="7" t="str">
        <f>"罗长乐"</f>
        <v>罗长乐</v>
      </c>
      <c r="E1014" s="7" t="str">
        <f>"男"</f>
        <v>男</v>
      </c>
      <c r="F1014" s="7" t="s">
        <v>1029</v>
      </c>
      <c r="G1014" s="7" t="s">
        <v>12</v>
      </c>
      <c r="H1014" s="7"/>
    </row>
    <row r="1015" s="3" customFormat="1" ht="14.25" customHeight="1" spans="1:8">
      <c r="A1015" s="7">
        <v>1012</v>
      </c>
      <c r="B1015" s="7" t="str">
        <f>"114020200403234800160576"</f>
        <v>114020200403234800160576</v>
      </c>
      <c r="C1015" s="7" t="s">
        <v>937</v>
      </c>
      <c r="D1015" s="7" t="str">
        <f>"苏虹"</f>
        <v>苏虹</v>
      </c>
      <c r="E1015" s="7" t="str">
        <f t="shared" ref="E1015:E1019" si="122">"女"</f>
        <v>女</v>
      </c>
      <c r="F1015" s="7" t="s">
        <v>1030</v>
      </c>
      <c r="G1015" s="7" t="s">
        <v>12</v>
      </c>
      <c r="H1015" s="7"/>
    </row>
    <row r="1016" s="3" customFormat="1" ht="14.25" customHeight="1" spans="1:8">
      <c r="A1016" s="7">
        <v>1013</v>
      </c>
      <c r="B1016" s="7" t="str">
        <f>"114020200404130150160608"</f>
        <v>114020200404130150160608</v>
      </c>
      <c r="C1016" s="7" t="s">
        <v>937</v>
      </c>
      <c r="D1016" s="7" t="str">
        <f>"周焕妹"</f>
        <v>周焕妹</v>
      </c>
      <c r="E1016" s="7" t="str">
        <f t="shared" si="122"/>
        <v>女</v>
      </c>
      <c r="F1016" s="7" t="s">
        <v>1031</v>
      </c>
      <c r="G1016" s="7" t="s">
        <v>12</v>
      </c>
      <c r="H1016" s="7"/>
    </row>
    <row r="1017" s="3" customFormat="1" ht="14.25" customHeight="1" spans="1:8">
      <c r="A1017" s="7">
        <v>1014</v>
      </c>
      <c r="B1017" s="7" t="str">
        <f>"114020200404210707160662"</f>
        <v>114020200404210707160662</v>
      </c>
      <c r="C1017" s="7" t="s">
        <v>937</v>
      </c>
      <c r="D1017" s="7" t="str">
        <f>"符永倩"</f>
        <v>符永倩</v>
      </c>
      <c r="E1017" s="7" t="str">
        <f t="shared" si="122"/>
        <v>女</v>
      </c>
      <c r="F1017" s="7" t="s">
        <v>1032</v>
      </c>
      <c r="G1017" s="7" t="s">
        <v>12</v>
      </c>
      <c r="H1017" s="7"/>
    </row>
    <row r="1018" s="3" customFormat="1" ht="14.25" customHeight="1" spans="1:8">
      <c r="A1018" s="7">
        <v>1015</v>
      </c>
      <c r="B1018" s="7" t="str">
        <f>"114020200405161439160871"</f>
        <v>114020200405161439160871</v>
      </c>
      <c r="C1018" s="7" t="s">
        <v>937</v>
      </c>
      <c r="D1018" s="7" t="str">
        <f>"苏亚燕"</f>
        <v>苏亚燕</v>
      </c>
      <c r="E1018" s="7" t="str">
        <f t="shared" si="122"/>
        <v>女</v>
      </c>
      <c r="F1018" s="7" t="s">
        <v>518</v>
      </c>
      <c r="G1018" s="7" t="s">
        <v>12</v>
      </c>
      <c r="H1018" s="7"/>
    </row>
    <row r="1019" s="3" customFormat="1" ht="14.25" customHeight="1" spans="1:8">
      <c r="A1019" s="7">
        <v>1016</v>
      </c>
      <c r="B1019" s="7" t="str">
        <f>"114020200405170152160889"</f>
        <v>114020200405170152160889</v>
      </c>
      <c r="C1019" s="7" t="s">
        <v>937</v>
      </c>
      <c r="D1019" s="7" t="str">
        <f>"黄微"</f>
        <v>黄微</v>
      </c>
      <c r="E1019" s="7" t="str">
        <f t="shared" si="122"/>
        <v>女</v>
      </c>
      <c r="F1019" s="7" t="s">
        <v>1033</v>
      </c>
      <c r="G1019" s="7" t="s">
        <v>12</v>
      </c>
      <c r="H1019" s="7"/>
    </row>
    <row r="1020" s="3" customFormat="1" ht="14.25" customHeight="1" spans="1:8">
      <c r="A1020" s="7">
        <v>1017</v>
      </c>
      <c r="B1020" s="7" t="str">
        <f>"114020200405220151161007"</f>
        <v>114020200405220151161007</v>
      </c>
      <c r="C1020" s="7" t="s">
        <v>937</v>
      </c>
      <c r="D1020" s="7" t="str">
        <f>"李广芳"</f>
        <v>李广芳</v>
      </c>
      <c r="E1020" s="7" t="str">
        <f>"男"</f>
        <v>男</v>
      </c>
      <c r="F1020" s="7" t="s">
        <v>1034</v>
      </c>
      <c r="G1020" s="7" t="s">
        <v>12</v>
      </c>
      <c r="H1020" s="7"/>
    </row>
    <row r="1021" s="3" customFormat="1" ht="14.25" customHeight="1" spans="1:8">
      <c r="A1021" s="7">
        <v>1018</v>
      </c>
      <c r="B1021" s="7" t="str">
        <f>"114020200406103025161108"</f>
        <v>114020200406103025161108</v>
      </c>
      <c r="C1021" s="7" t="s">
        <v>937</v>
      </c>
      <c r="D1021" s="7" t="str">
        <f>"卓青岸"</f>
        <v>卓青岸</v>
      </c>
      <c r="E1021" s="7" t="str">
        <f>"男"</f>
        <v>男</v>
      </c>
      <c r="F1021" s="7" t="s">
        <v>1035</v>
      </c>
      <c r="G1021" s="7" t="s">
        <v>12</v>
      </c>
      <c r="H1021" s="7"/>
    </row>
    <row r="1022" s="3" customFormat="1" ht="14.25" customHeight="1" spans="1:8">
      <c r="A1022" s="7">
        <v>1019</v>
      </c>
      <c r="B1022" s="7" t="str">
        <f>"114020200406103521161117"</f>
        <v>114020200406103521161117</v>
      </c>
      <c r="C1022" s="7" t="s">
        <v>937</v>
      </c>
      <c r="D1022" s="7" t="str">
        <f>"李时畅"</f>
        <v>李时畅</v>
      </c>
      <c r="E1022" s="7" t="str">
        <f t="shared" ref="E1022:E1052" si="123">"女"</f>
        <v>女</v>
      </c>
      <c r="F1022" s="7" t="s">
        <v>1036</v>
      </c>
      <c r="G1022" s="7" t="s">
        <v>12</v>
      </c>
      <c r="H1022" s="7"/>
    </row>
    <row r="1023" s="3" customFormat="1" ht="14.25" customHeight="1" spans="1:8">
      <c r="A1023" s="7">
        <v>1020</v>
      </c>
      <c r="B1023" s="7" t="str">
        <f>"114020200406110308161138"</f>
        <v>114020200406110308161138</v>
      </c>
      <c r="C1023" s="7" t="s">
        <v>937</v>
      </c>
      <c r="D1023" s="7" t="str">
        <f>"莫翠妃"</f>
        <v>莫翠妃</v>
      </c>
      <c r="E1023" s="7" t="str">
        <f t="shared" si="123"/>
        <v>女</v>
      </c>
      <c r="F1023" s="7" t="s">
        <v>1037</v>
      </c>
      <c r="G1023" s="7" t="s">
        <v>12</v>
      </c>
      <c r="H1023" s="7"/>
    </row>
    <row r="1024" s="3" customFormat="1" ht="14.25" customHeight="1" spans="1:8">
      <c r="A1024" s="7">
        <v>1021</v>
      </c>
      <c r="B1024" s="7" t="str">
        <f>"114020200328095451157261"</f>
        <v>114020200328095451157261</v>
      </c>
      <c r="C1024" s="7" t="s">
        <v>1038</v>
      </c>
      <c r="D1024" s="7" t="str">
        <f>"杨婵娟"</f>
        <v>杨婵娟</v>
      </c>
      <c r="E1024" s="7" t="str">
        <f t="shared" si="123"/>
        <v>女</v>
      </c>
      <c r="F1024" s="7" t="s">
        <v>1039</v>
      </c>
      <c r="G1024" s="7" t="s">
        <v>12</v>
      </c>
      <c r="H1024" s="7"/>
    </row>
    <row r="1025" s="3" customFormat="1" ht="14.25" customHeight="1" spans="1:8">
      <c r="A1025" s="7">
        <v>1022</v>
      </c>
      <c r="B1025" s="7" t="str">
        <f>"114020200328103058157359"</f>
        <v>114020200328103058157359</v>
      </c>
      <c r="C1025" s="7" t="s">
        <v>1038</v>
      </c>
      <c r="D1025" s="7" t="str">
        <f>"吴姬莹"</f>
        <v>吴姬莹</v>
      </c>
      <c r="E1025" s="7" t="str">
        <f t="shared" si="123"/>
        <v>女</v>
      </c>
      <c r="F1025" s="7" t="s">
        <v>1040</v>
      </c>
      <c r="G1025" s="7" t="s">
        <v>12</v>
      </c>
      <c r="H1025" s="7"/>
    </row>
    <row r="1026" s="3" customFormat="1" ht="14.25" customHeight="1" spans="1:8">
      <c r="A1026" s="7">
        <v>1023</v>
      </c>
      <c r="B1026" s="7" t="str">
        <f>"114020200328104445157384"</f>
        <v>114020200328104445157384</v>
      </c>
      <c r="C1026" s="7" t="s">
        <v>1038</v>
      </c>
      <c r="D1026" s="7" t="str">
        <f>"孙翠妹"</f>
        <v>孙翠妹</v>
      </c>
      <c r="E1026" s="7" t="str">
        <f t="shared" si="123"/>
        <v>女</v>
      </c>
      <c r="F1026" s="7" t="s">
        <v>1041</v>
      </c>
      <c r="G1026" s="7" t="s">
        <v>12</v>
      </c>
      <c r="H1026" s="7"/>
    </row>
    <row r="1027" s="3" customFormat="1" ht="14.25" customHeight="1" spans="1:8">
      <c r="A1027" s="7">
        <v>1024</v>
      </c>
      <c r="B1027" s="7" t="str">
        <f>"114020200328105743157414"</f>
        <v>114020200328105743157414</v>
      </c>
      <c r="C1027" s="7" t="s">
        <v>1038</v>
      </c>
      <c r="D1027" s="7" t="str">
        <f>"陈文叶"</f>
        <v>陈文叶</v>
      </c>
      <c r="E1027" s="7" t="str">
        <f t="shared" si="123"/>
        <v>女</v>
      </c>
      <c r="F1027" s="7" t="s">
        <v>1042</v>
      </c>
      <c r="G1027" s="7" t="s">
        <v>12</v>
      </c>
      <c r="H1027" s="7"/>
    </row>
    <row r="1028" s="3" customFormat="1" ht="14.25" customHeight="1" spans="1:8">
      <c r="A1028" s="7">
        <v>1025</v>
      </c>
      <c r="B1028" s="7" t="str">
        <f>"114020200328113921157500"</f>
        <v>114020200328113921157500</v>
      </c>
      <c r="C1028" s="7" t="s">
        <v>1038</v>
      </c>
      <c r="D1028" s="7" t="str">
        <f>"王慧玲"</f>
        <v>王慧玲</v>
      </c>
      <c r="E1028" s="7" t="str">
        <f t="shared" si="123"/>
        <v>女</v>
      </c>
      <c r="F1028" s="7" t="s">
        <v>1043</v>
      </c>
      <c r="G1028" s="7" t="s">
        <v>12</v>
      </c>
      <c r="H1028" s="7"/>
    </row>
    <row r="1029" s="3" customFormat="1" ht="14.25" customHeight="1" spans="1:8">
      <c r="A1029" s="7">
        <v>1026</v>
      </c>
      <c r="B1029" s="7" t="str">
        <f>"114020200328182952157967"</f>
        <v>114020200328182952157967</v>
      </c>
      <c r="C1029" s="7" t="s">
        <v>1038</v>
      </c>
      <c r="D1029" s="7" t="str">
        <f>"符裕珍"</f>
        <v>符裕珍</v>
      </c>
      <c r="E1029" s="7" t="str">
        <f t="shared" si="123"/>
        <v>女</v>
      </c>
      <c r="F1029" s="7" t="s">
        <v>1044</v>
      </c>
      <c r="G1029" s="7" t="s">
        <v>12</v>
      </c>
      <c r="H1029" s="7"/>
    </row>
    <row r="1030" s="3" customFormat="1" ht="14.25" customHeight="1" spans="1:8">
      <c r="A1030" s="7">
        <v>1027</v>
      </c>
      <c r="B1030" s="7" t="str">
        <f>"114020200328183357157969"</f>
        <v>114020200328183357157969</v>
      </c>
      <c r="C1030" s="7" t="s">
        <v>1038</v>
      </c>
      <c r="D1030" s="7" t="str">
        <f>"王钰婷"</f>
        <v>王钰婷</v>
      </c>
      <c r="E1030" s="7" t="str">
        <f t="shared" si="123"/>
        <v>女</v>
      </c>
      <c r="F1030" s="7" t="s">
        <v>1045</v>
      </c>
      <c r="G1030" s="7" t="s">
        <v>12</v>
      </c>
      <c r="H1030" s="7"/>
    </row>
    <row r="1031" s="3" customFormat="1" ht="14.25" customHeight="1" spans="1:8">
      <c r="A1031" s="7">
        <v>1028</v>
      </c>
      <c r="B1031" s="7" t="str">
        <f>"114020200328194450158012"</f>
        <v>114020200328194450158012</v>
      </c>
      <c r="C1031" s="7" t="s">
        <v>1038</v>
      </c>
      <c r="D1031" s="7" t="str">
        <f>"蔡鸣艺"</f>
        <v>蔡鸣艺</v>
      </c>
      <c r="E1031" s="7" t="str">
        <f t="shared" si="123"/>
        <v>女</v>
      </c>
      <c r="F1031" s="7" t="s">
        <v>1046</v>
      </c>
      <c r="G1031" s="7" t="s">
        <v>12</v>
      </c>
      <c r="H1031" s="7"/>
    </row>
    <row r="1032" s="3" customFormat="1" ht="14.25" customHeight="1" spans="1:8">
      <c r="A1032" s="7">
        <v>1029</v>
      </c>
      <c r="B1032" s="7" t="str">
        <f>"114020200329180309158542"</f>
        <v>114020200329180309158542</v>
      </c>
      <c r="C1032" s="7" t="s">
        <v>1038</v>
      </c>
      <c r="D1032" s="7" t="str">
        <f>"许林芳"</f>
        <v>许林芳</v>
      </c>
      <c r="E1032" s="7" t="str">
        <f t="shared" si="123"/>
        <v>女</v>
      </c>
      <c r="F1032" s="7" t="s">
        <v>1047</v>
      </c>
      <c r="G1032" s="7" t="s">
        <v>12</v>
      </c>
      <c r="H1032" s="7"/>
    </row>
    <row r="1033" s="3" customFormat="1" ht="14.25" customHeight="1" spans="1:8">
      <c r="A1033" s="7">
        <v>1030</v>
      </c>
      <c r="B1033" s="7" t="str">
        <f>"114020200329212056158664"</f>
        <v>114020200329212056158664</v>
      </c>
      <c r="C1033" s="7" t="s">
        <v>1038</v>
      </c>
      <c r="D1033" s="7" t="str">
        <f>"邢丽霞"</f>
        <v>邢丽霞</v>
      </c>
      <c r="E1033" s="7" t="str">
        <f t="shared" si="123"/>
        <v>女</v>
      </c>
      <c r="F1033" s="7" t="s">
        <v>1048</v>
      </c>
      <c r="G1033" s="7" t="s">
        <v>12</v>
      </c>
      <c r="H1033" s="7"/>
    </row>
    <row r="1034" s="3" customFormat="1" ht="14.25" customHeight="1" spans="1:8">
      <c r="A1034" s="7">
        <v>1031</v>
      </c>
      <c r="B1034" s="7" t="str">
        <f>"114020200329232114158734"</f>
        <v>114020200329232114158734</v>
      </c>
      <c r="C1034" s="7" t="s">
        <v>1038</v>
      </c>
      <c r="D1034" s="7" t="str">
        <f>"周子乃"</f>
        <v>周子乃</v>
      </c>
      <c r="E1034" s="7" t="str">
        <f t="shared" si="123"/>
        <v>女</v>
      </c>
      <c r="F1034" s="7" t="s">
        <v>1049</v>
      </c>
      <c r="G1034" s="7" t="s">
        <v>12</v>
      </c>
      <c r="H1034" s="7"/>
    </row>
    <row r="1035" s="3" customFormat="1" ht="14.25" customHeight="1" spans="1:8">
      <c r="A1035" s="7">
        <v>1032</v>
      </c>
      <c r="B1035" s="7" t="str">
        <f>"114020200330081643158761"</f>
        <v>114020200330081643158761</v>
      </c>
      <c r="C1035" s="7" t="s">
        <v>1038</v>
      </c>
      <c r="D1035" s="7" t="str">
        <f>"苏家露"</f>
        <v>苏家露</v>
      </c>
      <c r="E1035" s="7" t="str">
        <f t="shared" si="123"/>
        <v>女</v>
      </c>
      <c r="F1035" s="7" t="s">
        <v>1050</v>
      </c>
      <c r="G1035" s="7" t="s">
        <v>12</v>
      </c>
      <c r="H1035" s="7"/>
    </row>
    <row r="1036" s="3" customFormat="1" ht="14.25" customHeight="1" spans="1:8">
      <c r="A1036" s="7">
        <v>1033</v>
      </c>
      <c r="B1036" s="7" t="str">
        <f>"114020200330222758159321"</f>
        <v>114020200330222758159321</v>
      </c>
      <c r="C1036" s="7" t="s">
        <v>1038</v>
      </c>
      <c r="D1036" s="7" t="str">
        <f>"陈小兰"</f>
        <v>陈小兰</v>
      </c>
      <c r="E1036" s="7" t="str">
        <f t="shared" si="123"/>
        <v>女</v>
      </c>
      <c r="F1036" s="7" t="s">
        <v>1051</v>
      </c>
      <c r="G1036" s="7" t="s">
        <v>12</v>
      </c>
      <c r="H1036" s="7"/>
    </row>
    <row r="1037" s="3" customFormat="1" ht="14.25" customHeight="1" spans="1:8">
      <c r="A1037" s="7">
        <v>1034</v>
      </c>
      <c r="B1037" s="7" t="str">
        <f>"114020200331115434159458"</f>
        <v>114020200331115434159458</v>
      </c>
      <c r="C1037" s="7" t="s">
        <v>1038</v>
      </c>
      <c r="D1037" s="7" t="str">
        <f>"林彬彬"</f>
        <v>林彬彬</v>
      </c>
      <c r="E1037" s="7" t="str">
        <f t="shared" si="123"/>
        <v>女</v>
      </c>
      <c r="F1037" s="7" t="s">
        <v>1052</v>
      </c>
      <c r="G1037" s="7" t="s">
        <v>12</v>
      </c>
      <c r="H1037" s="7"/>
    </row>
    <row r="1038" s="3" customFormat="1" ht="14.25" customHeight="1" spans="1:8">
      <c r="A1038" s="7">
        <v>1035</v>
      </c>
      <c r="B1038" s="7" t="str">
        <f>"114020200331134520159515"</f>
        <v>114020200331134520159515</v>
      </c>
      <c r="C1038" s="7" t="s">
        <v>1038</v>
      </c>
      <c r="D1038" s="7" t="str">
        <f>"陈星玲"</f>
        <v>陈星玲</v>
      </c>
      <c r="E1038" s="7" t="str">
        <f t="shared" si="123"/>
        <v>女</v>
      </c>
      <c r="F1038" s="7" t="s">
        <v>1053</v>
      </c>
      <c r="G1038" s="7" t="s">
        <v>12</v>
      </c>
      <c r="H1038" s="7"/>
    </row>
    <row r="1039" s="3" customFormat="1" ht="14.25" customHeight="1" spans="1:8">
      <c r="A1039" s="7">
        <v>1036</v>
      </c>
      <c r="B1039" s="7" t="str">
        <f>"114020200331162310159587"</f>
        <v>114020200331162310159587</v>
      </c>
      <c r="C1039" s="7" t="s">
        <v>1038</v>
      </c>
      <c r="D1039" s="7" t="str">
        <f>"杨夏蕊"</f>
        <v>杨夏蕊</v>
      </c>
      <c r="E1039" s="7" t="str">
        <f t="shared" si="123"/>
        <v>女</v>
      </c>
      <c r="F1039" s="7" t="s">
        <v>1054</v>
      </c>
      <c r="G1039" s="7" t="s">
        <v>12</v>
      </c>
      <c r="H1039" s="7"/>
    </row>
    <row r="1040" s="3" customFormat="1" ht="14.25" customHeight="1" spans="1:8">
      <c r="A1040" s="7">
        <v>1037</v>
      </c>
      <c r="B1040" s="7" t="str">
        <f>"114020200401114232159812"</f>
        <v>114020200401114232159812</v>
      </c>
      <c r="C1040" s="7" t="s">
        <v>1038</v>
      </c>
      <c r="D1040" s="7" t="str">
        <f>"陈海云"</f>
        <v>陈海云</v>
      </c>
      <c r="E1040" s="7" t="str">
        <f t="shared" si="123"/>
        <v>女</v>
      </c>
      <c r="F1040" s="7" t="s">
        <v>1055</v>
      </c>
      <c r="G1040" s="7" t="s">
        <v>12</v>
      </c>
      <c r="H1040" s="7"/>
    </row>
    <row r="1041" s="3" customFormat="1" ht="14.25" customHeight="1" spans="1:8">
      <c r="A1041" s="7">
        <v>1038</v>
      </c>
      <c r="B1041" s="7" t="str">
        <f>"114020200402102540160129"</f>
        <v>114020200402102540160129</v>
      </c>
      <c r="C1041" s="7" t="s">
        <v>1038</v>
      </c>
      <c r="D1041" s="7" t="str">
        <f>"张虹"</f>
        <v>张虹</v>
      </c>
      <c r="E1041" s="7" t="str">
        <f t="shared" si="123"/>
        <v>女</v>
      </c>
      <c r="F1041" s="7" t="s">
        <v>1056</v>
      </c>
      <c r="G1041" s="7" t="s">
        <v>12</v>
      </c>
      <c r="H1041" s="7"/>
    </row>
    <row r="1042" s="3" customFormat="1" ht="14.25" customHeight="1" spans="1:8">
      <c r="A1042" s="7">
        <v>1039</v>
      </c>
      <c r="B1042" s="7" t="str">
        <f>"114020200402224305160336"</f>
        <v>114020200402224305160336</v>
      </c>
      <c r="C1042" s="7" t="s">
        <v>1038</v>
      </c>
      <c r="D1042" s="7" t="str">
        <f>"高忠霞"</f>
        <v>高忠霞</v>
      </c>
      <c r="E1042" s="7" t="str">
        <f t="shared" si="123"/>
        <v>女</v>
      </c>
      <c r="F1042" s="7" t="s">
        <v>1057</v>
      </c>
      <c r="G1042" s="7" t="s">
        <v>12</v>
      </c>
      <c r="H1042" s="7"/>
    </row>
    <row r="1043" s="3" customFormat="1" ht="14.25" customHeight="1" spans="1:8">
      <c r="A1043" s="7">
        <v>1040</v>
      </c>
      <c r="B1043" s="7" t="str">
        <f>"114020200403111934160407"</f>
        <v>114020200403111934160407</v>
      </c>
      <c r="C1043" s="7" t="s">
        <v>1038</v>
      </c>
      <c r="D1043" s="7" t="str">
        <f>"卢瑞琳"</f>
        <v>卢瑞琳</v>
      </c>
      <c r="E1043" s="7" t="str">
        <f t="shared" si="123"/>
        <v>女</v>
      </c>
      <c r="F1043" s="7" t="s">
        <v>1058</v>
      </c>
      <c r="G1043" s="7" t="s">
        <v>12</v>
      </c>
      <c r="H1043" s="7"/>
    </row>
    <row r="1044" s="3" customFormat="1" ht="14.25" customHeight="1" spans="1:8">
      <c r="A1044" s="7">
        <v>1041</v>
      </c>
      <c r="B1044" s="7" t="str">
        <f>"114020200403170655160509"</f>
        <v>114020200403170655160509</v>
      </c>
      <c r="C1044" s="7" t="s">
        <v>1038</v>
      </c>
      <c r="D1044" s="7" t="str">
        <f>"林英"</f>
        <v>林英</v>
      </c>
      <c r="E1044" s="7" t="str">
        <f t="shared" si="123"/>
        <v>女</v>
      </c>
      <c r="F1044" s="7" t="s">
        <v>1059</v>
      </c>
      <c r="G1044" s="7" t="s">
        <v>12</v>
      </c>
      <c r="H1044" s="7"/>
    </row>
    <row r="1045" s="3" customFormat="1" ht="14.25" customHeight="1" spans="1:8">
      <c r="A1045" s="7">
        <v>1042</v>
      </c>
      <c r="B1045" s="7" t="str">
        <f>"114020200404204017160655"</f>
        <v>114020200404204017160655</v>
      </c>
      <c r="C1045" s="7" t="s">
        <v>1038</v>
      </c>
      <c r="D1045" s="7" t="str">
        <f>"吴晓珍"</f>
        <v>吴晓珍</v>
      </c>
      <c r="E1045" s="7" t="str">
        <f t="shared" si="123"/>
        <v>女</v>
      </c>
      <c r="F1045" s="7" t="s">
        <v>1060</v>
      </c>
      <c r="G1045" s="7" t="s">
        <v>12</v>
      </c>
      <c r="H1045" s="7"/>
    </row>
    <row r="1046" s="3" customFormat="1" ht="14.25" customHeight="1" spans="1:8">
      <c r="A1046" s="7">
        <v>1043</v>
      </c>
      <c r="B1046" s="7" t="str">
        <f>"114020200405195422160944"</f>
        <v>114020200405195422160944</v>
      </c>
      <c r="C1046" s="7" t="s">
        <v>1038</v>
      </c>
      <c r="D1046" s="7" t="str">
        <f>"吴华靖"</f>
        <v>吴华靖</v>
      </c>
      <c r="E1046" s="7" t="str">
        <f t="shared" si="123"/>
        <v>女</v>
      </c>
      <c r="F1046" s="7" t="s">
        <v>1061</v>
      </c>
      <c r="G1046" s="7" t="s">
        <v>12</v>
      </c>
      <c r="H1046" s="7"/>
    </row>
    <row r="1047" s="3" customFormat="1" ht="14.25" customHeight="1" spans="1:8">
      <c r="A1047" s="7">
        <v>1044</v>
      </c>
      <c r="B1047" s="7" t="str">
        <f>"114020200406111643161150"</f>
        <v>114020200406111643161150</v>
      </c>
      <c r="C1047" s="7" t="s">
        <v>1038</v>
      </c>
      <c r="D1047" s="7" t="str">
        <f>"陈慕桦"</f>
        <v>陈慕桦</v>
      </c>
      <c r="E1047" s="7" t="str">
        <f t="shared" si="123"/>
        <v>女</v>
      </c>
      <c r="F1047" s="7" t="s">
        <v>1062</v>
      </c>
      <c r="G1047" s="7" t="s">
        <v>12</v>
      </c>
      <c r="H1047" s="7"/>
    </row>
    <row r="1048" s="3" customFormat="1" ht="14.25" customHeight="1" spans="1:8">
      <c r="A1048" s="7">
        <v>1045</v>
      </c>
      <c r="B1048" s="7" t="str">
        <f>"114020200328100949157295"</f>
        <v>114020200328100949157295</v>
      </c>
      <c r="C1048" s="7" t="s">
        <v>1063</v>
      </c>
      <c r="D1048" s="7" t="str">
        <f>"麦惠乾"</f>
        <v>麦惠乾</v>
      </c>
      <c r="E1048" s="7" t="str">
        <f t="shared" si="123"/>
        <v>女</v>
      </c>
      <c r="F1048" s="7" t="s">
        <v>1064</v>
      </c>
      <c r="G1048" s="7" t="s">
        <v>12</v>
      </c>
      <c r="H1048" s="7"/>
    </row>
    <row r="1049" s="3" customFormat="1" ht="14.25" customHeight="1" spans="1:8">
      <c r="A1049" s="7">
        <v>1046</v>
      </c>
      <c r="B1049" s="7" t="str">
        <f>"114020200328101017157297"</f>
        <v>114020200328101017157297</v>
      </c>
      <c r="C1049" s="7" t="s">
        <v>1063</v>
      </c>
      <c r="D1049" s="7" t="str">
        <f>"黄贯咪"</f>
        <v>黄贯咪</v>
      </c>
      <c r="E1049" s="7" t="str">
        <f t="shared" si="123"/>
        <v>女</v>
      </c>
      <c r="F1049" s="7" t="s">
        <v>1065</v>
      </c>
      <c r="G1049" s="7" t="s">
        <v>12</v>
      </c>
      <c r="H1049" s="7"/>
    </row>
    <row r="1050" s="3" customFormat="1" ht="14.25" customHeight="1" spans="1:8">
      <c r="A1050" s="7">
        <v>1047</v>
      </c>
      <c r="B1050" s="7" t="str">
        <f>"114020200328111230157446"</f>
        <v>114020200328111230157446</v>
      </c>
      <c r="C1050" s="7" t="s">
        <v>1063</v>
      </c>
      <c r="D1050" s="7" t="str">
        <f>"关业惠"</f>
        <v>关业惠</v>
      </c>
      <c r="E1050" s="7" t="str">
        <f t="shared" si="123"/>
        <v>女</v>
      </c>
      <c r="F1050" s="7" t="s">
        <v>1066</v>
      </c>
      <c r="G1050" s="7" t="s">
        <v>12</v>
      </c>
      <c r="H1050" s="7"/>
    </row>
    <row r="1051" s="3" customFormat="1" ht="14.25" customHeight="1" spans="1:8">
      <c r="A1051" s="7">
        <v>1048</v>
      </c>
      <c r="B1051" s="7" t="str">
        <f>"114020200328114517157504"</f>
        <v>114020200328114517157504</v>
      </c>
      <c r="C1051" s="7" t="s">
        <v>1063</v>
      </c>
      <c r="D1051" s="7" t="str">
        <f>"何银铃"</f>
        <v>何银铃</v>
      </c>
      <c r="E1051" s="7" t="str">
        <f t="shared" si="123"/>
        <v>女</v>
      </c>
      <c r="F1051" s="7" t="s">
        <v>1067</v>
      </c>
      <c r="G1051" s="7" t="s">
        <v>12</v>
      </c>
      <c r="H1051" s="7"/>
    </row>
    <row r="1052" s="3" customFormat="1" ht="14.25" customHeight="1" spans="1:8">
      <c r="A1052" s="7">
        <v>1049</v>
      </c>
      <c r="B1052" s="7" t="str">
        <f>"114020200329001257158180"</f>
        <v>114020200329001257158180</v>
      </c>
      <c r="C1052" s="7" t="s">
        <v>1063</v>
      </c>
      <c r="D1052" s="7" t="str">
        <f>"苏金兰"</f>
        <v>苏金兰</v>
      </c>
      <c r="E1052" s="7" t="str">
        <f t="shared" si="123"/>
        <v>女</v>
      </c>
      <c r="F1052" s="7" t="s">
        <v>1068</v>
      </c>
      <c r="G1052" s="7" t="s">
        <v>12</v>
      </c>
      <c r="H1052" s="7"/>
    </row>
    <row r="1053" s="3" customFormat="1" ht="14.25" customHeight="1" spans="1:8">
      <c r="A1053" s="7">
        <v>1050</v>
      </c>
      <c r="B1053" s="7" t="str">
        <f>"114020200329172145158525"</f>
        <v>114020200329172145158525</v>
      </c>
      <c r="C1053" s="7" t="s">
        <v>1063</v>
      </c>
      <c r="D1053" s="7" t="str">
        <f>"吴清旭"</f>
        <v>吴清旭</v>
      </c>
      <c r="E1053" s="7" t="str">
        <f>"男"</f>
        <v>男</v>
      </c>
      <c r="F1053" s="7" t="s">
        <v>1069</v>
      </c>
      <c r="G1053" s="7" t="s">
        <v>12</v>
      </c>
      <c r="H1053" s="7"/>
    </row>
    <row r="1054" s="3" customFormat="1" ht="14.25" customHeight="1" spans="1:8">
      <c r="A1054" s="7">
        <v>1051</v>
      </c>
      <c r="B1054" s="7" t="str">
        <f>"114020200329174545158535"</f>
        <v>114020200329174545158535</v>
      </c>
      <c r="C1054" s="7" t="s">
        <v>1063</v>
      </c>
      <c r="D1054" s="7" t="str">
        <f>"陈学慧"</f>
        <v>陈学慧</v>
      </c>
      <c r="E1054" s="7" t="str">
        <f t="shared" ref="E1054:E1057" si="124">"女"</f>
        <v>女</v>
      </c>
      <c r="F1054" s="7" t="s">
        <v>1070</v>
      </c>
      <c r="G1054" s="7" t="s">
        <v>12</v>
      </c>
      <c r="H1054" s="7"/>
    </row>
    <row r="1055" s="3" customFormat="1" ht="14.25" customHeight="1" spans="1:8">
      <c r="A1055" s="7">
        <v>1052</v>
      </c>
      <c r="B1055" s="7" t="str">
        <f>"114020200330095335158838"</f>
        <v>114020200330095335158838</v>
      </c>
      <c r="C1055" s="7" t="s">
        <v>1063</v>
      </c>
      <c r="D1055" s="7" t="str">
        <f>"郑扬玲"</f>
        <v>郑扬玲</v>
      </c>
      <c r="E1055" s="7" t="str">
        <f t="shared" si="124"/>
        <v>女</v>
      </c>
      <c r="F1055" s="7" t="s">
        <v>1071</v>
      </c>
      <c r="G1055" s="7" t="s">
        <v>12</v>
      </c>
      <c r="H1055" s="7"/>
    </row>
    <row r="1056" s="3" customFormat="1" ht="14.25" customHeight="1" spans="1:8">
      <c r="A1056" s="7">
        <v>1053</v>
      </c>
      <c r="B1056" s="7" t="str">
        <f>"114020200330105656158903"</f>
        <v>114020200330105656158903</v>
      </c>
      <c r="C1056" s="7" t="s">
        <v>1063</v>
      </c>
      <c r="D1056" s="7" t="str">
        <f>"陈志霞"</f>
        <v>陈志霞</v>
      </c>
      <c r="E1056" s="7" t="str">
        <f t="shared" si="124"/>
        <v>女</v>
      </c>
      <c r="F1056" s="7" t="s">
        <v>1072</v>
      </c>
      <c r="G1056" s="7" t="s">
        <v>12</v>
      </c>
      <c r="H1056" s="7"/>
    </row>
    <row r="1057" s="3" customFormat="1" ht="14.25" customHeight="1" spans="1:8">
      <c r="A1057" s="7">
        <v>1054</v>
      </c>
      <c r="B1057" s="7" t="str">
        <f>"114020200330164201159143"</f>
        <v>114020200330164201159143</v>
      </c>
      <c r="C1057" s="7" t="s">
        <v>1063</v>
      </c>
      <c r="D1057" s="7" t="str">
        <f>"薛梅娟"</f>
        <v>薛梅娟</v>
      </c>
      <c r="E1057" s="7" t="str">
        <f t="shared" si="124"/>
        <v>女</v>
      </c>
      <c r="F1057" s="7" t="s">
        <v>1073</v>
      </c>
      <c r="G1057" s="7" t="s">
        <v>12</v>
      </c>
      <c r="H1057" s="7"/>
    </row>
    <row r="1058" s="3" customFormat="1" ht="14.25" customHeight="1" spans="1:8">
      <c r="A1058" s="7">
        <v>1055</v>
      </c>
      <c r="B1058" s="7" t="str">
        <f>"114020200331092453159382"</f>
        <v>114020200331092453159382</v>
      </c>
      <c r="C1058" s="7" t="s">
        <v>1063</v>
      </c>
      <c r="D1058" s="7" t="str">
        <f>"陈冠"</f>
        <v>陈冠</v>
      </c>
      <c r="E1058" s="7" t="str">
        <f>"男"</f>
        <v>男</v>
      </c>
      <c r="F1058" s="7" t="s">
        <v>1074</v>
      </c>
      <c r="G1058" s="7" t="s">
        <v>12</v>
      </c>
      <c r="H1058" s="7"/>
    </row>
    <row r="1059" s="3" customFormat="1" ht="14.25" customHeight="1" spans="1:8">
      <c r="A1059" s="7">
        <v>1056</v>
      </c>
      <c r="B1059" s="7" t="str">
        <f>"114020200401115209159818"</f>
        <v>114020200401115209159818</v>
      </c>
      <c r="C1059" s="7" t="s">
        <v>1063</v>
      </c>
      <c r="D1059" s="7" t="str">
        <f>"曹宝元"</f>
        <v>曹宝元</v>
      </c>
      <c r="E1059" s="7" t="str">
        <f t="shared" ref="E1059:E1069" si="125">"女"</f>
        <v>女</v>
      </c>
      <c r="F1059" s="7" t="s">
        <v>1075</v>
      </c>
      <c r="G1059" s="7" t="s">
        <v>12</v>
      </c>
      <c r="H1059" s="7"/>
    </row>
    <row r="1060" s="3" customFormat="1" ht="14.25" customHeight="1" spans="1:8">
      <c r="A1060" s="7">
        <v>1057</v>
      </c>
      <c r="B1060" s="7" t="str">
        <f>"114020200402125743160165"</f>
        <v>114020200402125743160165</v>
      </c>
      <c r="C1060" s="7" t="s">
        <v>1063</v>
      </c>
      <c r="D1060" s="7" t="str">
        <f>"许玲玲"</f>
        <v>许玲玲</v>
      </c>
      <c r="E1060" s="7" t="str">
        <f t="shared" si="125"/>
        <v>女</v>
      </c>
      <c r="F1060" s="7" t="s">
        <v>1076</v>
      </c>
      <c r="G1060" s="7" t="s">
        <v>12</v>
      </c>
      <c r="H1060" s="7"/>
    </row>
    <row r="1061" s="3" customFormat="1" ht="14.25" customHeight="1" spans="1:8">
      <c r="A1061" s="7">
        <v>1058</v>
      </c>
      <c r="B1061" s="7" t="str">
        <f>"114020200402184753160271"</f>
        <v>114020200402184753160271</v>
      </c>
      <c r="C1061" s="7" t="s">
        <v>1063</v>
      </c>
      <c r="D1061" s="7" t="str">
        <f>"何爱敏"</f>
        <v>何爱敏</v>
      </c>
      <c r="E1061" s="7" t="str">
        <f t="shared" si="125"/>
        <v>女</v>
      </c>
      <c r="F1061" s="7" t="s">
        <v>1077</v>
      </c>
      <c r="G1061" s="7" t="s">
        <v>12</v>
      </c>
      <c r="H1061" s="7"/>
    </row>
    <row r="1062" s="3" customFormat="1" ht="14.25" customHeight="1" spans="1:8">
      <c r="A1062" s="7">
        <v>1059</v>
      </c>
      <c r="B1062" s="7" t="str">
        <f>"114020200403120951160433"</f>
        <v>114020200403120951160433</v>
      </c>
      <c r="C1062" s="7" t="s">
        <v>1063</v>
      </c>
      <c r="D1062" s="7" t="str">
        <f>"邢思曼"</f>
        <v>邢思曼</v>
      </c>
      <c r="E1062" s="7" t="str">
        <f t="shared" si="125"/>
        <v>女</v>
      </c>
      <c r="F1062" s="7" t="s">
        <v>1078</v>
      </c>
      <c r="G1062" s="7" t="s">
        <v>12</v>
      </c>
      <c r="H1062" s="7"/>
    </row>
    <row r="1063" s="3" customFormat="1" ht="14.25" customHeight="1" spans="1:8">
      <c r="A1063" s="7">
        <v>1060</v>
      </c>
      <c r="B1063" s="7" t="str">
        <f>"114020200403141655160462"</f>
        <v>114020200403141655160462</v>
      </c>
      <c r="C1063" s="7" t="s">
        <v>1063</v>
      </c>
      <c r="D1063" s="7" t="str">
        <f>"梁伶羽"</f>
        <v>梁伶羽</v>
      </c>
      <c r="E1063" s="7" t="str">
        <f t="shared" si="125"/>
        <v>女</v>
      </c>
      <c r="F1063" s="7" t="s">
        <v>1079</v>
      </c>
      <c r="G1063" s="7" t="s">
        <v>12</v>
      </c>
      <c r="H1063" s="7"/>
    </row>
    <row r="1064" s="3" customFormat="1" ht="14.25" customHeight="1" spans="1:8">
      <c r="A1064" s="7">
        <v>1061</v>
      </c>
      <c r="B1064" s="7" t="str">
        <f>"114020200403144523160472"</f>
        <v>114020200403144523160472</v>
      </c>
      <c r="C1064" s="7" t="s">
        <v>1063</v>
      </c>
      <c r="D1064" s="7" t="str">
        <f>"符清"</f>
        <v>符清</v>
      </c>
      <c r="E1064" s="7" t="str">
        <f t="shared" si="125"/>
        <v>女</v>
      </c>
      <c r="F1064" s="7" t="s">
        <v>1080</v>
      </c>
      <c r="G1064" s="7" t="s">
        <v>12</v>
      </c>
      <c r="H1064" s="7"/>
    </row>
    <row r="1065" s="3" customFormat="1" ht="14.25" customHeight="1" spans="1:8">
      <c r="A1065" s="7">
        <v>1062</v>
      </c>
      <c r="B1065" s="7" t="str">
        <f>"114020200403182006160525"</f>
        <v>114020200403182006160525</v>
      </c>
      <c r="C1065" s="7" t="s">
        <v>1063</v>
      </c>
      <c r="D1065" s="7" t="str">
        <f>"邢惠媚"</f>
        <v>邢惠媚</v>
      </c>
      <c r="E1065" s="7" t="str">
        <f t="shared" si="125"/>
        <v>女</v>
      </c>
      <c r="F1065" s="7" t="s">
        <v>1081</v>
      </c>
      <c r="G1065" s="7" t="s">
        <v>12</v>
      </c>
      <c r="H1065" s="7"/>
    </row>
    <row r="1066" s="3" customFormat="1" ht="14.25" customHeight="1" spans="1:8">
      <c r="A1066" s="7">
        <v>1063</v>
      </c>
      <c r="B1066" s="7" t="str">
        <f>"114020200405185641160927"</f>
        <v>114020200405185641160927</v>
      </c>
      <c r="C1066" s="7" t="s">
        <v>1063</v>
      </c>
      <c r="D1066" s="7" t="str">
        <f>"吴春梅"</f>
        <v>吴春梅</v>
      </c>
      <c r="E1066" s="7" t="str">
        <f t="shared" si="125"/>
        <v>女</v>
      </c>
      <c r="F1066" s="7" t="s">
        <v>1082</v>
      </c>
      <c r="G1066" s="7" t="s">
        <v>12</v>
      </c>
      <c r="H1066" s="7"/>
    </row>
    <row r="1067" s="3" customFormat="1" ht="14.25" customHeight="1" spans="1:8">
      <c r="A1067" s="7">
        <v>1064</v>
      </c>
      <c r="B1067" s="7" t="str">
        <f>"114020200405205626160971"</f>
        <v>114020200405205626160971</v>
      </c>
      <c r="C1067" s="7" t="s">
        <v>1063</v>
      </c>
      <c r="D1067" s="7" t="str">
        <f>"杨冰"</f>
        <v>杨冰</v>
      </c>
      <c r="E1067" s="7" t="str">
        <f t="shared" si="125"/>
        <v>女</v>
      </c>
      <c r="F1067" s="7" t="s">
        <v>1083</v>
      </c>
      <c r="G1067" s="7" t="s">
        <v>12</v>
      </c>
      <c r="H1067" s="7"/>
    </row>
    <row r="1068" s="3" customFormat="1" ht="14.25" customHeight="1" spans="1:8">
      <c r="A1068" s="7">
        <v>1065</v>
      </c>
      <c r="B1068" s="7" t="str">
        <f>"114020200406100624161098"</f>
        <v>114020200406100624161098</v>
      </c>
      <c r="C1068" s="7" t="s">
        <v>1063</v>
      </c>
      <c r="D1068" s="7" t="str">
        <f>"王金雅"</f>
        <v>王金雅</v>
      </c>
      <c r="E1068" s="7" t="str">
        <f t="shared" si="125"/>
        <v>女</v>
      </c>
      <c r="F1068" s="7" t="s">
        <v>1084</v>
      </c>
      <c r="G1068" s="7" t="s">
        <v>12</v>
      </c>
      <c r="H1068" s="7"/>
    </row>
    <row r="1069" s="3" customFormat="1" ht="14.25" customHeight="1" spans="1:8">
      <c r="A1069" s="7">
        <v>1066</v>
      </c>
      <c r="B1069" s="7" t="str">
        <f>"114020200328090246157136"</f>
        <v>114020200328090246157136</v>
      </c>
      <c r="C1069" s="7" t="s">
        <v>1085</v>
      </c>
      <c r="D1069" s="7" t="str">
        <f>"林亚妹"</f>
        <v>林亚妹</v>
      </c>
      <c r="E1069" s="7" t="str">
        <f t="shared" si="125"/>
        <v>女</v>
      </c>
      <c r="F1069" s="7" t="s">
        <v>1086</v>
      </c>
      <c r="G1069" s="7" t="s">
        <v>12</v>
      </c>
      <c r="H1069" s="7"/>
    </row>
    <row r="1070" s="3" customFormat="1" ht="14.25" customHeight="1" spans="1:8">
      <c r="A1070" s="7">
        <v>1067</v>
      </c>
      <c r="B1070" s="7" t="str">
        <f>"114020200328091255157165"</f>
        <v>114020200328091255157165</v>
      </c>
      <c r="C1070" s="7" t="s">
        <v>1085</v>
      </c>
      <c r="D1070" s="7" t="str">
        <f>"冯吉"</f>
        <v>冯吉</v>
      </c>
      <c r="E1070" s="7" t="str">
        <f>"男"</f>
        <v>男</v>
      </c>
      <c r="F1070" s="7" t="s">
        <v>1087</v>
      </c>
      <c r="G1070" s="7" t="s">
        <v>12</v>
      </c>
      <c r="H1070" s="7"/>
    </row>
    <row r="1071" s="3" customFormat="1" ht="14.25" customHeight="1" spans="1:8">
      <c r="A1071" s="7">
        <v>1068</v>
      </c>
      <c r="B1071" s="7" t="str">
        <f>"114020200328092649157196"</f>
        <v>114020200328092649157196</v>
      </c>
      <c r="C1071" s="7" t="s">
        <v>1085</v>
      </c>
      <c r="D1071" s="7" t="str">
        <f>"吴坤胄"</f>
        <v>吴坤胄</v>
      </c>
      <c r="E1071" s="7" t="str">
        <f>"男"</f>
        <v>男</v>
      </c>
      <c r="F1071" s="7" t="s">
        <v>1088</v>
      </c>
      <c r="G1071" s="7" t="s">
        <v>12</v>
      </c>
      <c r="H1071" s="7"/>
    </row>
    <row r="1072" s="3" customFormat="1" ht="14.25" customHeight="1" spans="1:8">
      <c r="A1072" s="7">
        <v>1069</v>
      </c>
      <c r="B1072" s="7" t="str">
        <f>"114020200328092726157198"</f>
        <v>114020200328092726157198</v>
      </c>
      <c r="C1072" s="7" t="s">
        <v>1085</v>
      </c>
      <c r="D1072" s="7" t="str">
        <f>"林永琪"</f>
        <v>林永琪</v>
      </c>
      <c r="E1072" s="7" t="str">
        <f t="shared" ref="E1072:E1087" si="126">"女"</f>
        <v>女</v>
      </c>
      <c r="F1072" s="7" t="s">
        <v>1089</v>
      </c>
      <c r="G1072" s="7" t="s">
        <v>12</v>
      </c>
      <c r="H1072" s="7"/>
    </row>
    <row r="1073" s="3" customFormat="1" ht="14.25" customHeight="1" spans="1:8">
      <c r="A1073" s="7">
        <v>1070</v>
      </c>
      <c r="B1073" s="7" t="str">
        <f>"114020200328093731157221"</f>
        <v>114020200328093731157221</v>
      </c>
      <c r="C1073" s="7" t="s">
        <v>1085</v>
      </c>
      <c r="D1073" s="7" t="str">
        <f>"符妹丽"</f>
        <v>符妹丽</v>
      </c>
      <c r="E1073" s="7" t="str">
        <f t="shared" si="126"/>
        <v>女</v>
      </c>
      <c r="F1073" s="7" t="s">
        <v>1090</v>
      </c>
      <c r="G1073" s="7" t="s">
        <v>12</v>
      </c>
      <c r="H1073" s="7"/>
    </row>
    <row r="1074" s="3" customFormat="1" ht="14.25" customHeight="1" spans="1:8">
      <c r="A1074" s="7">
        <v>1071</v>
      </c>
      <c r="B1074" s="7" t="str">
        <f>"114020200328101801157324"</f>
        <v>114020200328101801157324</v>
      </c>
      <c r="C1074" s="7" t="s">
        <v>1085</v>
      </c>
      <c r="D1074" s="7" t="str">
        <f>"黄小娟"</f>
        <v>黄小娟</v>
      </c>
      <c r="E1074" s="7" t="str">
        <f t="shared" si="126"/>
        <v>女</v>
      </c>
      <c r="F1074" s="7" t="s">
        <v>1091</v>
      </c>
      <c r="G1074" s="7" t="s">
        <v>12</v>
      </c>
      <c r="H1074" s="7"/>
    </row>
    <row r="1075" s="3" customFormat="1" ht="14.25" customHeight="1" spans="1:8">
      <c r="A1075" s="7">
        <v>1072</v>
      </c>
      <c r="B1075" s="7" t="str">
        <f>"114020200328101812157325"</f>
        <v>114020200328101812157325</v>
      </c>
      <c r="C1075" s="7" t="s">
        <v>1085</v>
      </c>
      <c r="D1075" s="7" t="str">
        <f>"吴菁"</f>
        <v>吴菁</v>
      </c>
      <c r="E1075" s="7" t="str">
        <f t="shared" si="126"/>
        <v>女</v>
      </c>
      <c r="F1075" s="7" t="s">
        <v>1092</v>
      </c>
      <c r="G1075" s="7" t="s">
        <v>12</v>
      </c>
      <c r="H1075" s="7"/>
    </row>
    <row r="1076" s="3" customFormat="1" ht="14.25" customHeight="1" spans="1:8">
      <c r="A1076" s="7">
        <v>1073</v>
      </c>
      <c r="B1076" s="7" t="str">
        <f>"114020200328101913157330"</f>
        <v>114020200328101913157330</v>
      </c>
      <c r="C1076" s="7" t="s">
        <v>1085</v>
      </c>
      <c r="D1076" s="7" t="str">
        <f>"黎昌柳"</f>
        <v>黎昌柳</v>
      </c>
      <c r="E1076" s="7" t="str">
        <f t="shared" si="126"/>
        <v>女</v>
      </c>
      <c r="F1076" s="7" t="s">
        <v>1093</v>
      </c>
      <c r="G1076" s="7" t="s">
        <v>12</v>
      </c>
      <c r="H1076" s="7"/>
    </row>
    <row r="1077" s="3" customFormat="1" ht="14.25" customHeight="1" spans="1:8">
      <c r="A1077" s="7">
        <v>1074</v>
      </c>
      <c r="B1077" s="7" t="str">
        <f>"114020200328103013157358"</f>
        <v>114020200328103013157358</v>
      </c>
      <c r="C1077" s="7" t="s">
        <v>1085</v>
      </c>
      <c r="D1077" s="7" t="str">
        <f>"张燕"</f>
        <v>张燕</v>
      </c>
      <c r="E1077" s="7" t="str">
        <f t="shared" si="126"/>
        <v>女</v>
      </c>
      <c r="F1077" s="7" t="s">
        <v>473</v>
      </c>
      <c r="G1077" s="7" t="s">
        <v>12</v>
      </c>
      <c r="H1077" s="7"/>
    </row>
    <row r="1078" s="3" customFormat="1" ht="14.25" customHeight="1" spans="1:8">
      <c r="A1078" s="7">
        <v>1075</v>
      </c>
      <c r="B1078" s="7" t="str">
        <f>"114020200328104408157382"</f>
        <v>114020200328104408157382</v>
      </c>
      <c r="C1078" s="7" t="s">
        <v>1085</v>
      </c>
      <c r="D1078" s="7" t="str">
        <f>"李小驳"</f>
        <v>李小驳</v>
      </c>
      <c r="E1078" s="7" t="str">
        <f t="shared" si="126"/>
        <v>女</v>
      </c>
      <c r="F1078" s="7" t="s">
        <v>1094</v>
      </c>
      <c r="G1078" s="7" t="s">
        <v>12</v>
      </c>
      <c r="H1078" s="7"/>
    </row>
    <row r="1079" s="3" customFormat="1" ht="14.25" customHeight="1" spans="1:8">
      <c r="A1079" s="7">
        <v>1076</v>
      </c>
      <c r="B1079" s="7" t="str">
        <f>"114020200328104630157390"</f>
        <v>114020200328104630157390</v>
      </c>
      <c r="C1079" s="7" t="s">
        <v>1085</v>
      </c>
      <c r="D1079" s="7" t="str">
        <f>"陈花香"</f>
        <v>陈花香</v>
      </c>
      <c r="E1079" s="7" t="str">
        <f t="shared" si="126"/>
        <v>女</v>
      </c>
      <c r="F1079" s="7" t="s">
        <v>1095</v>
      </c>
      <c r="G1079" s="7" t="s">
        <v>12</v>
      </c>
      <c r="H1079" s="7"/>
    </row>
    <row r="1080" s="3" customFormat="1" ht="14.25" customHeight="1" spans="1:8">
      <c r="A1080" s="7">
        <v>1077</v>
      </c>
      <c r="B1080" s="7" t="str">
        <f>"114020200328110344157427"</f>
        <v>114020200328110344157427</v>
      </c>
      <c r="C1080" s="7" t="s">
        <v>1085</v>
      </c>
      <c r="D1080" s="7" t="str">
        <f>"黄蕾"</f>
        <v>黄蕾</v>
      </c>
      <c r="E1080" s="7" t="str">
        <f t="shared" si="126"/>
        <v>女</v>
      </c>
      <c r="F1080" s="7" t="s">
        <v>1096</v>
      </c>
      <c r="G1080" s="7" t="s">
        <v>12</v>
      </c>
      <c r="H1080" s="7"/>
    </row>
    <row r="1081" s="3" customFormat="1" ht="14.25" customHeight="1" spans="1:8">
      <c r="A1081" s="7">
        <v>1078</v>
      </c>
      <c r="B1081" s="7" t="str">
        <f>"114020200328110509157429"</f>
        <v>114020200328110509157429</v>
      </c>
      <c r="C1081" s="7" t="s">
        <v>1085</v>
      </c>
      <c r="D1081" s="7" t="str">
        <f>"吴慧"</f>
        <v>吴慧</v>
      </c>
      <c r="E1081" s="7" t="str">
        <f t="shared" si="126"/>
        <v>女</v>
      </c>
      <c r="F1081" s="7" t="s">
        <v>1097</v>
      </c>
      <c r="G1081" s="7" t="s">
        <v>12</v>
      </c>
      <c r="H1081" s="7"/>
    </row>
    <row r="1082" s="3" customFormat="1" ht="14.25" customHeight="1" spans="1:8">
      <c r="A1082" s="7">
        <v>1079</v>
      </c>
      <c r="B1082" s="7" t="str">
        <f>"114020200328111704157458"</f>
        <v>114020200328111704157458</v>
      </c>
      <c r="C1082" s="7" t="s">
        <v>1085</v>
      </c>
      <c r="D1082" s="7" t="str">
        <f>"文学虹"</f>
        <v>文学虹</v>
      </c>
      <c r="E1082" s="7" t="str">
        <f t="shared" si="126"/>
        <v>女</v>
      </c>
      <c r="F1082" s="7" t="s">
        <v>1098</v>
      </c>
      <c r="G1082" s="7" t="s">
        <v>12</v>
      </c>
      <c r="H1082" s="7"/>
    </row>
    <row r="1083" s="3" customFormat="1" ht="14.25" customHeight="1" spans="1:8">
      <c r="A1083" s="7">
        <v>1080</v>
      </c>
      <c r="B1083" s="7" t="str">
        <f>"114020200328113547157487"</f>
        <v>114020200328113547157487</v>
      </c>
      <c r="C1083" s="7" t="s">
        <v>1085</v>
      </c>
      <c r="D1083" s="7" t="str">
        <f>"陈美爱"</f>
        <v>陈美爱</v>
      </c>
      <c r="E1083" s="7" t="str">
        <f t="shared" si="126"/>
        <v>女</v>
      </c>
      <c r="F1083" s="7" t="s">
        <v>1099</v>
      </c>
      <c r="G1083" s="7" t="s">
        <v>12</v>
      </c>
      <c r="H1083" s="7"/>
    </row>
    <row r="1084" s="3" customFormat="1" ht="14.25" customHeight="1" spans="1:8">
      <c r="A1084" s="7">
        <v>1081</v>
      </c>
      <c r="B1084" s="7" t="str">
        <f>"114020200328113614157489"</f>
        <v>114020200328113614157489</v>
      </c>
      <c r="C1084" s="7" t="s">
        <v>1085</v>
      </c>
      <c r="D1084" s="7" t="str">
        <f>"许虹燕"</f>
        <v>许虹燕</v>
      </c>
      <c r="E1084" s="7" t="str">
        <f t="shared" si="126"/>
        <v>女</v>
      </c>
      <c r="F1084" s="7" t="s">
        <v>1100</v>
      </c>
      <c r="G1084" s="7" t="s">
        <v>12</v>
      </c>
      <c r="H1084" s="7"/>
    </row>
    <row r="1085" s="3" customFormat="1" ht="14.25" customHeight="1" spans="1:8">
      <c r="A1085" s="7">
        <v>1082</v>
      </c>
      <c r="B1085" s="7" t="str">
        <f>"114020200328115250157518"</f>
        <v>114020200328115250157518</v>
      </c>
      <c r="C1085" s="7" t="s">
        <v>1085</v>
      </c>
      <c r="D1085" s="7" t="str">
        <f>"吴伟花"</f>
        <v>吴伟花</v>
      </c>
      <c r="E1085" s="7" t="str">
        <f t="shared" si="126"/>
        <v>女</v>
      </c>
      <c r="F1085" s="7" t="s">
        <v>1101</v>
      </c>
      <c r="G1085" s="7" t="s">
        <v>12</v>
      </c>
      <c r="H1085" s="7"/>
    </row>
    <row r="1086" s="3" customFormat="1" ht="14.25" customHeight="1" spans="1:8">
      <c r="A1086" s="7">
        <v>1083</v>
      </c>
      <c r="B1086" s="7" t="str">
        <f>"114020200328115822157530"</f>
        <v>114020200328115822157530</v>
      </c>
      <c r="C1086" s="7" t="s">
        <v>1085</v>
      </c>
      <c r="D1086" s="7" t="str">
        <f>"符薰涵"</f>
        <v>符薰涵</v>
      </c>
      <c r="E1086" s="7" t="str">
        <f t="shared" si="126"/>
        <v>女</v>
      </c>
      <c r="F1086" s="7" t="s">
        <v>1102</v>
      </c>
      <c r="G1086" s="7" t="s">
        <v>12</v>
      </c>
      <c r="H1086" s="7"/>
    </row>
    <row r="1087" s="3" customFormat="1" ht="14.25" customHeight="1" spans="1:8">
      <c r="A1087" s="7">
        <v>1084</v>
      </c>
      <c r="B1087" s="7" t="str">
        <f>"114020200328121033157553"</f>
        <v>114020200328121033157553</v>
      </c>
      <c r="C1087" s="7" t="s">
        <v>1085</v>
      </c>
      <c r="D1087" s="7" t="str">
        <f>"黄雪"</f>
        <v>黄雪</v>
      </c>
      <c r="E1087" s="7" t="str">
        <f t="shared" si="126"/>
        <v>女</v>
      </c>
      <c r="F1087" s="7" t="s">
        <v>1103</v>
      </c>
      <c r="G1087" s="7" t="s">
        <v>12</v>
      </c>
      <c r="H1087" s="7"/>
    </row>
    <row r="1088" s="3" customFormat="1" ht="14.25" customHeight="1" spans="1:8">
      <c r="A1088" s="7">
        <v>1085</v>
      </c>
      <c r="B1088" s="7" t="str">
        <f>"114020200328121255157558"</f>
        <v>114020200328121255157558</v>
      </c>
      <c r="C1088" s="7" t="s">
        <v>1085</v>
      </c>
      <c r="D1088" s="7" t="str">
        <f>"王发辉"</f>
        <v>王发辉</v>
      </c>
      <c r="E1088" s="7" t="str">
        <f>"男"</f>
        <v>男</v>
      </c>
      <c r="F1088" s="7" t="s">
        <v>1104</v>
      </c>
      <c r="G1088" s="7" t="s">
        <v>12</v>
      </c>
      <c r="H1088" s="7"/>
    </row>
    <row r="1089" s="3" customFormat="1" ht="14.25" customHeight="1" spans="1:8">
      <c r="A1089" s="7">
        <v>1086</v>
      </c>
      <c r="B1089" s="7" t="str">
        <f>"114020200328121414157560"</f>
        <v>114020200328121414157560</v>
      </c>
      <c r="C1089" s="7" t="s">
        <v>1085</v>
      </c>
      <c r="D1089" s="7" t="str">
        <f>"李笔婷"</f>
        <v>李笔婷</v>
      </c>
      <c r="E1089" s="7" t="str">
        <f t="shared" ref="E1089:E1099" si="127">"女"</f>
        <v>女</v>
      </c>
      <c r="F1089" s="7" t="s">
        <v>1105</v>
      </c>
      <c r="G1089" s="7" t="s">
        <v>12</v>
      </c>
      <c r="H1089" s="7"/>
    </row>
    <row r="1090" s="3" customFormat="1" ht="14.25" customHeight="1" spans="1:8">
      <c r="A1090" s="7">
        <v>1087</v>
      </c>
      <c r="B1090" s="7" t="str">
        <f>"114020200328122053157572"</f>
        <v>114020200328122053157572</v>
      </c>
      <c r="C1090" s="7" t="s">
        <v>1085</v>
      </c>
      <c r="D1090" s="7" t="str">
        <f>"李殿丽"</f>
        <v>李殿丽</v>
      </c>
      <c r="E1090" s="7" t="str">
        <f t="shared" si="127"/>
        <v>女</v>
      </c>
      <c r="F1090" s="7" t="s">
        <v>1106</v>
      </c>
      <c r="G1090" s="7" t="s">
        <v>12</v>
      </c>
      <c r="H1090" s="7"/>
    </row>
    <row r="1091" s="3" customFormat="1" ht="14.25" customHeight="1" spans="1:8">
      <c r="A1091" s="7">
        <v>1088</v>
      </c>
      <c r="B1091" s="7" t="str">
        <f>"114020200328122132157577"</f>
        <v>114020200328122132157577</v>
      </c>
      <c r="C1091" s="7" t="s">
        <v>1085</v>
      </c>
      <c r="D1091" s="7" t="str">
        <f>"赵武妮"</f>
        <v>赵武妮</v>
      </c>
      <c r="E1091" s="7" t="str">
        <f t="shared" si="127"/>
        <v>女</v>
      </c>
      <c r="F1091" s="7" t="s">
        <v>1107</v>
      </c>
      <c r="G1091" s="7" t="s">
        <v>12</v>
      </c>
      <c r="H1091" s="7"/>
    </row>
    <row r="1092" s="3" customFormat="1" ht="14.25" customHeight="1" spans="1:8">
      <c r="A1092" s="7">
        <v>1089</v>
      </c>
      <c r="B1092" s="7" t="str">
        <f>"114020200328124856157624"</f>
        <v>114020200328124856157624</v>
      </c>
      <c r="C1092" s="7" t="s">
        <v>1085</v>
      </c>
      <c r="D1092" s="7" t="str">
        <f>"邓翠柳"</f>
        <v>邓翠柳</v>
      </c>
      <c r="E1092" s="7" t="str">
        <f t="shared" si="127"/>
        <v>女</v>
      </c>
      <c r="F1092" s="7" t="s">
        <v>1108</v>
      </c>
      <c r="G1092" s="7" t="s">
        <v>12</v>
      </c>
      <c r="H1092" s="7"/>
    </row>
    <row r="1093" s="3" customFormat="1" ht="14.25" customHeight="1" spans="1:8">
      <c r="A1093" s="7">
        <v>1090</v>
      </c>
      <c r="B1093" s="7" t="str">
        <f>"114020200328130054157638"</f>
        <v>114020200328130054157638</v>
      </c>
      <c r="C1093" s="7" t="s">
        <v>1085</v>
      </c>
      <c r="D1093" s="7" t="str">
        <f>"周诗磊"</f>
        <v>周诗磊</v>
      </c>
      <c r="E1093" s="7" t="str">
        <f t="shared" si="127"/>
        <v>女</v>
      </c>
      <c r="F1093" s="7" t="s">
        <v>1109</v>
      </c>
      <c r="G1093" s="7" t="s">
        <v>12</v>
      </c>
      <c r="H1093" s="7"/>
    </row>
    <row r="1094" s="3" customFormat="1" ht="14.25" customHeight="1" spans="1:8">
      <c r="A1094" s="7">
        <v>1091</v>
      </c>
      <c r="B1094" s="7" t="str">
        <f>"114020200328131537157660"</f>
        <v>114020200328131537157660</v>
      </c>
      <c r="C1094" s="7" t="s">
        <v>1085</v>
      </c>
      <c r="D1094" s="7" t="str">
        <f>"王引转"</f>
        <v>王引转</v>
      </c>
      <c r="E1094" s="7" t="str">
        <f t="shared" si="127"/>
        <v>女</v>
      </c>
      <c r="F1094" s="7" t="s">
        <v>1110</v>
      </c>
      <c r="G1094" s="7" t="s">
        <v>12</v>
      </c>
      <c r="H1094" s="7"/>
    </row>
    <row r="1095" s="3" customFormat="1" ht="14.25" customHeight="1" spans="1:8">
      <c r="A1095" s="7">
        <v>1092</v>
      </c>
      <c r="B1095" s="7" t="str">
        <f>"114020200328133845157693"</f>
        <v>114020200328133845157693</v>
      </c>
      <c r="C1095" s="7" t="s">
        <v>1085</v>
      </c>
      <c r="D1095" s="7" t="str">
        <f>"陈小霞"</f>
        <v>陈小霞</v>
      </c>
      <c r="E1095" s="7" t="str">
        <f t="shared" si="127"/>
        <v>女</v>
      </c>
      <c r="F1095" s="7" t="s">
        <v>1111</v>
      </c>
      <c r="G1095" s="7" t="s">
        <v>12</v>
      </c>
      <c r="H1095" s="7"/>
    </row>
    <row r="1096" s="3" customFormat="1" ht="14.25" customHeight="1" spans="1:8">
      <c r="A1096" s="7">
        <v>1093</v>
      </c>
      <c r="B1096" s="7" t="str">
        <f>"114020200328135212157710"</f>
        <v>114020200328135212157710</v>
      </c>
      <c r="C1096" s="7" t="s">
        <v>1085</v>
      </c>
      <c r="D1096" s="7" t="str">
        <f>"叶玉会"</f>
        <v>叶玉会</v>
      </c>
      <c r="E1096" s="7" t="str">
        <f t="shared" si="127"/>
        <v>女</v>
      </c>
      <c r="F1096" s="7" t="s">
        <v>1112</v>
      </c>
      <c r="G1096" s="7" t="s">
        <v>12</v>
      </c>
      <c r="H1096" s="7"/>
    </row>
    <row r="1097" s="3" customFormat="1" ht="14.25" customHeight="1" spans="1:8">
      <c r="A1097" s="7">
        <v>1094</v>
      </c>
      <c r="B1097" s="7" t="str">
        <f>"114020200328141059157729"</f>
        <v>114020200328141059157729</v>
      </c>
      <c r="C1097" s="7" t="s">
        <v>1085</v>
      </c>
      <c r="D1097" s="7" t="str">
        <f>"赵媛媛"</f>
        <v>赵媛媛</v>
      </c>
      <c r="E1097" s="7" t="str">
        <f t="shared" si="127"/>
        <v>女</v>
      </c>
      <c r="F1097" s="7" t="s">
        <v>1113</v>
      </c>
      <c r="G1097" s="7" t="s">
        <v>12</v>
      </c>
      <c r="H1097" s="7"/>
    </row>
    <row r="1098" s="3" customFormat="1" ht="14.25" customHeight="1" spans="1:8">
      <c r="A1098" s="7">
        <v>1095</v>
      </c>
      <c r="B1098" s="7" t="str">
        <f>"114020200328151147157777"</f>
        <v>114020200328151147157777</v>
      </c>
      <c r="C1098" s="7" t="s">
        <v>1085</v>
      </c>
      <c r="D1098" s="7" t="str">
        <f>"符晓燕"</f>
        <v>符晓燕</v>
      </c>
      <c r="E1098" s="7" t="str">
        <f t="shared" si="127"/>
        <v>女</v>
      </c>
      <c r="F1098" s="7" t="s">
        <v>1114</v>
      </c>
      <c r="G1098" s="7" t="s">
        <v>12</v>
      </c>
      <c r="H1098" s="7"/>
    </row>
    <row r="1099" s="3" customFormat="1" ht="14.25" customHeight="1" spans="1:8">
      <c r="A1099" s="7">
        <v>1096</v>
      </c>
      <c r="B1099" s="7" t="str">
        <f>"114020200328152146157791"</f>
        <v>114020200328152146157791</v>
      </c>
      <c r="C1099" s="7" t="s">
        <v>1085</v>
      </c>
      <c r="D1099" s="7" t="str">
        <f>"张雅婷"</f>
        <v>张雅婷</v>
      </c>
      <c r="E1099" s="7" t="str">
        <f t="shared" si="127"/>
        <v>女</v>
      </c>
      <c r="F1099" s="7" t="s">
        <v>1115</v>
      </c>
      <c r="G1099" s="7" t="s">
        <v>12</v>
      </c>
      <c r="H1099" s="7"/>
    </row>
    <row r="1100" s="3" customFormat="1" ht="14.25" customHeight="1" spans="1:8">
      <c r="A1100" s="7">
        <v>1097</v>
      </c>
      <c r="B1100" s="7" t="str">
        <f>"114020200328153940157810"</f>
        <v>114020200328153940157810</v>
      </c>
      <c r="C1100" s="7" t="s">
        <v>1085</v>
      </c>
      <c r="D1100" s="7" t="str">
        <f>"陈元冲"</f>
        <v>陈元冲</v>
      </c>
      <c r="E1100" s="7" t="str">
        <f>"男"</f>
        <v>男</v>
      </c>
      <c r="F1100" s="7" t="s">
        <v>1116</v>
      </c>
      <c r="G1100" s="7" t="s">
        <v>12</v>
      </c>
      <c r="H1100" s="7"/>
    </row>
    <row r="1101" s="3" customFormat="1" ht="14.25" customHeight="1" spans="1:8">
      <c r="A1101" s="7">
        <v>1098</v>
      </c>
      <c r="B1101" s="7" t="str">
        <f>"114020200328160617157836"</f>
        <v>114020200328160617157836</v>
      </c>
      <c r="C1101" s="7" t="s">
        <v>1085</v>
      </c>
      <c r="D1101" s="7" t="str">
        <f>"冯叶尖"</f>
        <v>冯叶尖</v>
      </c>
      <c r="E1101" s="7" t="str">
        <f t="shared" ref="E1101:E1130" si="128">"女"</f>
        <v>女</v>
      </c>
      <c r="F1101" s="7" t="s">
        <v>1117</v>
      </c>
      <c r="G1101" s="7" t="s">
        <v>12</v>
      </c>
      <c r="H1101" s="7"/>
    </row>
    <row r="1102" s="3" customFormat="1" ht="14.25" customHeight="1" spans="1:8">
      <c r="A1102" s="7">
        <v>1099</v>
      </c>
      <c r="B1102" s="7" t="str">
        <f>"114020200328162502157854"</f>
        <v>114020200328162502157854</v>
      </c>
      <c r="C1102" s="7" t="s">
        <v>1085</v>
      </c>
      <c r="D1102" s="7" t="str">
        <f>"符有永"</f>
        <v>符有永</v>
      </c>
      <c r="E1102" s="7" t="str">
        <f t="shared" si="128"/>
        <v>女</v>
      </c>
      <c r="F1102" s="7" t="s">
        <v>1118</v>
      </c>
      <c r="G1102" s="7" t="s">
        <v>12</v>
      </c>
      <c r="H1102" s="7"/>
    </row>
    <row r="1103" s="3" customFormat="1" ht="14.25" customHeight="1" spans="1:8">
      <c r="A1103" s="7">
        <v>1100</v>
      </c>
      <c r="B1103" s="7" t="str">
        <f>"114020200328163855157872"</f>
        <v>114020200328163855157872</v>
      </c>
      <c r="C1103" s="7" t="s">
        <v>1085</v>
      </c>
      <c r="D1103" s="7" t="str">
        <f>"钟财"</f>
        <v>钟财</v>
      </c>
      <c r="E1103" s="7" t="str">
        <f>"男"</f>
        <v>男</v>
      </c>
      <c r="F1103" s="7" t="s">
        <v>1119</v>
      </c>
      <c r="G1103" s="7" t="s">
        <v>12</v>
      </c>
      <c r="H1103" s="7"/>
    </row>
    <row r="1104" s="3" customFormat="1" ht="14.25" customHeight="1" spans="1:8">
      <c r="A1104" s="7">
        <v>1101</v>
      </c>
      <c r="B1104" s="7" t="str">
        <f>"114020200328164143157875"</f>
        <v>114020200328164143157875</v>
      </c>
      <c r="C1104" s="7" t="s">
        <v>1085</v>
      </c>
      <c r="D1104" s="7" t="str">
        <f>"陈万顽"</f>
        <v>陈万顽</v>
      </c>
      <c r="E1104" s="7" t="str">
        <f t="shared" si="128"/>
        <v>女</v>
      </c>
      <c r="F1104" s="7" t="s">
        <v>1120</v>
      </c>
      <c r="G1104" s="7" t="s">
        <v>12</v>
      </c>
      <c r="H1104" s="7"/>
    </row>
    <row r="1105" s="3" customFormat="1" ht="14.25" customHeight="1" spans="1:8">
      <c r="A1105" s="7">
        <v>1102</v>
      </c>
      <c r="B1105" s="7" t="str">
        <f>"114020200328164546157882"</f>
        <v>114020200328164546157882</v>
      </c>
      <c r="C1105" s="7" t="s">
        <v>1085</v>
      </c>
      <c r="D1105" s="7" t="str">
        <f>"符学晶"</f>
        <v>符学晶</v>
      </c>
      <c r="E1105" s="7" t="str">
        <f t="shared" si="128"/>
        <v>女</v>
      </c>
      <c r="F1105" s="7" t="s">
        <v>1121</v>
      </c>
      <c r="G1105" s="7" t="s">
        <v>12</v>
      </c>
      <c r="H1105" s="7"/>
    </row>
    <row r="1106" s="3" customFormat="1" ht="14.25" customHeight="1" spans="1:8">
      <c r="A1106" s="7">
        <v>1103</v>
      </c>
      <c r="B1106" s="7" t="str">
        <f>"114020200328170856157898"</f>
        <v>114020200328170856157898</v>
      </c>
      <c r="C1106" s="7" t="s">
        <v>1085</v>
      </c>
      <c r="D1106" s="7" t="str">
        <f>"郑志芳"</f>
        <v>郑志芳</v>
      </c>
      <c r="E1106" s="7" t="str">
        <f t="shared" si="128"/>
        <v>女</v>
      </c>
      <c r="F1106" s="7" t="s">
        <v>1122</v>
      </c>
      <c r="G1106" s="7" t="s">
        <v>12</v>
      </c>
      <c r="H1106" s="7"/>
    </row>
    <row r="1107" s="3" customFormat="1" ht="14.25" customHeight="1" spans="1:8">
      <c r="A1107" s="7">
        <v>1104</v>
      </c>
      <c r="B1107" s="7" t="str">
        <f>"114020200328173955157925"</f>
        <v>114020200328173955157925</v>
      </c>
      <c r="C1107" s="7" t="s">
        <v>1085</v>
      </c>
      <c r="D1107" s="7" t="str">
        <f>"陈娇丽"</f>
        <v>陈娇丽</v>
      </c>
      <c r="E1107" s="7" t="str">
        <f t="shared" si="128"/>
        <v>女</v>
      </c>
      <c r="F1107" s="7" t="s">
        <v>1123</v>
      </c>
      <c r="G1107" s="7" t="s">
        <v>12</v>
      </c>
      <c r="H1107" s="7"/>
    </row>
    <row r="1108" s="3" customFormat="1" ht="14.25" customHeight="1" spans="1:8">
      <c r="A1108" s="7">
        <v>1105</v>
      </c>
      <c r="B1108" s="7" t="str">
        <f>"114020200328202731158044"</f>
        <v>114020200328202731158044</v>
      </c>
      <c r="C1108" s="7" t="s">
        <v>1085</v>
      </c>
      <c r="D1108" s="7" t="str">
        <f>"林燕"</f>
        <v>林燕</v>
      </c>
      <c r="E1108" s="7" t="str">
        <f t="shared" si="128"/>
        <v>女</v>
      </c>
      <c r="F1108" s="7" t="s">
        <v>1124</v>
      </c>
      <c r="G1108" s="7" t="s">
        <v>12</v>
      </c>
      <c r="H1108" s="7"/>
    </row>
    <row r="1109" s="3" customFormat="1" ht="14.25" customHeight="1" spans="1:8">
      <c r="A1109" s="7">
        <v>1106</v>
      </c>
      <c r="B1109" s="7" t="str">
        <f>"114020200328204237158054"</f>
        <v>114020200328204237158054</v>
      </c>
      <c r="C1109" s="7" t="s">
        <v>1085</v>
      </c>
      <c r="D1109" s="7" t="str">
        <f>"符丽婷"</f>
        <v>符丽婷</v>
      </c>
      <c r="E1109" s="7" t="str">
        <f t="shared" si="128"/>
        <v>女</v>
      </c>
      <c r="F1109" s="7" t="s">
        <v>1125</v>
      </c>
      <c r="G1109" s="7" t="s">
        <v>12</v>
      </c>
      <c r="H1109" s="7"/>
    </row>
    <row r="1110" s="3" customFormat="1" ht="14.25" customHeight="1" spans="1:8">
      <c r="A1110" s="7">
        <v>1107</v>
      </c>
      <c r="B1110" s="7" t="str">
        <f>"114020200328210405158073"</f>
        <v>114020200328210405158073</v>
      </c>
      <c r="C1110" s="7" t="s">
        <v>1085</v>
      </c>
      <c r="D1110" s="7" t="str">
        <f>"符倩芬"</f>
        <v>符倩芬</v>
      </c>
      <c r="E1110" s="7" t="str">
        <f t="shared" si="128"/>
        <v>女</v>
      </c>
      <c r="F1110" s="7" t="s">
        <v>1126</v>
      </c>
      <c r="G1110" s="7" t="s">
        <v>12</v>
      </c>
      <c r="H1110" s="7"/>
    </row>
    <row r="1111" s="3" customFormat="1" ht="14.25" customHeight="1" spans="1:8">
      <c r="A1111" s="7">
        <v>1108</v>
      </c>
      <c r="B1111" s="7" t="str">
        <f>"114020200328213305158098"</f>
        <v>114020200328213305158098</v>
      </c>
      <c r="C1111" s="7" t="s">
        <v>1085</v>
      </c>
      <c r="D1111" s="7" t="str">
        <f>"吴芳娃"</f>
        <v>吴芳娃</v>
      </c>
      <c r="E1111" s="7" t="str">
        <f t="shared" si="128"/>
        <v>女</v>
      </c>
      <c r="F1111" s="7" t="s">
        <v>1127</v>
      </c>
      <c r="G1111" s="7" t="s">
        <v>12</v>
      </c>
      <c r="H1111" s="7"/>
    </row>
    <row r="1112" s="3" customFormat="1" ht="14.25" customHeight="1" spans="1:8">
      <c r="A1112" s="7">
        <v>1109</v>
      </c>
      <c r="B1112" s="7" t="str">
        <f>"114020200328220715158120"</f>
        <v>114020200328220715158120</v>
      </c>
      <c r="C1112" s="7" t="s">
        <v>1085</v>
      </c>
      <c r="D1112" s="7" t="str">
        <f>"甘金婷"</f>
        <v>甘金婷</v>
      </c>
      <c r="E1112" s="7" t="str">
        <f t="shared" si="128"/>
        <v>女</v>
      </c>
      <c r="F1112" s="7" t="s">
        <v>1128</v>
      </c>
      <c r="G1112" s="7" t="s">
        <v>12</v>
      </c>
      <c r="H1112" s="7"/>
    </row>
    <row r="1113" s="3" customFormat="1" ht="14.25" customHeight="1" spans="1:8">
      <c r="A1113" s="7">
        <v>1110</v>
      </c>
      <c r="B1113" s="7" t="str">
        <f>"114020200328221415158122"</f>
        <v>114020200328221415158122</v>
      </c>
      <c r="C1113" s="7" t="s">
        <v>1085</v>
      </c>
      <c r="D1113" s="7" t="str">
        <f>"裴美珠"</f>
        <v>裴美珠</v>
      </c>
      <c r="E1113" s="7" t="str">
        <f t="shared" si="128"/>
        <v>女</v>
      </c>
      <c r="F1113" s="7" t="s">
        <v>1129</v>
      </c>
      <c r="G1113" s="7" t="s">
        <v>12</v>
      </c>
      <c r="H1113" s="7"/>
    </row>
    <row r="1114" s="3" customFormat="1" ht="14.25" customHeight="1" spans="1:8">
      <c r="A1114" s="7">
        <v>1111</v>
      </c>
      <c r="B1114" s="7" t="str">
        <f>"114020200328222857158133"</f>
        <v>114020200328222857158133</v>
      </c>
      <c r="C1114" s="7" t="s">
        <v>1085</v>
      </c>
      <c r="D1114" s="7" t="str">
        <f>"卢燕玲"</f>
        <v>卢燕玲</v>
      </c>
      <c r="E1114" s="7" t="str">
        <f t="shared" si="128"/>
        <v>女</v>
      </c>
      <c r="F1114" s="7" t="s">
        <v>1130</v>
      </c>
      <c r="G1114" s="7" t="s">
        <v>12</v>
      </c>
      <c r="H1114" s="7"/>
    </row>
    <row r="1115" s="3" customFormat="1" ht="14.25" customHeight="1" spans="1:8">
      <c r="A1115" s="7">
        <v>1112</v>
      </c>
      <c r="B1115" s="7" t="str">
        <f>"114020200328224517158147"</f>
        <v>114020200328224517158147</v>
      </c>
      <c r="C1115" s="7" t="s">
        <v>1085</v>
      </c>
      <c r="D1115" s="7" t="str">
        <f>"陈焕坤"</f>
        <v>陈焕坤</v>
      </c>
      <c r="E1115" s="7" t="str">
        <f t="shared" si="128"/>
        <v>女</v>
      </c>
      <c r="F1115" s="7" t="s">
        <v>1131</v>
      </c>
      <c r="G1115" s="7" t="s">
        <v>12</v>
      </c>
      <c r="H1115" s="7"/>
    </row>
    <row r="1116" s="3" customFormat="1" ht="14.25" customHeight="1" spans="1:8">
      <c r="A1116" s="7">
        <v>1113</v>
      </c>
      <c r="B1116" s="7" t="str">
        <f>"114020200328225248158152"</f>
        <v>114020200328225248158152</v>
      </c>
      <c r="C1116" s="7" t="s">
        <v>1085</v>
      </c>
      <c r="D1116" s="7" t="str">
        <f>"董嫦娱"</f>
        <v>董嫦娱</v>
      </c>
      <c r="E1116" s="7" t="str">
        <f t="shared" si="128"/>
        <v>女</v>
      </c>
      <c r="F1116" s="7" t="s">
        <v>1132</v>
      </c>
      <c r="G1116" s="7" t="s">
        <v>12</v>
      </c>
      <c r="H1116" s="7"/>
    </row>
    <row r="1117" s="3" customFormat="1" ht="14.25" customHeight="1" spans="1:8">
      <c r="A1117" s="7">
        <v>1114</v>
      </c>
      <c r="B1117" s="7" t="str">
        <f>"114020200328235534158174"</f>
        <v>114020200328235534158174</v>
      </c>
      <c r="C1117" s="7" t="s">
        <v>1085</v>
      </c>
      <c r="D1117" s="7" t="str">
        <f>"温小英"</f>
        <v>温小英</v>
      </c>
      <c r="E1117" s="7" t="str">
        <f t="shared" si="128"/>
        <v>女</v>
      </c>
      <c r="F1117" s="7" t="s">
        <v>1133</v>
      </c>
      <c r="G1117" s="7" t="s">
        <v>12</v>
      </c>
      <c r="H1117" s="7"/>
    </row>
    <row r="1118" s="3" customFormat="1" ht="14.25" customHeight="1" spans="1:8">
      <c r="A1118" s="7">
        <v>1115</v>
      </c>
      <c r="B1118" s="7" t="str">
        <f>"114020200329082805158200"</f>
        <v>114020200329082805158200</v>
      </c>
      <c r="C1118" s="7" t="s">
        <v>1085</v>
      </c>
      <c r="D1118" s="7" t="str">
        <f>"吴婉妃"</f>
        <v>吴婉妃</v>
      </c>
      <c r="E1118" s="7" t="str">
        <f t="shared" si="128"/>
        <v>女</v>
      </c>
      <c r="F1118" s="7" t="s">
        <v>1134</v>
      </c>
      <c r="G1118" s="7" t="s">
        <v>12</v>
      </c>
      <c r="H1118" s="7"/>
    </row>
    <row r="1119" s="3" customFormat="1" ht="14.25" customHeight="1" spans="1:8">
      <c r="A1119" s="7">
        <v>1116</v>
      </c>
      <c r="B1119" s="7" t="str">
        <f>"114020200329092017158221"</f>
        <v>114020200329092017158221</v>
      </c>
      <c r="C1119" s="7" t="s">
        <v>1085</v>
      </c>
      <c r="D1119" s="7" t="str">
        <f>"黄福萍"</f>
        <v>黄福萍</v>
      </c>
      <c r="E1119" s="7" t="str">
        <f t="shared" si="128"/>
        <v>女</v>
      </c>
      <c r="F1119" s="7" t="s">
        <v>1135</v>
      </c>
      <c r="G1119" s="7" t="s">
        <v>12</v>
      </c>
      <c r="H1119" s="7"/>
    </row>
    <row r="1120" s="3" customFormat="1" ht="14.25" customHeight="1" spans="1:8">
      <c r="A1120" s="7">
        <v>1117</v>
      </c>
      <c r="B1120" s="7" t="str">
        <f>"114020200329092216158223"</f>
        <v>114020200329092216158223</v>
      </c>
      <c r="C1120" s="7" t="s">
        <v>1085</v>
      </c>
      <c r="D1120" s="7" t="str">
        <f>"马玉礼"</f>
        <v>马玉礼</v>
      </c>
      <c r="E1120" s="7" t="str">
        <f t="shared" si="128"/>
        <v>女</v>
      </c>
      <c r="F1120" s="7" t="s">
        <v>1136</v>
      </c>
      <c r="G1120" s="7" t="s">
        <v>12</v>
      </c>
      <c r="H1120" s="7"/>
    </row>
    <row r="1121" s="3" customFormat="1" ht="14.25" customHeight="1" spans="1:8">
      <c r="A1121" s="7">
        <v>1118</v>
      </c>
      <c r="B1121" s="7" t="str">
        <f>"114020200329100226158243"</f>
        <v>114020200329100226158243</v>
      </c>
      <c r="C1121" s="7" t="s">
        <v>1085</v>
      </c>
      <c r="D1121" s="7" t="str">
        <f>"汪艳婷"</f>
        <v>汪艳婷</v>
      </c>
      <c r="E1121" s="7" t="str">
        <f t="shared" si="128"/>
        <v>女</v>
      </c>
      <c r="F1121" s="7" t="s">
        <v>1137</v>
      </c>
      <c r="G1121" s="7" t="s">
        <v>12</v>
      </c>
      <c r="H1121" s="7"/>
    </row>
    <row r="1122" s="3" customFormat="1" ht="14.25" customHeight="1" spans="1:8">
      <c r="A1122" s="7">
        <v>1119</v>
      </c>
      <c r="B1122" s="7" t="str">
        <f>"114020200329101543158255"</f>
        <v>114020200329101543158255</v>
      </c>
      <c r="C1122" s="7" t="s">
        <v>1085</v>
      </c>
      <c r="D1122" s="7" t="str">
        <f>"李永芬"</f>
        <v>李永芬</v>
      </c>
      <c r="E1122" s="7" t="str">
        <f t="shared" si="128"/>
        <v>女</v>
      </c>
      <c r="F1122" s="7" t="s">
        <v>1138</v>
      </c>
      <c r="G1122" s="7" t="s">
        <v>12</v>
      </c>
      <c r="H1122" s="7"/>
    </row>
    <row r="1123" s="3" customFormat="1" ht="14.25" customHeight="1" spans="1:8">
      <c r="A1123" s="7">
        <v>1120</v>
      </c>
      <c r="B1123" s="7" t="str">
        <f>"114020200329102529158267"</f>
        <v>114020200329102529158267</v>
      </c>
      <c r="C1123" s="7" t="s">
        <v>1085</v>
      </c>
      <c r="D1123" s="7" t="str">
        <f>"林晓芬"</f>
        <v>林晓芬</v>
      </c>
      <c r="E1123" s="7" t="str">
        <f t="shared" si="128"/>
        <v>女</v>
      </c>
      <c r="F1123" s="7" t="s">
        <v>1139</v>
      </c>
      <c r="G1123" s="7" t="s">
        <v>12</v>
      </c>
      <c r="H1123" s="7"/>
    </row>
    <row r="1124" s="3" customFormat="1" ht="14.25" customHeight="1" spans="1:8">
      <c r="A1124" s="7">
        <v>1121</v>
      </c>
      <c r="B1124" s="7" t="str">
        <f>"114020200329103403158273"</f>
        <v>114020200329103403158273</v>
      </c>
      <c r="C1124" s="7" t="s">
        <v>1085</v>
      </c>
      <c r="D1124" s="7" t="str">
        <f>"高娟"</f>
        <v>高娟</v>
      </c>
      <c r="E1124" s="7" t="str">
        <f t="shared" si="128"/>
        <v>女</v>
      </c>
      <c r="F1124" s="7" t="s">
        <v>1140</v>
      </c>
      <c r="G1124" s="7" t="s">
        <v>12</v>
      </c>
      <c r="H1124" s="7"/>
    </row>
    <row r="1125" s="3" customFormat="1" ht="14.25" customHeight="1" spans="1:8">
      <c r="A1125" s="7">
        <v>1122</v>
      </c>
      <c r="B1125" s="7" t="str">
        <f>"114020200329104151158285"</f>
        <v>114020200329104151158285</v>
      </c>
      <c r="C1125" s="7" t="s">
        <v>1085</v>
      </c>
      <c r="D1125" s="7" t="str">
        <f>"李攀"</f>
        <v>李攀</v>
      </c>
      <c r="E1125" s="7" t="str">
        <f t="shared" si="128"/>
        <v>女</v>
      </c>
      <c r="F1125" s="7" t="s">
        <v>1141</v>
      </c>
      <c r="G1125" s="7" t="s">
        <v>12</v>
      </c>
      <c r="H1125" s="7"/>
    </row>
    <row r="1126" s="3" customFormat="1" ht="14.25" customHeight="1" spans="1:8">
      <c r="A1126" s="7">
        <v>1123</v>
      </c>
      <c r="B1126" s="7" t="str">
        <f>"114020200329111106158312"</f>
        <v>114020200329111106158312</v>
      </c>
      <c r="C1126" s="7" t="s">
        <v>1085</v>
      </c>
      <c r="D1126" s="7" t="str">
        <f>"张锦芳"</f>
        <v>张锦芳</v>
      </c>
      <c r="E1126" s="7" t="str">
        <f t="shared" si="128"/>
        <v>女</v>
      </c>
      <c r="F1126" s="7" t="s">
        <v>1142</v>
      </c>
      <c r="G1126" s="7" t="s">
        <v>12</v>
      </c>
      <c r="H1126" s="7"/>
    </row>
    <row r="1127" s="3" customFormat="1" ht="14.25" customHeight="1" spans="1:8">
      <c r="A1127" s="7">
        <v>1124</v>
      </c>
      <c r="B1127" s="7" t="str">
        <f>"114020200329121534158358"</f>
        <v>114020200329121534158358</v>
      </c>
      <c r="C1127" s="7" t="s">
        <v>1085</v>
      </c>
      <c r="D1127" s="7" t="str">
        <f>"何秀姬"</f>
        <v>何秀姬</v>
      </c>
      <c r="E1127" s="7" t="str">
        <f t="shared" si="128"/>
        <v>女</v>
      </c>
      <c r="F1127" s="7" t="s">
        <v>1143</v>
      </c>
      <c r="G1127" s="7" t="s">
        <v>12</v>
      </c>
      <c r="H1127" s="7"/>
    </row>
    <row r="1128" s="3" customFormat="1" ht="14.25" customHeight="1" spans="1:8">
      <c r="A1128" s="7">
        <v>1125</v>
      </c>
      <c r="B1128" s="7" t="str">
        <f>"114020200329124336158375"</f>
        <v>114020200329124336158375</v>
      </c>
      <c r="C1128" s="7" t="s">
        <v>1085</v>
      </c>
      <c r="D1128" s="7" t="str">
        <f>"李珍妮"</f>
        <v>李珍妮</v>
      </c>
      <c r="E1128" s="7" t="str">
        <f t="shared" si="128"/>
        <v>女</v>
      </c>
      <c r="F1128" s="7" t="s">
        <v>1144</v>
      </c>
      <c r="G1128" s="7" t="s">
        <v>12</v>
      </c>
      <c r="H1128" s="7"/>
    </row>
    <row r="1129" s="3" customFormat="1" ht="14.25" customHeight="1" spans="1:8">
      <c r="A1129" s="7">
        <v>1126</v>
      </c>
      <c r="B1129" s="7" t="str">
        <f>"114020200329132601158407"</f>
        <v>114020200329132601158407</v>
      </c>
      <c r="C1129" s="7" t="s">
        <v>1085</v>
      </c>
      <c r="D1129" s="7" t="str">
        <f>"林琪"</f>
        <v>林琪</v>
      </c>
      <c r="E1129" s="7" t="str">
        <f t="shared" si="128"/>
        <v>女</v>
      </c>
      <c r="F1129" s="7" t="s">
        <v>1145</v>
      </c>
      <c r="G1129" s="7" t="s">
        <v>12</v>
      </c>
      <c r="H1129" s="7"/>
    </row>
    <row r="1130" s="3" customFormat="1" ht="14.25" customHeight="1" spans="1:8">
      <c r="A1130" s="7">
        <v>1127</v>
      </c>
      <c r="B1130" s="7" t="str">
        <f>"114020200329140424158425"</f>
        <v>114020200329140424158425</v>
      </c>
      <c r="C1130" s="7" t="s">
        <v>1085</v>
      </c>
      <c r="D1130" s="7" t="str">
        <f>"符芳玲"</f>
        <v>符芳玲</v>
      </c>
      <c r="E1130" s="7" t="str">
        <f t="shared" si="128"/>
        <v>女</v>
      </c>
      <c r="F1130" s="7" t="s">
        <v>1146</v>
      </c>
      <c r="G1130" s="7" t="s">
        <v>12</v>
      </c>
      <c r="H1130" s="7"/>
    </row>
    <row r="1131" s="3" customFormat="1" ht="14.25" customHeight="1" spans="1:8">
      <c r="A1131" s="7">
        <v>1128</v>
      </c>
      <c r="B1131" s="7" t="str">
        <f>"114020200329141610158431"</f>
        <v>114020200329141610158431</v>
      </c>
      <c r="C1131" s="7" t="s">
        <v>1085</v>
      </c>
      <c r="D1131" s="7" t="str">
        <f>"文世波"</f>
        <v>文世波</v>
      </c>
      <c r="E1131" s="7" t="str">
        <f>"男"</f>
        <v>男</v>
      </c>
      <c r="F1131" s="7" t="s">
        <v>1147</v>
      </c>
      <c r="G1131" s="7" t="s">
        <v>12</v>
      </c>
      <c r="H1131" s="7"/>
    </row>
    <row r="1132" s="3" customFormat="1" ht="14.25" customHeight="1" spans="1:8">
      <c r="A1132" s="7">
        <v>1129</v>
      </c>
      <c r="B1132" s="7" t="str">
        <f>"114020200329154508158468"</f>
        <v>114020200329154508158468</v>
      </c>
      <c r="C1132" s="7" t="s">
        <v>1085</v>
      </c>
      <c r="D1132" s="7" t="str">
        <f>"麦代乾"</f>
        <v>麦代乾</v>
      </c>
      <c r="E1132" s="7" t="str">
        <f t="shared" ref="E1132:E1195" si="129">"女"</f>
        <v>女</v>
      </c>
      <c r="F1132" s="7" t="s">
        <v>1148</v>
      </c>
      <c r="G1132" s="7" t="s">
        <v>12</v>
      </c>
      <c r="H1132" s="7"/>
    </row>
    <row r="1133" s="3" customFormat="1" ht="14.25" customHeight="1" spans="1:8">
      <c r="A1133" s="7">
        <v>1130</v>
      </c>
      <c r="B1133" s="7" t="str">
        <f>"114020200329155107158471"</f>
        <v>114020200329155107158471</v>
      </c>
      <c r="C1133" s="7" t="s">
        <v>1085</v>
      </c>
      <c r="D1133" s="7" t="str">
        <f>"王大莉"</f>
        <v>王大莉</v>
      </c>
      <c r="E1133" s="7" t="str">
        <f t="shared" si="129"/>
        <v>女</v>
      </c>
      <c r="F1133" s="7" t="s">
        <v>1149</v>
      </c>
      <c r="G1133" s="7" t="s">
        <v>12</v>
      </c>
      <c r="H1133" s="7"/>
    </row>
    <row r="1134" s="3" customFormat="1" ht="14.25" customHeight="1" spans="1:8">
      <c r="A1134" s="7">
        <v>1131</v>
      </c>
      <c r="B1134" s="7" t="str">
        <f>"114020200329155424158473"</f>
        <v>114020200329155424158473</v>
      </c>
      <c r="C1134" s="7" t="s">
        <v>1085</v>
      </c>
      <c r="D1134" s="7" t="str">
        <f>"叶芷苗"</f>
        <v>叶芷苗</v>
      </c>
      <c r="E1134" s="7" t="str">
        <f t="shared" si="129"/>
        <v>女</v>
      </c>
      <c r="F1134" s="7" t="s">
        <v>1150</v>
      </c>
      <c r="G1134" s="7" t="s">
        <v>12</v>
      </c>
      <c r="H1134" s="7"/>
    </row>
    <row r="1135" s="3" customFormat="1" ht="14.25" customHeight="1" spans="1:8">
      <c r="A1135" s="7">
        <v>1132</v>
      </c>
      <c r="B1135" s="7" t="str">
        <f>"114020200329155616158474"</f>
        <v>114020200329155616158474</v>
      </c>
      <c r="C1135" s="7" t="s">
        <v>1085</v>
      </c>
      <c r="D1135" s="7" t="str">
        <f>"程婉雯"</f>
        <v>程婉雯</v>
      </c>
      <c r="E1135" s="7" t="str">
        <f t="shared" si="129"/>
        <v>女</v>
      </c>
      <c r="F1135" s="7" t="s">
        <v>1151</v>
      </c>
      <c r="G1135" s="7" t="s">
        <v>12</v>
      </c>
      <c r="H1135" s="7"/>
    </row>
    <row r="1136" s="3" customFormat="1" ht="14.25" customHeight="1" spans="1:8">
      <c r="A1136" s="7">
        <v>1133</v>
      </c>
      <c r="B1136" s="7" t="str">
        <f>"114020200329160201158476"</f>
        <v>114020200329160201158476</v>
      </c>
      <c r="C1136" s="7" t="s">
        <v>1085</v>
      </c>
      <c r="D1136" s="7" t="str">
        <f>"陈漂"</f>
        <v>陈漂</v>
      </c>
      <c r="E1136" s="7" t="str">
        <f t="shared" si="129"/>
        <v>女</v>
      </c>
      <c r="F1136" s="7" t="s">
        <v>1152</v>
      </c>
      <c r="G1136" s="7" t="s">
        <v>12</v>
      </c>
      <c r="H1136" s="7"/>
    </row>
    <row r="1137" s="3" customFormat="1" ht="14.25" customHeight="1" spans="1:8">
      <c r="A1137" s="7">
        <v>1134</v>
      </c>
      <c r="B1137" s="7" t="str">
        <f>"114020200329163750158496"</f>
        <v>114020200329163750158496</v>
      </c>
      <c r="C1137" s="7" t="s">
        <v>1085</v>
      </c>
      <c r="D1137" s="7" t="str">
        <f>"陈雪珠"</f>
        <v>陈雪珠</v>
      </c>
      <c r="E1137" s="7" t="str">
        <f t="shared" si="129"/>
        <v>女</v>
      </c>
      <c r="F1137" s="7" t="s">
        <v>1153</v>
      </c>
      <c r="G1137" s="7" t="s">
        <v>12</v>
      </c>
      <c r="H1137" s="7"/>
    </row>
    <row r="1138" s="3" customFormat="1" ht="14.25" customHeight="1" spans="1:8">
      <c r="A1138" s="7">
        <v>1135</v>
      </c>
      <c r="B1138" s="7" t="str">
        <f>"114020200329170851158517"</f>
        <v>114020200329170851158517</v>
      </c>
      <c r="C1138" s="7" t="s">
        <v>1085</v>
      </c>
      <c r="D1138" s="7" t="str">
        <f>"谢浩玲"</f>
        <v>谢浩玲</v>
      </c>
      <c r="E1138" s="7" t="str">
        <f t="shared" si="129"/>
        <v>女</v>
      </c>
      <c r="F1138" s="7" t="s">
        <v>1154</v>
      </c>
      <c r="G1138" s="7" t="s">
        <v>12</v>
      </c>
      <c r="H1138" s="7"/>
    </row>
    <row r="1139" s="3" customFormat="1" ht="14.25" customHeight="1" spans="1:8">
      <c r="A1139" s="7">
        <v>1136</v>
      </c>
      <c r="B1139" s="7" t="str">
        <f>"114020200329185615158570"</f>
        <v>114020200329185615158570</v>
      </c>
      <c r="C1139" s="7" t="s">
        <v>1085</v>
      </c>
      <c r="D1139" s="7" t="str">
        <f>"李琳琳"</f>
        <v>李琳琳</v>
      </c>
      <c r="E1139" s="7" t="str">
        <f t="shared" si="129"/>
        <v>女</v>
      </c>
      <c r="F1139" s="7" t="s">
        <v>1155</v>
      </c>
      <c r="G1139" s="7" t="s">
        <v>12</v>
      </c>
      <c r="H1139" s="7"/>
    </row>
    <row r="1140" s="3" customFormat="1" ht="14.25" customHeight="1" spans="1:8">
      <c r="A1140" s="7">
        <v>1137</v>
      </c>
      <c r="B1140" s="7" t="str">
        <f>"114020200329191122158578"</f>
        <v>114020200329191122158578</v>
      </c>
      <c r="C1140" s="7" t="s">
        <v>1085</v>
      </c>
      <c r="D1140" s="7" t="str">
        <f>"张香香"</f>
        <v>张香香</v>
      </c>
      <c r="E1140" s="7" t="str">
        <f t="shared" si="129"/>
        <v>女</v>
      </c>
      <c r="F1140" s="7" t="s">
        <v>1156</v>
      </c>
      <c r="G1140" s="7" t="s">
        <v>12</v>
      </c>
      <c r="H1140" s="7"/>
    </row>
    <row r="1141" s="3" customFormat="1" ht="14.25" customHeight="1" spans="1:8">
      <c r="A1141" s="7">
        <v>1138</v>
      </c>
      <c r="B1141" s="7" t="str">
        <f>"114020200329200016158602"</f>
        <v>114020200329200016158602</v>
      </c>
      <c r="C1141" s="7" t="s">
        <v>1085</v>
      </c>
      <c r="D1141" s="7" t="str">
        <f>"吉瑜婷"</f>
        <v>吉瑜婷</v>
      </c>
      <c r="E1141" s="7" t="str">
        <f t="shared" si="129"/>
        <v>女</v>
      </c>
      <c r="F1141" s="7" t="s">
        <v>1157</v>
      </c>
      <c r="G1141" s="7" t="s">
        <v>12</v>
      </c>
      <c r="H1141" s="7"/>
    </row>
    <row r="1142" s="3" customFormat="1" ht="14.25" customHeight="1" spans="1:8">
      <c r="A1142" s="7">
        <v>1139</v>
      </c>
      <c r="B1142" s="7" t="str">
        <f>"114020200329203206158625"</f>
        <v>114020200329203206158625</v>
      </c>
      <c r="C1142" s="7" t="s">
        <v>1085</v>
      </c>
      <c r="D1142" s="7" t="str">
        <f>"符克芳"</f>
        <v>符克芳</v>
      </c>
      <c r="E1142" s="7" t="str">
        <f t="shared" si="129"/>
        <v>女</v>
      </c>
      <c r="F1142" s="7" t="s">
        <v>1158</v>
      </c>
      <c r="G1142" s="7" t="s">
        <v>12</v>
      </c>
      <c r="H1142" s="7"/>
    </row>
    <row r="1143" s="3" customFormat="1" ht="14.25" customHeight="1" spans="1:8">
      <c r="A1143" s="7">
        <v>1140</v>
      </c>
      <c r="B1143" s="7" t="str">
        <f>"114020200329203826158629"</f>
        <v>114020200329203826158629</v>
      </c>
      <c r="C1143" s="7" t="s">
        <v>1085</v>
      </c>
      <c r="D1143" s="7" t="str">
        <f>"朱美丽"</f>
        <v>朱美丽</v>
      </c>
      <c r="E1143" s="7" t="str">
        <f t="shared" si="129"/>
        <v>女</v>
      </c>
      <c r="F1143" s="7" t="s">
        <v>1159</v>
      </c>
      <c r="G1143" s="7" t="s">
        <v>12</v>
      </c>
      <c r="H1143" s="7"/>
    </row>
    <row r="1144" s="3" customFormat="1" ht="14.25" customHeight="1" spans="1:8">
      <c r="A1144" s="7">
        <v>1141</v>
      </c>
      <c r="B1144" s="7" t="str">
        <f>"114020200329214540158678"</f>
        <v>114020200329214540158678</v>
      </c>
      <c r="C1144" s="7" t="s">
        <v>1085</v>
      </c>
      <c r="D1144" s="7" t="str">
        <f>"王锡霞"</f>
        <v>王锡霞</v>
      </c>
      <c r="E1144" s="7" t="str">
        <f t="shared" si="129"/>
        <v>女</v>
      </c>
      <c r="F1144" s="7" t="s">
        <v>1160</v>
      </c>
      <c r="G1144" s="7" t="s">
        <v>12</v>
      </c>
      <c r="H1144" s="7"/>
    </row>
    <row r="1145" s="3" customFormat="1" ht="14.25" customHeight="1" spans="1:8">
      <c r="A1145" s="7">
        <v>1142</v>
      </c>
      <c r="B1145" s="7" t="str">
        <f>"114020200329222427158702"</f>
        <v>114020200329222427158702</v>
      </c>
      <c r="C1145" s="7" t="s">
        <v>1085</v>
      </c>
      <c r="D1145" s="7" t="str">
        <f>"符金花"</f>
        <v>符金花</v>
      </c>
      <c r="E1145" s="7" t="str">
        <f t="shared" si="129"/>
        <v>女</v>
      </c>
      <c r="F1145" s="7" t="s">
        <v>1161</v>
      </c>
      <c r="G1145" s="7" t="s">
        <v>12</v>
      </c>
      <c r="H1145" s="7"/>
    </row>
    <row r="1146" s="3" customFormat="1" ht="14.25" customHeight="1" spans="1:8">
      <c r="A1146" s="7">
        <v>1143</v>
      </c>
      <c r="B1146" s="7" t="str">
        <f>"114020200329231546158732"</f>
        <v>114020200329231546158732</v>
      </c>
      <c r="C1146" s="7" t="s">
        <v>1085</v>
      </c>
      <c r="D1146" s="7" t="str">
        <f>"薛美玲"</f>
        <v>薛美玲</v>
      </c>
      <c r="E1146" s="7" t="str">
        <f t="shared" si="129"/>
        <v>女</v>
      </c>
      <c r="F1146" s="7" t="s">
        <v>1162</v>
      </c>
      <c r="G1146" s="7" t="s">
        <v>12</v>
      </c>
      <c r="H1146" s="7"/>
    </row>
    <row r="1147" s="3" customFormat="1" ht="14.25" customHeight="1" spans="1:8">
      <c r="A1147" s="7">
        <v>1144</v>
      </c>
      <c r="B1147" s="7" t="str">
        <f>"114020200330093648158816"</f>
        <v>114020200330093648158816</v>
      </c>
      <c r="C1147" s="7" t="s">
        <v>1085</v>
      </c>
      <c r="D1147" s="7" t="str">
        <f>"杨中妹"</f>
        <v>杨中妹</v>
      </c>
      <c r="E1147" s="7" t="str">
        <f t="shared" si="129"/>
        <v>女</v>
      </c>
      <c r="F1147" s="7" t="s">
        <v>1163</v>
      </c>
      <c r="G1147" s="7" t="s">
        <v>12</v>
      </c>
      <c r="H1147" s="7"/>
    </row>
    <row r="1148" s="3" customFormat="1" ht="14.25" customHeight="1" spans="1:8">
      <c r="A1148" s="7">
        <v>1145</v>
      </c>
      <c r="B1148" s="7" t="str">
        <f>"114020200330095718158844"</f>
        <v>114020200330095718158844</v>
      </c>
      <c r="C1148" s="7" t="s">
        <v>1085</v>
      </c>
      <c r="D1148" s="7" t="str">
        <f>"林萍萍"</f>
        <v>林萍萍</v>
      </c>
      <c r="E1148" s="7" t="str">
        <f t="shared" si="129"/>
        <v>女</v>
      </c>
      <c r="F1148" s="7" t="s">
        <v>1164</v>
      </c>
      <c r="G1148" s="7" t="s">
        <v>12</v>
      </c>
      <c r="H1148" s="7"/>
    </row>
    <row r="1149" s="3" customFormat="1" ht="14.25" customHeight="1" spans="1:8">
      <c r="A1149" s="7">
        <v>1146</v>
      </c>
      <c r="B1149" s="7" t="str">
        <f>"114020200330103034158875"</f>
        <v>114020200330103034158875</v>
      </c>
      <c r="C1149" s="7" t="s">
        <v>1085</v>
      </c>
      <c r="D1149" s="7" t="str">
        <f>"麦娜"</f>
        <v>麦娜</v>
      </c>
      <c r="E1149" s="7" t="str">
        <f t="shared" si="129"/>
        <v>女</v>
      </c>
      <c r="F1149" s="7" t="s">
        <v>1165</v>
      </c>
      <c r="G1149" s="7" t="s">
        <v>12</v>
      </c>
      <c r="H1149" s="7"/>
    </row>
    <row r="1150" s="3" customFormat="1" ht="14.25" customHeight="1" spans="1:8">
      <c r="A1150" s="7">
        <v>1147</v>
      </c>
      <c r="B1150" s="7" t="str">
        <f>"114020200330104515158885"</f>
        <v>114020200330104515158885</v>
      </c>
      <c r="C1150" s="7" t="s">
        <v>1085</v>
      </c>
      <c r="D1150" s="7" t="str">
        <f>"曾秀爱"</f>
        <v>曾秀爱</v>
      </c>
      <c r="E1150" s="7" t="str">
        <f t="shared" si="129"/>
        <v>女</v>
      </c>
      <c r="F1150" s="7" t="s">
        <v>1166</v>
      </c>
      <c r="G1150" s="7" t="s">
        <v>12</v>
      </c>
      <c r="H1150" s="7"/>
    </row>
    <row r="1151" s="3" customFormat="1" ht="14.25" customHeight="1" spans="1:8">
      <c r="A1151" s="7">
        <v>1148</v>
      </c>
      <c r="B1151" s="7" t="str">
        <f>"114020200330110442158910"</f>
        <v>114020200330110442158910</v>
      </c>
      <c r="C1151" s="7" t="s">
        <v>1085</v>
      </c>
      <c r="D1151" s="7" t="str">
        <f>"关江盈"</f>
        <v>关江盈</v>
      </c>
      <c r="E1151" s="7" t="str">
        <f t="shared" si="129"/>
        <v>女</v>
      </c>
      <c r="F1151" s="7" t="s">
        <v>1167</v>
      </c>
      <c r="G1151" s="7" t="s">
        <v>12</v>
      </c>
      <c r="H1151" s="7"/>
    </row>
    <row r="1152" s="3" customFormat="1" ht="14.25" customHeight="1" spans="1:8">
      <c r="A1152" s="7">
        <v>1149</v>
      </c>
      <c r="B1152" s="7" t="str">
        <f>"114020200330113352158935"</f>
        <v>114020200330113352158935</v>
      </c>
      <c r="C1152" s="7" t="s">
        <v>1085</v>
      </c>
      <c r="D1152" s="7" t="str">
        <f>"卢健瞳"</f>
        <v>卢健瞳</v>
      </c>
      <c r="E1152" s="7" t="str">
        <f t="shared" si="129"/>
        <v>女</v>
      </c>
      <c r="F1152" s="7" t="s">
        <v>1168</v>
      </c>
      <c r="G1152" s="7" t="s">
        <v>12</v>
      </c>
      <c r="H1152" s="7"/>
    </row>
    <row r="1153" s="3" customFormat="1" ht="14.25" customHeight="1" spans="1:8">
      <c r="A1153" s="7">
        <v>1150</v>
      </c>
      <c r="B1153" s="7" t="str">
        <f>"114020200330113728158940"</f>
        <v>114020200330113728158940</v>
      </c>
      <c r="C1153" s="7" t="s">
        <v>1085</v>
      </c>
      <c r="D1153" s="7" t="str">
        <f>"陈荟妃"</f>
        <v>陈荟妃</v>
      </c>
      <c r="E1153" s="7" t="str">
        <f t="shared" si="129"/>
        <v>女</v>
      </c>
      <c r="F1153" s="7" t="s">
        <v>1169</v>
      </c>
      <c r="G1153" s="7" t="s">
        <v>12</v>
      </c>
      <c r="H1153" s="7"/>
    </row>
    <row r="1154" s="3" customFormat="1" ht="14.25" customHeight="1" spans="1:8">
      <c r="A1154" s="7">
        <v>1151</v>
      </c>
      <c r="B1154" s="7" t="str">
        <f>"114020200330115716158960"</f>
        <v>114020200330115716158960</v>
      </c>
      <c r="C1154" s="7" t="s">
        <v>1085</v>
      </c>
      <c r="D1154" s="7" t="str">
        <f>"王健汝"</f>
        <v>王健汝</v>
      </c>
      <c r="E1154" s="7" t="str">
        <f t="shared" si="129"/>
        <v>女</v>
      </c>
      <c r="F1154" s="7" t="s">
        <v>1170</v>
      </c>
      <c r="G1154" s="7" t="s">
        <v>12</v>
      </c>
      <c r="H1154" s="7"/>
    </row>
    <row r="1155" s="3" customFormat="1" ht="14.25" customHeight="1" spans="1:8">
      <c r="A1155" s="7">
        <v>1152</v>
      </c>
      <c r="B1155" s="7" t="str">
        <f>"114020200330122257158977"</f>
        <v>114020200330122257158977</v>
      </c>
      <c r="C1155" s="7" t="s">
        <v>1085</v>
      </c>
      <c r="D1155" s="7" t="str">
        <f>"钟春霞"</f>
        <v>钟春霞</v>
      </c>
      <c r="E1155" s="7" t="str">
        <f t="shared" si="129"/>
        <v>女</v>
      </c>
      <c r="F1155" s="7" t="s">
        <v>1171</v>
      </c>
      <c r="G1155" s="7" t="s">
        <v>12</v>
      </c>
      <c r="H1155" s="7"/>
    </row>
    <row r="1156" s="3" customFormat="1" ht="14.25" customHeight="1" spans="1:8">
      <c r="A1156" s="7">
        <v>1153</v>
      </c>
      <c r="B1156" s="7" t="str">
        <f>"114020200330131758159004"</f>
        <v>114020200330131758159004</v>
      </c>
      <c r="C1156" s="7" t="s">
        <v>1085</v>
      </c>
      <c r="D1156" s="7" t="str">
        <f>"邢巧云"</f>
        <v>邢巧云</v>
      </c>
      <c r="E1156" s="7" t="str">
        <f t="shared" si="129"/>
        <v>女</v>
      </c>
      <c r="F1156" s="7" t="s">
        <v>1172</v>
      </c>
      <c r="G1156" s="7" t="s">
        <v>12</v>
      </c>
      <c r="H1156" s="7"/>
    </row>
    <row r="1157" s="3" customFormat="1" ht="14.25" customHeight="1" spans="1:8">
      <c r="A1157" s="7">
        <v>1154</v>
      </c>
      <c r="B1157" s="7" t="str">
        <f>"114020200330132110159007"</f>
        <v>114020200330132110159007</v>
      </c>
      <c r="C1157" s="7" t="s">
        <v>1085</v>
      </c>
      <c r="D1157" s="7" t="str">
        <f>"邢春柳"</f>
        <v>邢春柳</v>
      </c>
      <c r="E1157" s="7" t="str">
        <f t="shared" si="129"/>
        <v>女</v>
      </c>
      <c r="F1157" s="7" t="s">
        <v>1173</v>
      </c>
      <c r="G1157" s="7" t="s">
        <v>12</v>
      </c>
      <c r="H1157" s="7"/>
    </row>
    <row r="1158" s="3" customFormat="1" ht="14.25" customHeight="1" spans="1:8">
      <c r="A1158" s="7">
        <v>1155</v>
      </c>
      <c r="B1158" s="7" t="str">
        <f>"114020200330152407159081"</f>
        <v>114020200330152407159081</v>
      </c>
      <c r="C1158" s="7" t="s">
        <v>1085</v>
      </c>
      <c r="D1158" s="7" t="str">
        <f>"谭艳"</f>
        <v>谭艳</v>
      </c>
      <c r="E1158" s="7" t="str">
        <f t="shared" si="129"/>
        <v>女</v>
      </c>
      <c r="F1158" s="7" t="s">
        <v>1174</v>
      </c>
      <c r="G1158" s="7" t="s">
        <v>12</v>
      </c>
      <c r="H1158" s="7"/>
    </row>
    <row r="1159" s="3" customFormat="1" ht="14.25" customHeight="1" spans="1:8">
      <c r="A1159" s="7">
        <v>1156</v>
      </c>
      <c r="B1159" s="7" t="str">
        <f>"114020200330155935159110"</f>
        <v>114020200330155935159110</v>
      </c>
      <c r="C1159" s="7" t="s">
        <v>1085</v>
      </c>
      <c r="D1159" s="7" t="str">
        <f>"卢玉慧"</f>
        <v>卢玉慧</v>
      </c>
      <c r="E1159" s="7" t="str">
        <f t="shared" si="129"/>
        <v>女</v>
      </c>
      <c r="F1159" s="7" t="s">
        <v>1175</v>
      </c>
      <c r="G1159" s="7" t="s">
        <v>12</v>
      </c>
      <c r="H1159" s="7"/>
    </row>
    <row r="1160" s="3" customFormat="1" ht="14.25" customHeight="1" spans="1:8">
      <c r="A1160" s="7">
        <v>1157</v>
      </c>
      <c r="B1160" s="7" t="str">
        <f>"114020200330163031159132"</f>
        <v>114020200330163031159132</v>
      </c>
      <c r="C1160" s="7" t="s">
        <v>1085</v>
      </c>
      <c r="D1160" s="7" t="str">
        <f>"陈晓敏"</f>
        <v>陈晓敏</v>
      </c>
      <c r="E1160" s="7" t="str">
        <f t="shared" si="129"/>
        <v>女</v>
      </c>
      <c r="F1160" s="7" t="s">
        <v>1176</v>
      </c>
      <c r="G1160" s="7" t="s">
        <v>12</v>
      </c>
      <c r="H1160" s="7"/>
    </row>
    <row r="1161" s="3" customFormat="1" ht="14.25" customHeight="1" spans="1:8">
      <c r="A1161" s="7">
        <v>1158</v>
      </c>
      <c r="B1161" s="7" t="str">
        <f>"114020200330163836159139"</f>
        <v>114020200330163836159139</v>
      </c>
      <c r="C1161" s="7" t="s">
        <v>1085</v>
      </c>
      <c r="D1161" s="7" t="str">
        <f>"苏文丽"</f>
        <v>苏文丽</v>
      </c>
      <c r="E1161" s="7" t="str">
        <f t="shared" si="129"/>
        <v>女</v>
      </c>
      <c r="F1161" s="7" t="s">
        <v>1177</v>
      </c>
      <c r="G1161" s="7" t="s">
        <v>12</v>
      </c>
      <c r="H1161" s="7"/>
    </row>
    <row r="1162" s="3" customFormat="1" ht="14.25" customHeight="1" spans="1:8">
      <c r="A1162" s="7">
        <v>1159</v>
      </c>
      <c r="B1162" s="7" t="str">
        <f>"114020200330164706159148"</f>
        <v>114020200330164706159148</v>
      </c>
      <c r="C1162" s="7" t="s">
        <v>1085</v>
      </c>
      <c r="D1162" s="7" t="str">
        <f>"李妹"</f>
        <v>李妹</v>
      </c>
      <c r="E1162" s="7" t="str">
        <f t="shared" si="129"/>
        <v>女</v>
      </c>
      <c r="F1162" s="7" t="s">
        <v>1178</v>
      </c>
      <c r="G1162" s="7" t="s">
        <v>12</v>
      </c>
      <c r="H1162" s="7"/>
    </row>
    <row r="1163" s="3" customFormat="1" ht="14.25" customHeight="1" spans="1:8">
      <c r="A1163" s="7">
        <v>1160</v>
      </c>
      <c r="B1163" s="7" t="str">
        <f>"114020200330165938159157"</f>
        <v>114020200330165938159157</v>
      </c>
      <c r="C1163" s="7" t="s">
        <v>1085</v>
      </c>
      <c r="D1163" s="7" t="str">
        <f>"薛桂带"</f>
        <v>薛桂带</v>
      </c>
      <c r="E1163" s="7" t="str">
        <f t="shared" si="129"/>
        <v>女</v>
      </c>
      <c r="F1163" s="7" t="s">
        <v>1179</v>
      </c>
      <c r="G1163" s="7" t="s">
        <v>12</v>
      </c>
      <c r="H1163" s="7"/>
    </row>
    <row r="1164" s="3" customFormat="1" ht="14.25" customHeight="1" spans="1:8">
      <c r="A1164" s="7">
        <v>1161</v>
      </c>
      <c r="B1164" s="7" t="str">
        <f>"114020200330193929159228"</f>
        <v>114020200330193929159228</v>
      </c>
      <c r="C1164" s="7" t="s">
        <v>1085</v>
      </c>
      <c r="D1164" s="7" t="str">
        <f>"蔡月燕"</f>
        <v>蔡月燕</v>
      </c>
      <c r="E1164" s="7" t="str">
        <f t="shared" si="129"/>
        <v>女</v>
      </c>
      <c r="F1164" s="7" t="s">
        <v>1180</v>
      </c>
      <c r="G1164" s="7" t="s">
        <v>12</v>
      </c>
      <c r="H1164" s="7"/>
    </row>
    <row r="1165" s="3" customFormat="1" ht="14.25" customHeight="1" spans="1:8">
      <c r="A1165" s="7">
        <v>1162</v>
      </c>
      <c r="B1165" s="7" t="str">
        <f>"114020200330210036159266"</f>
        <v>114020200330210036159266</v>
      </c>
      <c r="C1165" s="7" t="s">
        <v>1085</v>
      </c>
      <c r="D1165" s="7" t="str">
        <f>"骆祖美"</f>
        <v>骆祖美</v>
      </c>
      <c r="E1165" s="7" t="str">
        <f t="shared" si="129"/>
        <v>女</v>
      </c>
      <c r="F1165" s="7" t="s">
        <v>1181</v>
      </c>
      <c r="G1165" s="7" t="s">
        <v>12</v>
      </c>
      <c r="H1165" s="7"/>
    </row>
    <row r="1166" s="3" customFormat="1" ht="14.25" customHeight="1" spans="1:8">
      <c r="A1166" s="7">
        <v>1163</v>
      </c>
      <c r="B1166" s="7" t="str">
        <f>"114020200330210923159272"</f>
        <v>114020200330210923159272</v>
      </c>
      <c r="C1166" s="7" t="s">
        <v>1085</v>
      </c>
      <c r="D1166" s="7" t="str">
        <f>"符定妹"</f>
        <v>符定妹</v>
      </c>
      <c r="E1166" s="7" t="str">
        <f t="shared" si="129"/>
        <v>女</v>
      </c>
      <c r="F1166" s="7" t="s">
        <v>1182</v>
      </c>
      <c r="G1166" s="7" t="s">
        <v>12</v>
      </c>
      <c r="H1166" s="7"/>
    </row>
    <row r="1167" s="3" customFormat="1" ht="14.25" customHeight="1" spans="1:8">
      <c r="A1167" s="7">
        <v>1164</v>
      </c>
      <c r="B1167" s="7" t="str">
        <f>"114020200330213603159292"</f>
        <v>114020200330213603159292</v>
      </c>
      <c r="C1167" s="7" t="s">
        <v>1085</v>
      </c>
      <c r="D1167" s="7" t="str">
        <f>"麦圣妹"</f>
        <v>麦圣妹</v>
      </c>
      <c r="E1167" s="7" t="str">
        <f t="shared" si="129"/>
        <v>女</v>
      </c>
      <c r="F1167" s="7" t="s">
        <v>1183</v>
      </c>
      <c r="G1167" s="7" t="s">
        <v>12</v>
      </c>
      <c r="H1167" s="7"/>
    </row>
    <row r="1168" s="3" customFormat="1" ht="14.25" customHeight="1" spans="1:8">
      <c r="A1168" s="7">
        <v>1165</v>
      </c>
      <c r="B1168" s="7" t="str">
        <f>"114020200331090824159377"</f>
        <v>114020200331090824159377</v>
      </c>
      <c r="C1168" s="7" t="s">
        <v>1085</v>
      </c>
      <c r="D1168" s="7" t="str">
        <f>"陈荷兰"</f>
        <v>陈荷兰</v>
      </c>
      <c r="E1168" s="7" t="str">
        <f t="shared" si="129"/>
        <v>女</v>
      </c>
      <c r="F1168" s="7" t="s">
        <v>1184</v>
      </c>
      <c r="G1168" s="7" t="s">
        <v>12</v>
      </c>
      <c r="H1168" s="7"/>
    </row>
    <row r="1169" s="3" customFormat="1" ht="14.25" customHeight="1" spans="1:8">
      <c r="A1169" s="7">
        <v>1166</v>
      </c>
      <c r="B1169" s="7" t="str">
        <f>"114020200331092547159383"</f>
        <v>114020200331092547159383</v>
      </c>
      <c r="C1169" s="7" t="s">
        <v>1085</v>
      </c>
      <c r="D1169" s="7" t="str">
        <f>"王立娜"</f>
        <v>王立娜</v>
      </c>
      <c r="E1169" s="7" t="str">
        <f t="shared" si="129"/>
        <v>女</v>
      </c>
      <c r="F1169" s="7" t="s">
        <v>1185</v>
      </c>
      <c r="G1169" s="7" t="s">
        <v>12</v>
      </c>
      <c r="H1169" s="7"/>
    </row>
    <row r="1170" s="3" customFormat="1" ht="14.25" customHeight="1" spans="1:8">
      <c r="A1170" s="7">
        <v>1167</v>
      </c>
      <c r="B1170" s="7" t="str">
        <f>"114020200331092958159387"</f>
        <v>114020200331092958159387</v>
      </c>
      <c r="C1170" s="7" t="s">
        <v>1085</v>
      </c>
      <c r="D1170" s="7" t="str">
        <f>"黎婆菊"</f>
        <v>黎婆菊</v>
      </c>
      <c r="E1170" s="7" t="str">
        <f t="shared" si="129"/>
        <v>女</v>
      </c>
      <c r="F1170" s="7" t="s">
        <v>1186</v>
      </c>
      <c r="G1170" s="7" t="s">
        <v>12</v>
      </c>
      <c r="H1170" s="7"/>
    </row>
    <row r="1171" s="3" customFormat="1" ht="14.25" customHeight="1" spans="1:8">
      <c r="A1171" s="7">
        <v>1168</v>
      </c>
      <c r="B1171" s="7" t="str">
        <f>"114020200331093901159390"</f>
        <v>114020200331093901159390</v>
      </c>
      <c r="C1171" s="7" t="s">
        <v>1085</v>
      </c>
      <c r="D1171" s="7" t="str">
        <f>"王丽春。"</f>
        <v>王丽春。</v>
      </c>
      <c r="E1171" s="7" t="str">
        <f t="shared" si="129"/>
        <v>女</v>
      </c>
      <c r="F1171" s="7" t="s">
        <v>1187</v>
      </c>
      <c r="G1171" s="7" t="s">
        <v>12</v>
      </c>
      <c r="H1171" s="7"/>
    </row>
    <row r="1172" s="3" customFormat="1" ht="14.25" customHeight="1" spans="1:8">
      <c r="A1172" s="7">
        <v>1169</v>
      </c>
      <c r="B1172" s="7" t="str">
        <f>"114020200331102553159412"</f>
        <v>114020200331102553159412</v>
      </c>
      <c r="C1172" s="7" t="s">
        <v>1085</v>
      </c>
      <c r="D1172" s="7" t="str">
        <f>"刘小清"</f>
        <v>刘小清</v>
      </c>
      <c r="E1172" s="7" t="str">
        <f t="shared" si="129"/>
        <v>女</v>
      </c>
      <c r="F1172" s="7" t="s">
        <v>1188</v>
      </c>
      <c r="G1172" s="7" t="s">
        <v>12</v>
      </c>
      <c r="H1172" s="7"/>
    </row>
    <row r="1173" s="3" customFormat="1" ht="14.25" customHeight="1" spans="1:8">
      <c r="A1173" s="7">
        <v>1170</v>
      </c>
      <c r="B1173" s="7" t="str">
        <f>"114020200331103543159418"</f>
        <v>114020200331103543159418</v>
      </c>
      <c r="C1173" s="7" t="s">
        <v>1085</v>
      </c>
      <c r="D1173" s="7" t="str">
        <f>"王丹女"</f>
        <v>王丹女</v>
      </c>
      <c r="E1173" s="7" t="str">
        <f t="shared" si="129"/>
        <v>女</v>
      </c>
      <c r="F1173" s="7" t="s">
        <v>1189</v>
      </c>
      <c r="G1173" s="7" t="s">
        <v>12</v>
      </c>
      <c r="H1173" s="7"/>
    </row>
    <row r="1174" s="3" customFormat="1" ht="14.25" customHeight="1" spans="1:8">
      <c r="A1174" s="7">
        <v>1171</v>
      </c>
      <c r="B1174" s="7" t="str">
        <f>"114020200331105452159427"</f>
        <v>114020200331105452159427</v>
      </c>
      <c r="C1174" s="7" t="s">
        <v>1085</v>
      </c>
      <c r="D1174" s="7" t="str">
        <f>"叶叶"</f>
        <v>叶叶</v>
      </c>
      <c r="E1174" s="7" t="str">
        <f t="shared" si="129"/>
        <v>女</v>
      </c>
      <c r="F1174" s="7" t="s">
        <v>1190</v>
      </c>
      <c r="G1174" s="7" t="s">
        <v>12</v>
      </c>
      <c r="H1174" s="7"/>
    </row>
    <row r="1175" s="3" customFormat="1" ht="14.25" customHeight="1" spans="1:8">
      <c r="A1175" s="7">
        <v>1172</v>
      </c>
      <c r="B1175" s="7" t="str">
        <f>"114020200331110531159431"</f>
        <v>114020200331110531159431</v>
      </c>
      <c r="C1175" s="7" t="s">
        <v>1085</v>
      </c>
      <c r="D1175" s="7" t="str">
        <f>"赵铭婷"</f>
        <v>赵铭婷</v>
      </c>
      <c r="E1175" s="7" t="str">
        <f t="shared" si="129"/>
        <v>女</v>
      </c>
      <c r="F1175" s="7" t="s">
        <v>1191</v>
      </c>
      <c r="G1175" s="7" t="s">
        <v>12</v>
      </c>
      <c r="H1175" s="7"/>
    </row>
    <row r="1176" s="3" customFormat="1" ht="14.25" customHeight="1" spans="1:8">
      <c r="A1176" s="7">
        <v>1173</v>
      </c>
      <c r="B1176" s="7" t="str">
        <f>"114020200331112357159442"</f>
        <v>114020200331112357159442</v>
      </c>
      <c r="C1176" s="7" t="s">
        <v>1085</v>
      </c>
      <c r="D1176" s="7" t="str">
        <f>"赖秋云"</f>
        <v>赖秋云</v>
      </c>
      <c r="E1176" s="7" t="str">
        <f t="shared" si="129"/>
        <v>女</v>
      </c>
      <c r="F1176" s="7" t="s">
        <v>1192</v>
      </c>
      <c r="G1176" s="7" t="s">
        <v>12</v>
      </c>
      <c r="H1176" s="7"/>
    </row>
    <row r="1177" s="3" customFormat="1" ht="14.25" customHeight="1" spans="1:8">
      <c r="A1177" s="7">
        <v>1174</v>
      </c>
      <c r="B1177" s="7" t="str">
        <f>"114020200331115312159456"</f>
        <v>114020200331115312159456</v>
      </c>
      <c r="C1177" s="7" t="s">
        <v>1085</v>
      </c>
      <c r="D1177" s="7" t="str">
        <f>"陈姑梅"</f>
        <v>陈姑梅</v>
      </c>
      <c r="E1177" s="7" t="str">
        <f t="shared" si="129"/>
        <v>女</v>
      </c>
      <c r="F1177" s="7" t="s">
        <v>1193</v>
      </c>
      <c r="G1177" s="7" t="s">
        <v>12</v>
      </c>
      <c r="H1177" s="7"/>
    </row>
    <row r="1178" s="3" customFormat="1" ht="14.25" customHeight="1" spans="1:8">
      <c r="A1178" s="7">
        <v>1175</v>
      </c>
      <c r="B1178" s="7" t="str">
        <f>"114020200331140754159523"</f>
        <v>114020200331140754159523</v>
      </c>
      <c r="C1178" s="7" t="s">
        <v>1085</v>
      </c>
      <c r="D1178" s="7" t="str">
        <f>"唐月玲"</f>
        <v>唐月玲</v>
      </c>
      <c r="E1178" s="7" t="str">
        <f t="shared" si="129"/>
        <v>女</v>
      </c>
      <c r="F1178" s="7" t="s">
        <v>1194</v>
      </c>
      <c r="G1178" s="7" t="s">
        <v>12</v>
      </c>
      <c r="H1178" s="7"/>
    </row>
    <row r="1179" s="3" customFormat="1" ht="14.25" customHeight="1" spans="1:8">
      <c r="A1179" s="7">
        <v>1176</v>
      </c>
      <c r="B1179" s="7" t="str">
        <f>"114020200331152052159560"</f>
        <v>114020200331152052159560</v>
      </c>
      <c r="C1179" s="7" t="s">
        <v>1085</v>
      </c>
      <c r="D1179" s="7" t="str">
        <f>"羊淑妍"</f>
        <v>羊淑妍</v>
      </c>
      <c r="E1179" s="7" t="str">
        <f t="shared" si="129"/>
        <v>女</v>
      </c>
      <c r="F1179" s="7" t="s">
        <v>1195</v>
      </c>
      <c r="G1179" s="7" t="s">
        <v>12</v>
      </c>
      <c r="H1179" s="7"/>
    </row>
    <row r="1180" s="3" customFormat="1" ht="14.25" customHeight="1" spans="1:8">
      <c r="A1180" s="7">
        <v>1177</v>
      </c>
      <c r="B1180" s="7" t="str">
        <f>"114020200331160819159583"</f>
        <v>114020200331160819159583</v>
      </c>
      <c r="C1180" s="7" t="s">
        <v>1085</v>
      </c>
      <c r="D1180" s="7" t="str">
        <f>"王政立"</f>
        <v>王政立</v>
      </c>
      <c r="E1180" s="7" t="str">
        <f t="shared" si="129"/>
        <v>女</v>
      </c>
      <c r="F1180" s="7" t="s">
        <v>1196</v>
      </c>
      <c r="G1180" s="7" t="s">
        <v>12</v>
      </c>
      <c r="H1180" s="7"/>
    </row>
    <row r="1181" s="3" customFormat="1" ht="14.25" customHeight="1" spans="1:8">
      <c r="A1181" s="7">
        <v>1178</v>
      </c>
      <c r="B1181" s="7" t="str">
        <f>"114020200331170548159608"</f>
        <v>114020200331170548159608</v>
      </c>
      <c r="C1181" s="7" t="s">
        <v>1085</v>
      </c>
      <c r="D1181" s="7" t="str">
        <f>"金娜"</f>
        <v>金娜</v>
      </c>
      <c r="E1181" s="7" t="str">
        <f t="shared" si="129"/>
        <v>女</v>
      </c>
      <c r="F1181" s="7" t="s">
        <v>1197</v>
      </c>
      <c r="G1181" s="7" t="s">
        <v>12</v>
      </c>
      <c r="H1181" s="7"/>
    </row>
    <row r="1182" s="3" customFormat="1" ht="14.25" customHeight="1" spans="1:8">
      <c r="A1182" s="7">
        <v>1179</v>
      </c>
      <c r="B1182" s="7" t="str">
        <f>"114020200331170740159611"</f>
        <v>114020200331170740159611</v>
      </c>
      <c r="C1182" s="7" t="s">
        <v>1085</v>
      </c>
      <c r="D1182" s="7" t="str">
        <f>"张深珠"</f>
        <v>张深珠</v>
      </c>
      <c r="E1182" s="7" t="str">
        <f t="shared" si="129"/>
        <v>女</v>
      </c>
      <c r="F1182" s="7" t="s">
        <v>1198</v>
      </c>
      <c r="G1182" s="7" t="s">
        <v>12</v>
      </c>
      <c r="H1182" s="7"/>
    </row>
    <row r="1183" s="3" customFormat="1" ht="14.25" customHeight="1" spans="1:8">
      <c r="A1183" s="7">
        <v>1180</v>
      </c>
      <c r="B1183" s="7" t="str">
        <f>"114020200331171919159612"</f>
        <v>114020200331171919159612</v>
      </c>
      <c r="C1183" s="7" t="s">
        <v>1085</v>
      </c>
      <c r="D1183" s="7" t="str">
        <f>"冯成娥"</f>
        <v>冯成娥</v>
      </c>
      <c r="E1183" s="7" t="str">
        <f t="shared" si="129"/>
        <v>女</v>
      </c>
      <c r="F1183" s="7" t="s">
        <v>1199</v>
      </c>
      <c r="G1183" s="7" t="s">
        <v>12</v>
      </c>
      <c r="H1183" s="7"/>
    </row>
    <row r="1184" s="3" customFormat="1" ht="14.25" customHeight="1" spans="1:8">
      <c r="A1184" s="7">
        <v>1181</v>
      </c>
      <c r="B1184" s="7" t="str">
        <f>"114020200331184428159638"</f>
        <v>114020200331184428159638</v>
      </c>
      <c r="C1184" s="7" t="s">
        <v>1085</v>
      </c>
      <c r="D1184" s="7" t="str">
        <f>"谢慧锦"</f>
        <v>谢慧锦</v>
      </c>
      <c r="E1184" s="7" t="str">
        <f t="shared" si="129"/>
        <v>女</v>
      </c>
      <c r="F1184" s="7" t="s">
        <v>1200</v>
      </c>
      <c r="G1184" s="7" t="s">
        <v>12</v>
      </c>
      <c r="H1184" s="7"/>
    </row>
    <row r="1185" s="3" customFormat="1" ht="14.25" customHeight="1" spans="1:8">
      <c r="A1185" s="7">
        <v>1182</v>
      </c>
      <c r="B1185" s="7" t="str">
        <f>"114020200331194620159653"</f>
        <v>114020200331194620159653</v>
      </c>
      <c r="C1185" s="7" t="s">
        <v>1085</v>
      </c>
      <c r="D1185" s="7" t="str">
        <f>"符玉娘"</f>
        <v>符玉娘</v>
      </c>
      <c r="E1185" s="7" t="str">
        <f t="shared" si="129"/>
        <v>女</v>
      </c>
      <c r="F1185" s="7" t="s">
        <v>1201</v>
      </c>
      <c r="G1185" s="7" t="s">
        <v>12</v>
      </c>
      <c r="H1185" s="7"/>
    </row>
    <row r="1186" s="3" customFormat="1" ht="14.25" customHeight="1" spans="1:8">
      <c r="A1186" s="7">
        <v>1183</v>
      </c>
      <c r="B1186" s="7" t="str">
        <f>"114020200331203340159668"</f>
        <v>114020200331203340159668</v>
      </c>
      <c r="C1186" s="7" t="s">
        <v>1085</v>
      </c>
      <c r="D1186" s="7" t="str">
        <f>"林仙"</f>
        <v>林仙</v>
      </c>
      <c r="E1186" s="7" t="str">
        <f t="shared" si="129"/>
        <v>女</v>
      </c>
      <c r="F1186" s="7" t="s">
        <v>1202</v>
      </c>
      <c r="G1186" s="7" t="s">
        <v>12</v>
      </c>
      <c r="H1186" s="7"/>
    </row>
    <row r="1187" s="3" customFormat="1" ht="14.25" customHeight="1" spans="1:8">
      <c r="A1187" s="7">
        <v>1184</v>
      </c>
      <c r="B1187" s="7" t="str">
        <f>"114020200331213509159691"</f>
        <v>114020200331213509159691</v>
      </c>
      <c r="C1187" s="7" t="s">
        <v>1085</v>
      </c>
      <c r="D1187" s="7" t="str">
        <f>"张俊莲"</f>
        <v>张俊莲</v>
      </c>
      <c r="E1187" s="7" t="str">
        <f t="shared" si="129"/>
        <v>女</v>
      </c>
      <c r="F1187" s="7" t="s">
        <v>1203</v>
      </c>
      <c r="G1187" s="7" t="s">
        <v>12</v>
      </c>
      <c r="H1187" s="7"/>
    </row>
    <row r="1188" s="3" customFormat="1" ht="14.25" customHeight="1" spans="1:8">
      <c r="A1188" s="7">
        <v>1185</v>
      </c>
      <c r="B1188" s="7" t="str">
        <f>"114020200401011301159734"</f>
        <v>114020200401011301159734</v>
      </c>
      <c r="C1188" s="7" t="s">
        <v>1085</v>
      </c>
      <c r="D1188" s="7" t="str">
        <f>"王晴"</f>
        <v>王晴</v>
      </c>
      <c r="E1188" s="7" t="str">
        <f t="shared" si="129"/>
        <v>女</v>
      </c>
      <c r="F1188" s="7" t="s">
        <v>1204</v>
      </c>
      <c r="G1188" s="7" t="s">
        <v>12</v>
      </c>
      <c r="H1188" s="7"/>
    </row>
    <row r="1189" s="3" customFormat="1" ht="14.25" customHeight="1" spans="1:8">
      <c r="A1189" s="7">
        <v>1186</v>
      </c>
      <c r="B1189" s="7" t="str">
        <f>"114020200401090739159748"</f>
        <v>114020200401090739159748</v>
      </c>
      <c r="C1189" s="7" t="s">
        <v>1085</v>
      </c>
      <c r="D1189" s="7" t="str">
        <f>"李秀英"</f>
        <v>李秀英</v>
      </c>
      <c r="E1189" s="7" t="str">
        <f t="shared" si="129"/>
        <v>女</v>
      </c>
      <c r="F1189" s="7" t="s">
        <v>1205</v>
      </c>
      <c r="G1189" s="7" t="s">
        <v>12</v>
      </c>
      <c r="H1189" s="7"/>
    </row>
    <row r="1190" s="3" customFormat="1" ht="14.25" customHeight="1" spans="1:8">
      <c r="A1190" s="7">
        <v>1187</v>
      </c>
      <c r="B1190" s="7" t="str">
        <f>"114020200401091135159749"</f>
        <v>114020200401091135159749</v>
      </c>
      <c r="C1190" s="7" t="s">
        <v>1085</v>
      </c>
      <c r="D1190" s="7" t="str">
        <f>"苏家娟"</f>
        <v>苏家娟</v>
      </c>
      <c r="E1190" s="7" t="str">
        <f t="shared" si="129"/>
        <v>女</v>
      </c>
      <c r="F1190" s="7" t="s">
        <v>1206</v>
      </c>
      <c r="G1190" s="7" t="s">
        <v>12</v>
      </c>
      <c r="H1190" s="7"/>
    </row>
    <row r="1191" s="3" customFormat="1" ht="14.25" customHeight="1" spans="1:8">
      <c r="A1191" s="7">
        <v>1188</v>
      </c>
      <c r="B1191" s="7" t="str">
        <f>"114020200401100716159775"</f>
        <v>114020200401100716159775</v>
      </c>
      <c r="C1191" s="7" t="s">
        <v>1085</v>
      </c>
      <c r="D1191" s="7" t="str">
        <f>"薛喜波"</f>
        <v>薛喜波</v>
      </c>
      <c r="E1191" s="7" t="str">
        <f t="shared" si="129"/>
        <v>女</v>
      </c>
      <c r="F1191" s="7" t="s">
        <v>1207</v>
      </c>
      <c r="G1191" s="7" t="s">
        <v>12</v>
      </c>
      <c r="H1191" s="7"/>
    </row>
    <row r="1192" s="3" customFormat="1" ht="14.25" customHeight="1" spans="1:8">
      <c r="A1192" s="7">
        <v>1189</v>
      </c>
      <c r="B1192" s="7" t="str">
        <f>"114020200401103814159785"</f>
        <v>114020200401103814159785</v>
      </c>
      <c r="C1192" s="7" t="s">
        <v>1085</v>
      </c>
      <c r="D1192" s="7" t="str">
        <f>"徐贞"</f>
        <v>徐贞</v>
      </c>
      <c r="E1192" s="7" t="str">
        <f t="shared" si="129"/>
        <v>女</v>
      </c>
      <c r="F1192" s="7" t="s">
        <v>1208</v>
      </c>
      <c r="G1192" s="7" t="s">
        <v>12</v>
      </c>
      <c r="H1192" s="7"/>
    </row>
    <row r="1193" s="3" customFormat="1" ht="14.25" customHeight="1" spans="1:8">
      <c r="A1193" s="7">
        <v>1190</v>
      </c>
      <c r="B1193" s="7" t="str">
        <f>"114020200401152034159888"</f>
        <v>114020200401152034159888</v>
      </c>
      <c r="C1193" s="7" t="s">
        <v>1085</v>
      </c>
      <c r="D1193" s="7" t="str">
        <f>"李婷"</f>
        <v>李婷</v>
      </c>
      <c r="E1193" s="7" t="str">
        <f t="shared" si="129"/>
        <v>女</v>
      </c>
      <c r="F1193" s="7" t="s">
        <v>1209</v>
      </c>
      <c r="G1193" s="7" t="s">
        <v>12</v>
      </c>
      <c r="H1193" s="7"/>
    </row>
    <row r="1194" s="3" customFormat="1" ht="14.25" customHeight="1" spans="1:8">
      <c r="A1194" s="7">
        <v>1191</v>
      </c>
      <c r="B1194" s="7" t="str">
        <f>"114020200401161002159921"</f>
        <v>114020200401161002159921</v>
      </c>
      <c r="C1194" s="7" t="s">
        <v>1085</v>
      </c>
      <c r="D1194" s="7" t="str">
        <f>"刘媚红"</f>
        <v>刘媚红</v>
      </c>
      <c r="E1194" s="7" t="str">
        <f t="shared" si="129"/>
        <v>女</v>
      </c>
      <c r="F1194" s="7" t="s">
        <v>1210</v>
      </c>
      <c r="G1194" s="7" t="s">
        <v>12</v>
      </c>
      <c r="H1194" s="7"/>
    </row>
    <row r="1195" s="3" customFormat="1" ht="14.25" customHeight="1" spans="1:8">
      <c r="A1195" s="7">
        <v>1192</v>
      </c>
      <c r="B1195" s="7" t="str">
        <f>"114020200401161755159923"</f>
        <v>114020200401161755159923</v>
      </c>
      <c r="C1195" s="7" t="s">
        <v>1085</v>
      </c>
      <c r="D1195" s="7" t="str">
        <f>"符海珍"</f>
        <v>符海珍</v>
      </c>
      <c r="E1195" s="7" t="str">
        <f t="shared" si="129"/>
        <v>女</v>
      </c>
      <c r="F1195" s="7" t="s">
        <v>1211</v>
      </c>
      <c r="G1195" s="7" t="s">
        <v>12</v>
      </c>
      <c r="H1195" s="7"/>
    </row>
    <row r="1196" s="3" customFormat="1" ht="14.25" customHeight="1" spans="1:8">
      <c r="A1196" s="7">
        <v>1193</v>
      </c>
      <c r="B1196" s="7" t="str">
        <f>"114020200401161903159924"</f>
        <v>114020200401161903159924</v>
      </c>
      <c r="C1196" s="7" t="s">
        <v>1085</v>
      </c>
      <c r="D1196" s="7" t="str">
        <f>"符丹"</f>
        <v>符丹</v>
      </c>
      <c r="E1196" s="7" t="str">
        <f t="shared" ref="E1196:E1213" si="130">"女"</f>
        <v>女</v>
      </c>
      <c r="F1196" s="7" t="s">
        <v>1212</v>
      </c>
      <c r="G1196" s="7" t="s">
        <v>12</v>
      </c>
      <c r="H1196" s="7"/>
    </row>
    <row r="1197" s="3" customFormat="1" ht="14.25" customHeight="1" spans="1:8">
      <c r="A1197" s="7">
        <v>1194</v>
      </c>
      <c r="B1197" s="7" t="str">
        <f>"114020200401163433159934"</f>
        <v>114020200401163433159934</v>
      </c>
      <c r="C1197" s="7" t="s">
        <v>1085</v>
      </c>
      <c r="D1197" s="7" t="str">
        <f>"林永教"</f>
        <v>林永教</v>
      </c>
      <c r="E1197" s="7" t="str">
        <f t="shared" si="130"/>
        <v>女</v>
      </c>
      <c r="F1197" s="7" t="s">
        <v>1213</v>
      </c>
      <c r="G1197" s="7" t="s">
        <v>12</v>
      </c>
      <c r="H1197" s="7"/>
    </row>
    <row r="1198" s="3" customFormat="1" ht="14.25" customHeight="1" spans="1:8">
      <c r="A1198" s="7">
        <v>1195</v>
      </c>
      <c r="B1198" s="7" t="str">
        <f>"114020200401171306159956"</f>
        <v>114020200401171306159956</v>
      </c>
      <c r="C1198" s="7" t="s">
        <v>1085</v>
      </c>
      <c r="D1198" s="7" t="str">
        <f>"章玲"</f>
        <v>章玲</v>
      </c>
      <c r="E1198" s="7" t="str">
        <f t="shared" si="130"/>
        <v>女</v>
      </c>
      <c r="F1198" s="7" t="s">
        <v>1214</v>
      </c>
      <c r="G1198" s="7" t="s">
        <v>12</v>
      </c>
      <c r="H1198" s="7"/>
    </row>
    <row r="1199" s="3" customFormat="1" ht="14.25" customHeight="1" spans="1:8">
      <c r="A1199" s="7">
        <v>1196</v>
      </c>
      <c r="B1199" s="7" t="str">
        <f>"114020200401202721160022"</f>
        <v>114020200401202721160022</v>
      </c>
      <c r="C1199" s="7" t="s">
        <v>1085</v>
      </c>
      <c r="D1199" s="7" t="str">
        <f>"卢裕娴"</f>
        <v>卢裕娴</v>
      </c>
      <c r="E1199" s="7" t="str">
        <f t="shared" si="130"/>
        <v>女</v>
      </c>
      <c r="F1199" s="7" t="s">
        <v>1215</v>
      </c>
      <c r="G1199" s="7" t="s">
        <v>12</v>
      </c>
      <c r="H1199" s="7"/>
    </row>
    <row r="1200" s="3" customFormat="1" ht="14.25" customHeight="1" spans="1:8">
      <c r="A1200" s="7">
        <v>1197</v>
      </c>
      <c r="B1200" s="7" t="str">
        <f>"114020200401203324160026"</f>
        <v>114020200401203324160026</v>
      </c>
      <c r="C1200" s="7" t="s">
        <v>1085</v>
      </c>
      <c r="D1200" s="7" t="str">
        <f>"孙如静"</f>
        <v>孙如静</v>
      </c>
      <c r="E1200" s="7" t="str">
        <f t="shared" si="130"/>
        <v>女</v>
      </c>
      <c r="F1200" s="7" t="s">
        <v>1216</v>
      </c>
      <c r="G1200" s="7" t="s">
        <v>12</v>
      </c>
      <c r="H1200" s="7"/>
    </row>
    <row r="1201" s="3" customFormat="1" ht="14.25" customHeight="1" spans="1:8">
      <c r="A1201" s="7">
        <v>1198</v>
      </c>
      <c r="B1201" s="7" t="str">
        <f>"114020200402080543160099"</f>
        <v>114020200402080543160099</v>
      </c>
      <c r="C1201" s="7" t="s">
        <v>1085</v>
      </c>
      <c r="D1201" s="7" t="str">
        <f>"王正月"</f>
        <v>王正月</v>
      </c>
      <c r="E1201" s="7" t="str">
        <f t="shared" si="130"/>
        <v>女</v>
      </c>
      <c r="F1201" s="7" t="s">
        <v>1217</v>
      </c>
      <c r="G1201" s="7" t="s">
        <v>12</v>
      </c>
      <c r="H1201" s="7"/>
    </row>
    <row r="1202" s="3" customFormat="1" ht="14.25" customHeight="1" spans="1:8">
      <c r="A1202" s="7">
        <v>1199</v>
      </c>
      <c r="B1202" s="7" t="str">
        <f>"114020200402142300160187"</f>
        <v>114020200402142300160187</v>
      </c>
      <c r="C1202" s="7" t="s">
        <v>1085</v>
      </c>
      <c r="D1202" s="7" t="str">
        <f>"彭国婷"</f>
        <v>彭国婷</v>
      </c>
      <c r="E1202" s="7" t="str">
        <f t="shared" si="130"/>
        <v>女</v>
      </c>
      <c r="F1202" s="7" t="s">
        <v>1218</v>
      </c>
      <c r="G1202" s="7" t="s">
        <v>12</v>
      </c>
      <c r="H1202" s="7"/>
    </row>
    <row r="1203" s="3" customFormat="1" ht="14.25" customHeight="1" spans="1:8">
      <c r="A1203" s="7">
        <v>1200</v>
      </c>
      <c r="B1203" s="7" t="str">
        <f>"114020200402144742160192"</f>
        <v>114020200402144742160192</v>
      </c>
      <c r="C1203" s="7" t="s">
        <v>1085</v>
      </c>
      <c r="D1203" s="7" t="str">
        <f>"许家飞"</f>
        <v>许家飞</v>
      </c>
      <c r="E1203" s="7" t="str">
        <f t="shared" si="130"/>
        <v>女</v>
      </c>
      <c r="F1203" s="7" t="s">
        <v>1219</v>
      </c>
      <c r="G1203" s="7" t="s">
        <v>12</v>
      </c>
      <c r="H1203" s="7"/>
    </row>
    <row r="1204" s="3" customFormat="1" ht="14.25" customHeight="1" spans="1:8">
      <c r="A1204" s="7">
        <v>1201</v>
      </c>
      <c r="B1204" s="7" t="str">
        <f>"114020200402162911160230"</f>
        <v>114020200402162911160230</v>
      </c>
      <c r="C1204" s="7" t="s">
        <v>1085</v>
      </c>
      <c r="D1204" s="7" t="str">
        <f>"王霄琼"</f>
        <v>王霄琼</v>
      </c>
      <c r="E1204" s="7" t="str">
        <f t="shared" si="130"/>
        <v>女</v>
      </c>
      <c r="F1204" s="7" t="s">
        <v>1220</v>
      </c>
      <c r="G1204" s="7" t="s">
        <v>12</v>
      </c>
      <c r="H1204" s="7"/>
    </row>
    <row r="1205" s="3" customFormat="1" ht="14.25" customHeight="1" spans="1:8">
      <c r="A1205" s="7">
        <v>1202</v>
      </c>
      <c r="B1205" s="7" t="str">
        <f>"114020200402174343160260"</f>
        <v>114020200402174343160260</v>
      </c>
      <c r="C1205" s="7" t="s">
        <v>1085</v>
      </c>
      <c r="D1205" s="7" t="str">
        <f>"曾昕"</f>
        <v>曾昕</v>
      </c>
      <c r="E1205" s="7" t="str">
        <f t="shared" si="130"/>
        <v>女</v>
      </c>
      <c r="F1205" s="7" t="s">
        <v>1221</v>
      </c>
      <c r="G1205" s="7" t="s">
        <v>12</v>
      </c>
      <c r="H1205" s="7"/>
    </row>
    <row r="1206" s="3" customFormat="1" ht="14.25" customHeight="1" spans="1:8">
      <c r="A1206" s="7">
        <v>1203</v>
      </c>
      <c r="B1206" s="7" t="str">
        <f>"114020200402213059160312"</f>
        <v>114020200402213059160312</v>
      </c>
      <c r="C1206" s="7" t="s">
        <v>1085</v>
      </c>
      <c r="D1206" s="7" t="str">
        <f>"郑榆菲"</f>
        <v>郑榆菲</v>
      </c>
      <c r="E1206" s="7" t="str">
        <f t="shared" si="130"/>
        <v>女</v>
      </c>
      <c r="F1206" s="7" t="s">
        <v>1222</v>
      </c>
      <c r="G1206" s="7" t="s">
        <v>12</v>
      </c>
      <c r="H1206" s="7"/>
    </row>
    <row r="1207" s="3" customFormat="1" ht="14.25" customHeight="1" spans="1:8">
      <c r="A1207" s="7">
        <v>1204</v>
      </c>
      <c r="B1207" s="7" t="str">
        <f>"114020200402215918160327"</f>
        <v>114020200402215918160327</v>
      </c>
      <c r="C1207" s="7" t="s">
        <v>1085</v>
      </c>
      <c r="D1207" s="7" t="str">
        <f>"梁馨允"</f>
        <v>梁馨允</v>
      </c>
      <c r="E1207" s="7" t="str">
        <f t="shared" si="130"/>
        <v>女</v>
      </c>
      <c r="F1207" s="7" t="s">
        <v>1223</v>
      </c>
      <c r="G1207" s="7" t="s">
        <v>12</v>
      </c>
      <c r="H1207" s="7"/>
    </row>
    <row r="1208" s="3" customFormat="1" ht="14.25" customHeight="1" spans="1:8">
      <c r="A1208" s="7">
        <v>1205</v>
      </c>
      <c r="B1208" s="7" t="str">
        <f>"114020200402220115160328"</f>
        <v>114020200402220115160328</v>
      </c>
      <c r="C1208" s="7" t="s">
        <v>1085</v>
      </c>
      <c r="D1208" s="7" t="str">
        <f>"周舟"</f>
        <v>周舟</v>
      </c>
      <c r="E1208" s="7" t="str">
        <f t="shared" si="130"/>
        <v>女</v>
      </c>
      <c r="F1208" s="7" t="s">
        <v>1224</v>
      </c>
      <c r="G1208" s="7" t="s">
        <v>12</v>
      </c>
      <c r="H1208" s="7"/>
    </row>
    <row r="1209" s="3" customFormat="1" ht="14.25" customHeight="1" spans="1:8">
      <c r="A1209" s="7">
        <v>1206</v>
      </c>
      <c r="B1209" s="7" t="str">
        <f>"114020200403000817160351"</f>
        <v>114020200403000817160351</v>
      </c>
      <c r="C1209" s="7" t="s">
        <v>1085</v>
      </c>
      <c r="D1209" s="7" t="str">
        <f>"赵明英"</f>
        <v>赵明英</v>
      </c>
      <c r="E1209" s="7" t="str">
        <f t="shared" si="130"/>
        <v>女</v>
      </c>
      <c r="F1209" s="7" t="s">
        <v>1225</v>
      </c>
      <c r="G1209" s="7" t="s">
        <v>12</v>
      </c>
      <c r="H1209" s="7"/>
    </row>
    <row r="1210" s="3" customFormat="1" ht="14.25" customHeight="1" spans="1:8">
      <c r="A1210" s="7">
        <v>1207</v>
      </c>
      <c r="B1210" s="7" t="str">
        <f>"114020200403070838160363"</f>
        <v>114020200403070838160363</v>
      </c>
      <c r="C1210" s="7" t="s">
        <v>1085</v>
      </c>
      <c r="D1210" s="7" t="str">
        <f>"林琅"</f>
        <v>林琅</v>
      </c>
      <c r="E1210" s="7" t="str">
        <f t="shared" si="130"/>
        <v>女</v>
      </c>
      <c r="F1210" s="7" t="s">
        <v>1226</v>
      </c>
      <c r="G1210" s="7" t="s">
        <v>12</v>
      </c>
      <c r="H1210" s="7"/>
    </row>
    <row r="1211" s="3" customFormat="1" ht="14.25" customHeight="1" spans="1:8">
      <c r="A1211" s="7">
        <v>1208</v>
      </c>
      <c r="B1211" s="7" t="str">
        <f>"114020200403083317160366"</f>
        <v>114020200403083317160366</v>
      </c>
      <c r="C1211" s="7" t="s">
        <v>1085</v>
      </c>
      <c r="D1211" s="7" t="str">
        <f>"杜丽佳"</f>
        <v>杜丽佳</v>
      </c>
      <c r="E1211" s="7" t="str">
        <f t="shared" si="130"/>
        <v>女</v>
      </c>
      <c r="F1211" s="7" t="s">
        <v>1227</v>
      </c>
      <c r="G1211" s="7" t="s">
        <v>12</v>
      </c>
      <c r="H1211" s="7"/>
    </row>
    <row r="1212" s="3" customFormat="1" ht="14.25" customHeight="1" spans="1:8">
      <c r="A1212" s="7">
        <v>1209</v>
      </c>
      <c r="B1212" s="7" t="str">
        <f>"114020200403083407160367"</f>
        <v>114020200403083407160367</v>
      </c>
      <c r="C1212" s="7" t="s">
        <v>1085</v>
      </c>
      <c r="D1212" s="7" t="str">
        <f>"洪书华"</f>
        <v>洪书华</v>
      </c>
      <c r="E1212" s="7" t="str">
        <f t="shared" si="130"/>
        <v>女</v>
      </c>
      <c r="F1212" s="7" t="s">
        <v>1228</v>
      </c>
      <c r="G1212" s="7" t="s">
        <v>12</v>
      </c>
      <c r="H1212" s="7"/>
    </row>
    <row r="1213" s="3" customFormat="1" ht="14.25" customHeight="1" spans="1:8">
      <c r="A1213" s="7">
        <v>1210</v>
      </c>
      <c r="B1213" s="7" t="str">
        <f>"114020200403095249160385"</f>
        <v>114020200403095249160385</v>
      </c>
      <c r="C1213" s="7" t="s">
        <v>1085</v>
      </c>
      <c r="D1213" s="7" t="str">
        <f>"许海花"</f>
        <v>许海花</v>
      </c>
      <c r="E1213" s="7" t="str">
        <f t="shared" si="130"/>
        <v>女</v>
      </c>
      <c r="F1213" s="7" t="s">
        <v>1229</v>
      </c>
      <c r="G1213" s="7" t="s">
        <v>12</v>
      </c>
      <c r="H1213" s="7"/>
    </row>
    <row r="1214" s="3" customFormat="1" ht="14.25" customHeight="1" spans="1:8">
      <c r="A1214" s="7">
        <v>1211</v>
      </c>
      <c r="B1214" s="7" t="str">
        <f>"114020200403122619160440"</f>
        <v>114020200403122619160440</v>
      </c>
      <c r="C1214" s="7" t="s">
        <v>1085</v>
      </c>
      <c r="D1214" s="7" t="str">
        <f>"杨振文"</f>
        <v>杨振文</v>
      </c>
      <c r="E1214" s="7" t="str">
        <f>"男"</f>
        <v>男</v>
      </c>
      <c r="F1214" s="7" t="s">
        <v>850</v>
      </c>
      <c r="G1214" s="7" t="s">
        <v>12</v>
      </c>
      <c r="H1214" s="7"/>
    </row>
    <row r="1215" s="3" customFormat="1" ht="14.25" customHeight="1" spans="1:8">
      <c r="A1215" s="7">
        <v>1212</v>
      </c>
      <c r="B1215" s="7" t="str">
        <f>"114020200403125029160447"</f>
        <v>114020200403125029160447</v>
      </c>
      <c r="C1215" s="7" t="s">
        <v>1085</v>
      </c>
      <c r="D1215" s="7" t="str">
        <f>"吴泽姣"</f>
        <v>吴泽姣</v>
      </c>
      <c r="E1215" s="7" t="str">
        <f t="shared" ref="E1215:E1253" si="131">"女"</f>
        <v>女</v>
      </c>
      <c r="F1215" s="7" t="s">
        <v>1230</v>
      </c>
      <c r="G1215" s="7" t="s">
        <v>12</v>
      </c>
      <c r="H1215" s="7"/>
    </row>
    <row r="1216" s="3" customFormat="1" ht="14.25" customHeight="1" spans="1:8">
      <c r="A1216" s="7">
        <v>1213</v>
      </c>
      <c r="B1216" s="7" t="str">
        <f>"114020200403130701160452"</f>
        <v>114020200403130701160452</v>
      </c>
      <c r="C1216" s="7" t="s">
        <v>1085</v>
      </c>
      <c r="D1216" s="7" t="str">
        <f>"王源茜"</f>
        <v>王源茜</v>
      </c>
      <c r="E1216" s="7" t="str">
        <f t="shared" si="131"/>
        <v>女</v>
      </c>
      <c r="F1216" s="7" t="s">
        <v>1231</v>
      </c>
      <c r="G1216" s="7" t="s">
        <v>12</v>
      </c>
      <c r="H1216" s="7"/>
    </row>
    <row r="1217" s="3" customFormat="1" ht="14.25" customHeight="1" spans="1:8">
      <c r="A1217" s="7">
        <v>1214</v>
      </c>
      <c r="B1217" s="7" t="str">
        <f>"114020200404155832160623"</f>
        <v>114020200404155832160623</v>
      </c>
      <c r="C1217" s="7" t="s">
        <v>1085</v>
      </c>
      <c r="D1217" s="7" t="str">
        <f>"陈积凤"</f>
        <v>陈积凤</v>
      </c>
      <c r="E1217" s="7" t="str">
        <f t="shared" si="131"/>
        <v>女</v>
      </c>
      <c r="F1217" s="7" t="s">
        <v>1232</v>
      </c>
      <c r="G1217" s="7" t="s">
        <v>12</v>
      </c>
      <c r="H1217" s="7"/>
    </row>
    <row r="1218" s="3" customFormat="1" ht="14.25" customHeight="1" spans="1:8">
      <c r="A1218" s="7">
        <v>1215</v>
      </c>
      <c r="B1218" s="7" t="str">
        <f>"114020200404203914160654"</f>
        <v>114020200404203914160654</v>
      </c>
      <c r="C1218" s="7" t="s">
        <v>1085</v>
      </c>
      <c r="D1218" s="7" t="str">
        <f>"陈沐娟"</f>
        <v>陈沐娟</v>
      </c>
      <c r="E1218" s="7" t="str">
        <f t="shared" si="131"/>
        <v>女</v>
      </c>
      <c r="F1218" s="7" t="s">
        <v>1233</v>
      </c>
      <c r="G1218" s="7" t="s">
        <v>12</v>
      </c>
      <c r="H1218" s="7"/>
    </row>
    <row r="1219" s="3" customFormat="1" ht="14.25" customHeight="1" spans="1:8">
      <c r="A1219" s="7">
        <v>1216</v>
      </c>
      <c r="B1219" s="7" t="str">
        <f>"114020200404215305160676"</f>
        <v>114020200404215305160676</v>
      </c>
      <c r="C1219" s="7" t="s">
        <v>1085</v>
      </c>
      <c r="D1219" s="7" t="str">
        <f>"何应蕊"</f>
        <v>何应蕊</v>
      </c>
      <c r="E1219" s="7" t="str">
        <f t="shared" si="131"/>
        <v>女</v>
      </c>
      <c r="F1219" s="7" t="s">
        <v>1234</v>
      </c>
      <c r="G1219" s="7" t="s">
        <v>12</v>
      </c>
      <c r="H1219" s="7"/>
    </row>
    <row r="1220" s="3" customFormat="1" ht="14.25" customHeight="1" spans="1:8">
      <c r="A1220" s="7">
        <v>1217</v>
      </c>
      <c r="B1220" s="7" t="str">
        <f>"114020200404231841160692"</f>
        <v>114020200404231841160692</v>
      </c>
      <c r="C1220" s="7" t="s">
        <v>1085</v>
      </c>
      <c r="D1220" s="7" t="str">
        <f>"黎阿娇"</f>
        <v>黎阿娇</v>
      </c>
      <c r="E1220" s="7" t="str">
        <f t="shared" si="131"/>
        <v>女</v>
      </c>
      <c r="F1220" s="7" t="s">
        <v>1235</v>
      </c>
      <c r="G1220" s="7" t="s">
        <v>12</v>
      </c>
      <c r="H1220" s="7"/>
    </row>
    <row r="1221" s="3" customFormat="1" ht="14.25" customHeight="1" spans="1:8">
      <c r="A1221" s="7">
        <v>1218</v>
      </c>
      <c r="B1221" s="7" t="str">
        <f>"114020200405141116160840"</f>
        <v>114020200405141116160840</v>
      </c>
      <c r="C1221" s="7" t="s">
        <v>1085</v>
      </c>
      <c r="D1221" s="7" t="str">
        <f>"容晶"</f>
        <v>容晶</v>
      </c>
      <c r="E1221" s="7" t="str">
        <f t="shared" si="131"/>
        <v>女</v>
      </c>
      <c r="F1221" s="7" t="s">
        <v>1236</v>
      </c>
      <c r="G1221" s="7" t="s">
        <v>12</v>
      </c>
      <c r="H1221" s="7"/>
    </row>
    <row r="1222" s="3" customFormat="1" ht="14.25" customHeight="1" spans="1:8">
      <c r="A1222" s="7">
        <v>1219</v>
      </c>
      <c r="B1222" s="7" t="str">
        <f>"114020200405143625160847"</f>
        <v>114020200405143625160847</v>
      </c>
      <c r="C1222" s="7" t="s">
        <v>1085</v>
      </c>
      <c r="D1222" s="7" t="str">
        <f>"蔡晶晶"</f>
        <v>蔡晶晶</v>
      </c>
      <c r="E1222" s="7" t="str">
        <f t="shared" si="131"/>
        <v>女</v>
      </c>
      <c r="F1222" s="7" t="s">
        <v>1237</v>
      </c>
      <c r="G1222" s="7" t="s">
        <v>12</v>
      </c>
      <c r="H1222" s="7"/>
    </row>
    <row r="1223" s="3" customFormat="1" ht="14.25" customHeight="1" spans="1:8">
      <c r="A1223" s="7">
        <v>1220</v>
      </c>
      <c r="B1223" s="7" t="str">
        <f>"114020200405183854160922"</f>
        <v>114020200405183854160922</v>
      </c>
      <c r="C1223" s="7" t="s">
        <v>1085</v>
      </c>
      <c r="D1223" s="7" t="str">
        <f>"文慧欣"</f>
        <v>文慧欣</v>
      </c>
      <c r="E1223" s="7" t="str">
        <f t="shared" si="131"/>
        <v>女</v>
      </c>
      <c r="F1223" s="7" t="s">
        <v>1238</v>
      </c>
      <c r="G1223" s="7" t="s">
        <v>12</v>
      </c>
      <c r="H1223" s="7"/>
    </row>
    <row r="1224" s="3" customFormat="1" ht="14.25" customHeight="1" spans="1:8">
      <c r="A1224" s="7">
        <v>1221</v>
      </c>
      <c r="B1224" s="7" t="str">
        <f>"114020200405213920160996"</f>
        <v>114020200405213920160996</v>
      </c>
      <c r="C1224" s="7" t="s">
        <v>1085</v>
      </c>
      <c r="D1224" s="7" t="str">
        <f>"王馥芸"</f>
        <v>王馥芸</v>
      </c>
      <c r="E1224" s="7" t="str">
        <f t="shared" si="131"/>
        <v>女</v>
      </c>
      <c r="F1224" s="7" t="s">
        <v>1239</v>
      </c>
      <c r="G1224" s="7" t="s">
        <v>12</v>
      </c>
      <c r="H1224" s="7"/>
    </row>
    <row r="1225" s="3" customFormat="1" ht="14.25" customHeight="1" spans="1:8">
      <c r="A1225" s="7">
        <v>1222</v>
      </c>
      <c r="B1225" s="7" t="str">
        <f>"114020200405215643161005"</f>
        <v>114020200405215643161005</v>
      </c>
      <c r="C1225" s="7" t="s">
        <v>1085</v>
      </c>
      <c r="D1225" s="7" t="str">
        <f>"苏欣欣"</f>
        <v>苏欣欣</v>
      </c>
      <c r="E1225" s="7" t="str">
        <f t="shared" si="131"/>
        <v>女</v>
      </c>
      <c r="F1225" s="7" t="s">
        <v>1240</v>
      </c>
      <c r="G1225" s="7" t="s">
        <v>12</v>
      </c>
      <c r="H1225" s="7"/>
    </row>
    <row r="1226" s="3" customFormat="1" ht="14.25" customHeight="1" spans="1:8">
      <c r="A1226" s="7">
        <v>1223</v>
      </c>
      <c r="B1226" s="7" t="str">
        <f>"114020200406103146161111"</f>
        <v>114020200406103146161111</v>
      </c>
      <c r="C1226" s="7" t="s">
        <v>1085</v>
      </c>
      <c r="D1226" s="7" t="str">
        <f>"吴琳"</f>
        <v>吴琳</v>
      </c>
      <c r="E1226" s="7" t="str">
        <f t="shared" si="131"/>
        <v>女</v>
      </c>
      <c r="F1226" s="7" t="s">
        <v>1241</v>
      </c>
      <c r="G1226" s="7" t="s">
        <v>12</v>
      </c>
      <c r="H1226" s="7"/>
    </row>
    <row r="1227" s="3" customFormat="1" ht="14.25" customHeight="1" spans="1:8">
      <c r="A1227" s="7">
        <v>1224</v>
      </c>
      <c r="B1227" s="7" t="str">
        <f>"114020200406111640161149"</f>
        <v>114020200406111640161149</v>
      </c>
      <c r="C1227" s="7" t="s">
        <v>1085</v>
      </c>
      <c r="D1227" s="7" t="str">
        <f>"曾英桃"</f>
        <v>曾英桃</v>
      </c>
      <c r="E1227" s="7" t="str">
        <f t="shared" si="131"/>
        <v>女</v>
      </c>
      <c r="F1227" s="7" t="s">
        <v>1242</v>
      </c>
      <c r="G1227" s="7" t="s">
        <v>12</v>
      </c>
      <c r="H1227" s="7"/>
    </row>
    <row r="1228" s="3" customFormat="1" ht="14.25" customHeight="1" spans="1:8">
      <c r="A1228" s="7">
        <v>1225</v>
      </c>
      <c r="B1228" s="7" t="str">
        <f>"114020200328090722157155"</f>
        <v>114020200328090722157155</v>
      </c>
      <c r="C1228" s="7" t="s">
        <v>1243</v>
      </c>
      <c r="D1228" s="7" t="str">
        <f>"林能玲"</f>
        <v>林能玲</v>
      </c>
      <c r="E1228" s="7" t="str">
        <f t="shared" si="131"/>
        <v>女</v>
      </c>
      <c r="F1228" s="7" t="s">
        <v>1244</v>
      </c>
      <c r="G1228" s="7" t="s">
        <v>12</v>
      </c>
      <c r="H1228" s="7"/>
    </row>
    <row r="1229" s="3" customFormat="1" ht="14.25" customHeight="1" spans="1:8">
      <c r="A1229" s="7">
        <v>1226</v>
      </c>
      <c r="B1229" s="7" t="str">
        <f>"114020200328091511157169"</f>
        <v>114020200328091511157169</v>
      </c>
      <c r="C1229" s="7" t="s">
        <v>1243</v>
      </c>
      <c r="D1229" s="7" t="str">
        <f>"王槐丽"</f>
        <v>王槐丽</v>
      </c>
      <c r="E1229" s="7" t="str">
        <f t="shared" si="131"/>
        <v>女</v>
      </c>
      <c r="F1229" s="7" t="s">
        <v>1245</v>
      </c>
      <c r="G1229" s="7" t="s">
        <v>12</v>
      </c>
      <c r="H1229" s="7"/>
    </row>
    <row r="1230" s="3" customFormat="1" ht="14.25" customHeight="1" spans="1:8">
      <c r="A1230" s="7">
        <v>1227</v>
      </c>
      <c r="B1230" s="7" t="str">
        <f>"114020200328091916157176"</f>
        <v>114020200328091916157176</v>
      </c>
      <c r="C1230" s="7" t="s">
        <v>1243</v>
      </c>
      <c r="D1230" s="7" t="str">
        <f>"唐琳玲"</f>
        <v>唐琳玲</v>
      </c>
      <c r="E1230" s="7" t="str">
        <f t="shared" si="131"/>
        <v>女</v>
      </c>
      <c r="F1230" s="7" t="s">
        <v>1246</v>
      </c>
      <c r="G1230" s="7" t="s">
        <v>12</v>
      </c>
      <c r="H1230" s="7"/>
    </row>
    <row r="1231" s="3" customFormat="1" ht="14.25" customHeight="1" spans="1:8">
      <c r="A1231" s="7">
        <v>1228</v>
      </c>
      <c r="B1231" s="7" t="str">
        <f>"114020200328093715157219"</f>
        <v>114020200328093715157219</v>
      </c>
      <c r="C1231" s="7" t="s">
        <v>1243</v>
      </c>
      <c r="D1231" s="7" t="str">
        <f>"王敏"</f>
        <v>王敏</v>
      </c>
      <c r="E1231" s="7" t="str">
        <f t="shared" si="131"/>
        <v>女</v>
      </c>
      <c r="F1231" s="7" t="s">
        <v>1247</v>
      </c>
      <c r="G1231" s="7" t="s">
        <v>12</v>
      </c>
      <c r="H1231" s="7"/>
    </row>
    <row r="1232" s="3" customFormat="1" ht="14.25" customHeight="1" spans="1:8">
      <c r="A1232" s="7">
        <v>1229</v>
      </c>
      <c r="B1232" s="7" t="str">
        <f>"114020200328094100157232"</f>
        <v>114020200328094100157232</v>
      </c>
      <c r="C1232" s="7" t="s">
        <v>1243</v>
      </c>
      <c r="D1232" s="7" t="str">
        <f>"王春燕"</f>
        <v>王春燕</v>
      </c>
      <c r="E1232" s="7" t="str">
        <f t="shared" si="131"/>
        <v>女</v>
      </c>
      <c r="F1232" s="7" t="s">
        <v>1248</v>
      </c>
      <c r="G1232" s="7" t="s">
        <v>12</v>
      </c>
      <c r="H1232" s="7"/>
    </row>
    <row r="1233" s="3" customFormat="1" ht="14.25" customHeight="1" spans="1:8">
      <c r="A1233" s="7">
        <v>1230</v>
      </c>
      <c r="B1233" s="7" t="str">
        <f>"114020200328102337157337"</f>
        <v>114020200328102337157337</v>
      </c>
      <c r="C1233" s="7" t="s">
        <v>1243</v>
      </c>
      <c r="D1233" s="7" t="str">
        <f>"朱奕兰"</f>
        <v>朱奕兰</v>
      </c>
      <c r="E1233" s="7" t="str">
        <f t="shared" si="131"/>
        <v>女</v>
      </c>
      <c r="F1233" s="7" t="s">
        <v>1249</v>
      </c>
      <c r="G1233" s="7" t="s">
        <v>12</v>
      </c>
      <c r="H1233" s="7"/>
    </row>
    <row r="1234" s="3" customFormat="1" ht="14.25" customHeight="1" spans="1:8">
      <c r="A1234" s="7">
        <v>1231</v>
      </c>
      <c r="B1234" s="7" t="str">
        <f>"114020200328110733157437"</f>
        <v>114020200328110733157437</v>
      </c>
      <c r="C1234" s="7" t="s">
        <v>1243</v>
      </c>
      <c r="D1234" s="7" t="str">
        <f>"刘西菊"</f>
        <v>刘西菊</v>
      </c>
      <c r="E1234" s="7" t="str">
        <f t="shared" si="131"/>
        <v>女</v>
      </c>
      <c r="F1234" s="7" t="s">
        <v>1250</v>
      </c>
      <c r="G1234" s="7" t="s">
        <v>12</v>
      </c>
      <c r="H1234" s="7"/>
    </row>
    <row r="1235" s="3" customFormat="1" ht="14.25" customHeight="1" spans="1:8">
      <c r="A1235" s="7">
        <v>1232</v>
      </c>
      <c r="B1235" s="7" t="str">
        <f>"114020200328113109157483"</f>
        <v>114020200328113109157483</v>
      </c>
      <c r="C1235" s="7" t="s">
        <v>1243</v>
      </c>
      <c r="D1235" s="7" t="str">
        <f>"钟丽洁"</f>
        <v>钟丽洁</v>
      </c>
      <c r="E1235" s="7" t="str">
        <f t="shared" si="131"/>
        <v>女</v>
      </c>
      <c r="F1235" s="7" t="s">
        <v>1251</v>
      </c>
      <c r="G1235" s="7" t="s">
        <v>12</v>
      </c>
      <c r="H1235" s="7"/>
    </row>
    <row r="1236" s="3" customFormat="1" ht="14.25" customHeight="1" spans="1:8">
      <c r="A1236" s="7">
        <v>1233</v>
      </c>
      <c r="B1236" s="7" t="str">
        <f>"114020200328113628157491"</f>
        <v>114020200328113628157491</v>
      </c>
      <c r="C1236" s="7" t="s">
        <v>1243</v>
      </c>
      <c r="D1236" s="7" t="str">
        <f>"黎俊榆"</f>
        <v>黎俊榆</v>
      </c>
      <c r="E1236" s="7" t="str">
        <f t="shared" si="131"/>
        <v>女</v>
      </c>
      <c r="F1236" s="7" t="s">
        <v>1252</v>
      </c>
      <c r="G1236" s="7" t="s">
        <v>12</v>
      </c>
      <c r="H1236" s="7"/>
    </row>
    <row r="1237" s="3" customFormat="1" ht="14.25" customHeight="1" spans="1:8">
      <c r="A1237" s="7">
        <v>1234</v>
      </c>
      <c r="B1237" s="7" t="str">
        <f>"114020200328123509157599"</f>
        <v>114020200328123509157599</v>
      </c>
      <c r="C1237" s="7" t="s">
        <v>1243</v>
      </c>
      <c r="D1237" s="7" t="str">
        <f>"倪德霞"</f>
        <v>倪德霞</v>
      </c>
      <c r="E1237" s="7" t="str">
        <f t="shared" si="131"/>
        <v>女</v>
      </c>
      <c r="F1237" s="7" t="s">
        <v>1253</v>
      </c>
      <c r="G1237" s="7" t="s">
        <v>12</v>
      </c>
      <c r="H1237" s="7"/>
    </row>
    <row r="1238" s="3" customFormat="1" ht="14.25" customHeight="1" spans="1:8">
      <c r="A1238" s="7">
        <v>1235</v>
      </c>
      <c r="B1238" s="7" t="str">
        <f>"114020200328131429157657"</f>
        <v>114020200328131429157657</v>
      </c>
      <c r="C1238" s="7" t="s">
        <v>1243</v>
      </c>
      <c r="D1238" s="7" t="str">
        <f>"颜森莹"</f>
        <v>颜森莹</v>
      </c>
      <c r="E1238" s="7" t="str">
        <f t="shared" si="131"/>
        <v>女</v>
      </c>
      <c r="F1238" s="7" t="s">
        <v>1254</v>
      </c>
      <c r="G1238" s="7" t="s">
        <v>12</v>
      </c>
      <c r="H1238" s="7"/>
    </row>
    <row r="1239" s="3" customFormat="1" ht="14.25" customHeight="1" spans="1:8">
      <c r="A1239" s="7">
        <v>1236</v>
      </c>
      <c r="B1239" s="7" t="str">
        <f>"114020200328134349157702"</f>
        <v>114020200328134349157702</v>
      </c>
      <c r="C1239" s="7" t="s">
        <v>1243</v>
      </c>
      <c r="D1239" s="7" t="str">
        <f>"兰丹利"</f>
        <v>兰丹利</v>
      </c>
      <c r="E1239" s="7" t="str">
        <f t="shared" si="131"/>
        <v>女</v>
      </c>
      <c r="F1239" s="7" t="s">
        <v>1255</v>
      </c>
      <c r="G1239" s="7" t="s">
        <v>12</v>
      </c>
      <c r="H1239" s="7"/>
    </row>
    <row r="1240" s="3" customFormat="1" ht="14.25" customHeight="1" spans="1:8">
      <c r="A1240" s="7">
        <v>1237</v>
      </c>
      <c r="B1240" s="7" t="str">
        <f>"114020200328140647157727"</f>
        <v>114020200328140647157727</v>
      </c>
      <c r="C1240" s="7" t="s">
        <v>1243</v>
      </c>
      <c r="D1240" s="7" t="str">
        <f>"张华"</f>
        <v>张华</v>
      </c>
      <c r="E1240" s="7" t="str">
        <f t="shared" si="131"/>
        <v>女</v>
      </c>
      <c r="F1240" s="7" t="s">
        <v>1256</v>
      </c>
      <c r="G1240" s="7" t="s">
        <v>12</v>
      </c>
      <c r="H1240" s="7"/>
    </row>
    <row r="1241" s="3" customFormat="1" ht="14.25" customHeight="1" spans="1:8">
      <c r="A1241" s="7">
        <v>1238</v>
      </c>
      <c r="B1241" s="7" t="str">
        <f>"114020200328145943157771"</f>
        <v>114020200328145943157771</v>
      </c>
      <c r="C1241" s="7" t="s">
        <v>1243</v>
      </c>
      <c r="D1241" s="7" t="str">
        <f>"邢文完"</f>
        <v>邢文完</v>
      </c>
      <c r="E1241" s="7" t="str">
        <f t="shared" si="131"/>
        <v>女</v>
      </c>
      <c r="F1241" s="7" t="s">
        <v>1257</v>
      </c>
      <c r="G1241" s="7" t="s">
        <v>12</v>
      </c>
      <c r="H1241" s="7"/>
    </row>
    <row r="1242" s="3" customFormat="1" ht="14.25" customHeight="1" spans="1:8">
      <c r="A1242" s="7">
        <v>1239</v>
      </c>
      <c r="B1242" s="7" t="str">
        <f>"114020200328160734157838"</f>
        <v>114020200328160734157838</v>
      </c>
      <c r="C1242" s="7" t="s">
        <v>1243</v>
      </c>
      <c r="D1242" s="7" t="str">
        <f>"冯海平"</f>
        <v>冯海平</v>
      </c>
      <c r="E1242" s="7" t="str">
        <f t="shared" si="131"/>
        <v>女</v>
      </c>
      <c r="F1242" s="7" t="s">
        <v>1258</v>
      </c>
      <c r="G1242" s="7" t="s">
        <v>12</v>
      </c>
      <c r="H1242" s="7"/>
    </row>
    <row r="1243" s="3" customFormat="1" ht="14.25" customHeight="1" spans="1:8">
      <c r="A1243" s="7">
        <v>1240</v>
      </c>
      <c r="B1243" s="7" t="str">
        <f>"114020200328183358157970"</f>
        <v>114020200328183358157970</v>
      </c>
      <c r="C1243" s="7" t="s">
        <v>1243</v>
      </c>
      <c r="D1243" s="7" t="str">
        <f>"麦春晓"</f>
        <v>麦春晓</v>
      </c>
      <c r="E1243" s="7" t="str">
        <f t="shared" si="131"/>
        <v>女</v>
      </c>
      <c r="F1243" s="7" t="s">
        <v>1259</v>
      </c>
      <c r="G1243" s="7" t="s">
        <v>12</v>
      </c>
      <c r="H1243" s="7"/>
    </row>
    <row r="1244" s="3" customFormat="1" ht="14.25" customHeight="1" spans="1:8">
      <c r="A1244" s="7">
        <v>1241</v>
      </c>
      <c r="B1244" s="7" t="str">
        <f>"114020200328190338157986"</f>
        <v>114020200328190338157986</v>
      </c>
      <c r="C1244" s="7" t="s">
        <v>1243</v>
      </c>
      <c r="D1244" s="7" t="str">
        <f>"赵开均"</f>
        <v>赵开均</v>
      </c>
      <c r="E1244" s="7" t="str">
        <f t="shared" si="131"/>
        <v>女</v>
      </c>
      <c r="F1244" s="7" t="s">
        <v>1260</v>
      </c>
      <c r="G1244" s="7" t="s">
        <v>12</v>
      </c>
      <c r="H1244" s="7"/>
    </row>
    <row r="1245" s="3" customFormat="1" ht="14.25" customHeight="1" spans="1:8">
      <c r="A1245" s="7">
        <v>1242</v>
      </c>
      <c r="B1245" s="7" t="str">
        <f>"114020200328193628158007"</f>
        <v>114020200328193628158007</v>
      </c>
      <c r="C1245" s="7" t="s">
        <v>1243</v>
      </c>
      <c r="D1245" s="7" t="str">
        <f>"麦小菊"</f>
        <v>麦小菊</v>
      </c>
      <c r="E1245" s="7" t="str">
        <f t="shared" si="131"/>
        <v>女</v>
      </c>
      <c r="F1245" s="7" t="s">
        <v>1261</v>
      </c>
      <c r="G1245" s="7" t="s">
        <v>12</v>
      </c>
      <c r="H1245" s="7"/>
    </row>
    <row r="1246" s="3" customFormat="1" ht="14.25" customHeight="1" spans="1:8">
      <c r="A1246" s="7">
        <v>1243</v>
      </c>
      <c r="B1246" s="7" t="str">
        <f>"114020200328200251158024"</f>
        <v>114020200328200251158024</v>
      </c>
      <c r="C1246" s="7" t="s">
        <v>1243</v>
      </c>
      <c r="D1246" s="7" t="str">
        <f>"盘海兰"</f>
        <v>盘海兰</v>
      </c>
      <c r="E1246" s="7" t="str">
        <f t="shared" si="131"/>
        <v>女</v>
      </c>
      <c r="F1246" s="7" t="s">
        <v>1262</v>
      </c>
      <c r="G1246" s="7" t="s">
        <v>12</v>
      </c>
      <c r="H1246" s="7"/>
    </row>
    <row r="1247" s="3" customFormat="1" ht="14.25" customHeight="1" spans="1:8">
      <c r="A1247" s="7">
        <v>1244</v>
      </c>
      <c r="B1247" s="7" t="str">
        <f>"114020200328202235158040"</f>
        <v>114020200328202235158040</v>
      </c>
      <c r="C1247" s="7" t="s">
        <v>1243</v>
      </c>
      <c r="D1247" s="7" t="str">
        <f>"于晓梅"</f>
        <v>于晓梅</v>
      </c>
      <c r="E1247" s="7" t="str">
        <f t="shared" si="131"/>
        <v>女</v>
      </c>
      <c r="F1247" s="7" t="s">
        <v>1263</v>
      </c>
      <c r="G1247" s="7" t="s">
        <v>12</v>
      </c>
      <c r="H1247" s="7"/>
    </row>
    <row r="1248" s="3" customFormat="1" ht="14.25" customHeight="1" spans="1:8">
      <c r="A1248" s="7">
        <v>1245</v>
      </c>
      <c r="B1248" s="7" t="str">
        <f>"114020200328213147158097"</f>
        <v>114020200328213147158097</v>
      </c>
      <c r="C1248" s="7" t="s">
        <v>1243</v>
      </c>
      <c r="D1248" s="7" t="str">
        <f>"林精香"</f>
        <v>林精香</v>
      </c>
      <c r="E1248" s="7" t="str">
        <f t="shared" si="131"/>
        <v>女</v>
      </c>
      <c r="F1248" s="7" t="s">
        <v>1264</v>
      </c>
      <c r="G1248" s="7" t="s">
        <v>12</v>
      </c>
      <c r="H1248" s="7"/>
    </row>
    <row r="1249" s="3" customFormat="1" ht="14.25" customHeight="1" spans="1:8">
      <c r="A1249" s="7">
        <v>1246</v>
      </c>
      <c r="B1249" s="7" t="str">
        <f>"114020200328234113158167"</f>
        <v>114020200328234113158167</v>
      </c>
      <c r="C1249" s="7" t="s">
        <v>1243</v>
      </c>
      <c r="D1249" s="7" t="str">
        <f>"张名娟"</f>
        <v>张名娟</v>
      </c>
      <c r="E1249" s="7" t="str">
        <f t="shared" si="131"/>
        <v>女</v>
      </c>
      <c r="F1249" s="7" t="s">
        <v>1265</v>
      </c>
      <c r="G1249" s="7" t="s">
        <v>12</v>
      </c>
      <c r="H1249" s="7"/>
    </row>
    <row r="1250" s="3" customFormat="1" ht="14.25" customHeight="1" spans="1:8">
      <c r="A1250" s="7">
        <v>1247</v>
      </c>
      <c r="B1250" s="7" t="str">
        <f>"114020200329101006158250"</f>
        <v>114020200329101006158250</v>
      </c>
      <c r="C1250" s="7" t="s">
        <v>1243</v>
      </c>
      <c r="D1250" s="7" t="str">
        <f>"吉家娟"</f>
        <v>吉家娟</v>
      </c>
      <c r="E1250" s="7" t="str">
        <f t="shared" si="131"/>
        <v>女</v>
      </c>
      <c r="F1250" s="7" t="s">
        <v>1266</v>
      </c>
      <c r="G1250" s="7" t="s">
        <v>12</v>
      </c>
      <c r="H1250" s="7"/>
    </row>
    <row r="1251" s="3" customFormat="1" ht="14.25" customHeight="1" spans="1:8">
      <c r="A1251" s="7">
        <v>1248</v>
      </c>
      <c r="B1251" s="7" t="str">
        <f>"114020200329135824158422"</f>
        <v>114020200329135824158422</v>
      </c>
      <c r="C1251" s="7" t="s">
        <v>1243</v>
      </c>
      <c r="D1251" s="7" t="str">
        <f>"王才华"</f>
        <v>王才华</v>
      </c>
      <c r="E1251" s="7" t="str">
        <f t="shared" si="131"/>
        <v>女</v>
      </c>
      <c r="F1251" s="7" t="s">
        <v>1061</v>
      </c>
      <c r="G1251" s="7" t="s">
        <v>12</v>
      </c>
      <c r="H1251" s="7"/>
    </row>
    <row r="1252" s="3" customFormat="1" ht="14.25" customHeight="1" spans="1:8">
      <c r="A1252" s="7">
        <v>1249</v>
      </c>
      <c r="B1252" s="7" t="str">
        <f>"114020200329193202158588"</f>
        <v>114020200329193202158588</v>
      </c>
      <c r="C1252" s="7" t="s">
        <v>1243</v>
      </c>
      <c r="D1252" s="7" t="str">
        <f>"李月玲"</f>
        <v>李月玲</v>
      </c>
      <c r="E1252" s="7" t="str">
        <f t="shared" si="131"/>
        <v>女</v>
      </c>
      <c r="F1252" s="7" t="s">
        <v>1267</v>
      </c>
      <c r="G1252" s="7" t="s">
        <v>12</v>
      </c>
      <c r="H1252" s="7"/>
    </row>
    <row r="1253" s="3" customFormat="1" ht="14.25" customHeight="1" spans="1:8">
      <c r="A1253" s="7">
        <v>1250</v>
      </c>
      <c r="B1253" s="7" t="str">
        <f>"114020200329195345158599"</f>
        <v>114020200329195345158599</v>
      </c>
      <c r="C1253" s="7" t="s">
        <v>1243</v>
      </c>
      <c r="D1253" s="7" t="str">
        <f>"张青霞"</f>
        <v>张青霞</v>
      </c>
      <c r="E1253" s="7" t="str">
        <f t="shared" si="131"/>
        <v>女</v>
      </c>
      <c r="F1253" s="7" t="s">
        <v>1268</v>
      </c>
      <c r="G1253" s="7" t="s">
        <v>12</v>
      </c>
      <c r="H1253" s="7"/>
    </row>
    <row r="1254" s="3" customFormat="1" ht="14.25" customHeight="1" spans="1:8">
      <c r="A1254" s="7">
        <v>1251</v>
      </c>
      <c r="B1254" s="7" t="str">
        <f>"114020200329202152158616"</f>
        <v>114020200329202152158616</v>
      </c>
      <c r="C1254" s="7" t="s">
        <v>1243</v>
      </c>
      <c r="D1254" s="7" t="str">
        <f>"王朝孟"</f>
        <v>王朝孟</v>
      </c>
      <c r="E1254" s="7" t="str">
        <f>"男"</f>
        <v>男</v>
      </c>
      <c r="F1254" s="7" t="s">
        <v>1269</v>
      </c>
      <c r="G1254" s="7" t="s">
        <v>12</v>
      </c>
      <c r="H1254" s="7"/>
    </row>
    <row r="1255" s="3" customFormat="1" ht="14.25" customHeight="1" spans="1:8">
      <c r="A1255" s="7">
        <v>1252</v>
      </c>
      <c r="B1255" s="7" t="str">
        <f>"114020200329221411158697"</f>
        <v>114020200329221411158697</v>
      </c>
      <c r="C1255" s="7" t="s">
        <v>1243</v>
      </c>
      <c r="D1255" s="7" t="str">
        <f>"陈慧青"</f>
        <v>陈慧青</v>
      </c>
      <c r="E1255" s="7" t="str">
        <f t="shared" ref="E1255:E1265" si="132">"女"</f>
        <v>女</v>
      </c>
      <c r="F1255" s="7" t="s">
        <v>1270</v>
      </c>
      <c r="G1255" s="7" t="s">
        <v>12</v>
      </c>
      <c r="H1255" s="7"/>
    </row>
    <row r="1256" s="3" customFormat="1" ht="14.25" customHeight="1" spans="1:8">
      <c r="A1256" s="7">
        <v>1253</v>
      </c>
      <c r="B1256" s="7" t="str">
        <f>"114020200329223244158708"</f>
        <v>114020200329223244158708</v>
      </c>
      <c r="C1256" s="7" t="s">
        <v>1243</v>
      </c>
      <c r="D1256" s="7" t="str">
        <f>"吴亚琴"</f>
        <v>吴亚琴</v>
      </c>
      <c r="E1256" s="7" t="str">
        <f t="shared" si="132"/>
        <v>女</v>
      </c>
      <c r="F1256" s="7" t="s">
        <v>1271</v>
      </c>
      <c r="G1256" s="7" t="s">
        <v>12</v>
      </c>
      <c r="H1256" s="7"/>
    </row>
    <row r="1257" s="3" customFormat="1" ht="14.25" customHeight="1" spans="1:8">
      <c r="A1257" s="7">
        <v>1254</v>
      </c>
      <c r="B1257" s="7" t="str">
        <f>"114020200330081847158762"</f>
        <v>114020200330081847158762</v>
      </c>
      <c r="C1257" s="7" t="s">
        <v>1243</v>
      </c>
      <c r="D1257" s="7" t="str">
        <f>"蒋玉花"</f>
        <v>蒋玉花</v>
      </c>
      <c r="E1257" s="7" t="str">
        <f t="shared" si="132"/>
        <v>女</v>
      </c>
      <c r="F1257" s="7" t="s">
        <v>1272</v>
      </c>
      <c r="G1257" s="7" t="s">
        <v>12</v>
      </c>
      <c r="H1257" s="7"/>
    </row>
    <row r="1258" s="3" customFormat="1" ht="14.25" customHeight="1" spans="1:8">
      <c r="A1258" s="7">
        <v>1255</v>
      </c>
      <c r="B1258" s="7" t="str">
        <f>"114020200330093855158823"</f>
        <v>114020200330093855158823</v>
      </c>
      <c r="C1258" s="7" t="s">
        <v>1243</v>
      </c>
      <c r="D1258" s="7" t="str">
        <f>"赵春娇"</f>
        <v>赵春娇</v>
      </c>
      <c r="E1258" s="7" t="str">
        <f t="shared" si="132"/>
        <v>女</v>
      </c>
      <c r="F1258" s="7" t="s">
        <v>1273</v>
      </c>
      <c r="G1258" s="7" t="s">
        <v>12</v>
      </c>
      <c r="H1258" s="7"/>
    </row>
    <row r="1259" s="3" customFormat="1" ht="14.25" customHeight="1" spans="1:8">
      <c r="A1259" s="7">
        <v>1256</v>
      </c>
      <c r="B1259" s="7" t="str">
        <f>"114020200330102753158871"</f>
        <v>114020200330102753158871</v>
      </c>
      <c r="C1259" s="7" t="s">
        <v>1243</v>
      </c>
      <c r="D1259" s="7" t="str">
        <f>"林嗣青"</f>
        <v>林嗣青</v>
      </c>
      <c r="E1259" s="7" t="str">
        <f t="shared" si="132"/>
        <v>女</v>
      </c>
      <c r="F1259" s="7" t="s">
        <v>1274</v>
      </c>
      <c r="G1259" s="7" t="s">
        <v>12</v>
      </c>
      <c r="H1259" s="7"/>
    </row>
    <row r="1260" s="3" customFormat="1" ht="14.25" customHeight="1" spans="1:8">
      <c r="A1260" s="7">
        <v>1257</v>
      </c>
      <c r="B1260" s="7" t="str">
        <f>"114020200330134542159022"</f>
        <v>114020200330134542159022</v>
      </c>
      <c r="C1260" s="7" t="s">
        <v>1243</v>
      </c>
      <c r="D1260" s="7" t="str">
        <f>"陈喜迎"</f>
        <v>陈喜迎</v>
      </c>
      <c r="E1260" s="7" t="str">
        <f t="shared" si="132"/>
        <v>女</v>
      </c>
      <c r="F1260" s="7" t="s">
        <v>220</v>
      </c>
      <c r="G1260" s="7" t="s">
        <v>12</v>
      </c>
      <c r="H1260" s="7"/>
    </row>
    <row r="1261" s="3" customFormat="1" ht="14.25" customHeight="1" spans="1:8">
      <c r="A1261" s="7">
        <v>1258</v>
      </c>
      <c r="B1261" s="7" t="str">
        <f>"114020200330174616159183"</f>
        <v>114020200330174616159183</v>
      </c>
      <c r="C1261" s="7" t="s">
        <v>1243</v>
      </c>
      <c r="D1261" s="7" t="str">
        <f>"林卉丹"</f>
        <v>林卉丹</v>
      </c>
      <c r="E1261" s="7" t="str">
        <f t="shared" si="132"/>
        <v>女</v>
      </c>
      <c r="F1261" s="7" t="s">
        <v>1275</v>
      </c>
      <c r="G1261" s="7" t="s">
        <v>12</v>
      </c>
      <c r="H1261" s="7"/>
    </row>
    <row r="1262" s="3" customFormat="1" ht="14.25" customHeight="1" spans="1:8">
      <c r="A1262" s="7">
        <v>1259</v>
      </c>
      <c r="B1262" s="7" t="str">
        <f>"114020200330201942159248"</f>
        <v>114020200330201942159248</v>
      </c>
      <c r="C1262" s="7" t="s">
        <v>1243</v>
      </c>
      <c r="D1262" s="7" t="str">
        <f>"林小晶"</f>
        <v>林小晶</v>
      </c>
      <c r="E1262" s="7" t="str">
        <f t="shared" si="132"/>
        <v>女</v>
      </c>
      <c r="F1262" s="7" t="s">
        <v>1276</v>
      </c>
      <c r="G1262" s="7" t="s">
        <v>12</v>
      </c>
      <c r="H1262" s="7"/>
    </row>
    <row r="1263" s="3" customFormat="1" ht="14.25" customHeight="1" spans="1:8">
      <c r="A1263" s="7">
        <v>1260</v>
      </c>
      <c r="B1263" s="7" t="str">
        <f>"114020200330210420159268"</f>
        <v>114020200330210420159268</v>
      </c>
      <c r="C1263" s="7" t="s">
        <v>1243</v>
      </c>
      <c r="D1263" s="7" t="str">
        <f>"郭宏霞"</f>
        <v>郭宏霞</v>
      </c>
      <c r="E1263" s="7" t="str">
        <f t="shared" si="132"/>
        <v>女</v>
      </c>
      <c r="F1263" s="7" t="s">
        <v>1277</v>
      </c>
      <c r="G1263" s="7" t="s">
        <v>12</v>
      </c>
      <c r="H1263" s="7"/>
    </row>
    <row r="1264" s="3" customFormat="1" ht="14.25" customHeight="1" spans="1:8">
      <c r="A1264" s="7">
        <v>1261</v>
      </c>
      <c r="B1264" s="7" t="str">
        <f>"114020200330213734159297"</f>
        <v>114020200330213734159297</v>
      </c>
      <c r="C1264" s="7" t="s">
        <v>1243</v>
      </c>
      <c r="D1264" s="7" t="str">
        <f>"马玲"</f>
        <v>马玲</v>
      </c>
      <c r="E1264" s="7" t="str">
        <f t="shared" si="132"/>
        <v>女</v>
      </c>
      <c r="F1264" s="7" t="s">
        <v>1278</v>
      </c>
      <c r="G1264" s="7" t="s">
        <v>12</v>
      </c>
      <c r="H1264" s="7"/>
    </row>
    <row r="1265" s="3" customFormat="1" ht="14.25" customHeight="1" spans="1:8">
      <c r="A1265" s="7">
        <v>1262</v>
      </c>
      <c r="B1265" s="7" t="str">
        <f>"114020200330220519159307"</f>
        <v>114020200330220519159307</v>
      </c>
      <c r="C1265" s="7" t="s">
        <v>1243</v>
      </c>
      <c r="D1265" s="7" t="str">
        <f>"符金珠"</f>
        <v>符金珠</v>
      </c>
      <c r="E1265" s="7" t="str">
        <f t="shared" si="132"/>
        <v>女</v>
      </c>
      <c r="F1265" s="7" t="s">
        <v>1279</v>
      </c>
      <c r="G1265" s="7" t="s">
        <v>12</v>
      </c>
      <c r="H1265" s="7"/>
    </row>
    <row r="1266" s="3" customFormat="1" ht="14.25" customHeight="1" spans="1:8">
      <c r="A1266" s="7">
        <v>1263</v>
      </c>
      <c r="B1266" s="7" t="str">
        <f>"114020200330234216159352"</f>
        <v>114020200330234216159352</v>
      </c>
      <c r="C1266" s="7" t="s">
        <v>1243</v>
      </c>
      <c r="D1266" s="7" t="str">
        <f>"钟吉富"</f>
        <v>钟吉富</v>
      </c>
      <c r="E1266" s="7" t="str">
        <f>"男"</f>
        <v>男</v>
      </c>
      <c r="F1266" s="7" t="s">
        <v>1280</v>
      </c>
      <c r="G1266" s="7" t="s">
        <v>12</v>
      </c>
      <c r="H1266" s="7"/>
    </row>
    <row r="1267" s="3" customFormat="1" ht="14.25" customHeight="1" spans="1:8">
      <c r="A1267" s="7">
        <v>1264</v>
      </c>
      <c r="B1267" s="7" t="str">
        <f>"114020200330235213159355"</f>
        <v>114020200330235213159355</v>
      </c>
      <c r="C1267" s="7" t="s">
        <v>1243</v>
      </c>
      <c r="D1267" s="7" t="str">
        <f>"李雅慧"</f>
        <v>李雅慧</v>
      </c>
      <c r="E1267" s="7" t="str">
        <f t="shared" ref="E1267:E1270" si="133">"女"</f>
        <v>女</v>
      </c>
      <c r="F1267" s="7" t="s">
        <v>1281</v>
      </c>
      <c r="G1267" s="7" t="s">
        <v>12</v>
      </c>
      <c r="H1267" s="7"/>
    </row>
    <row r="1268" s="3" customFormat="1" ht="14.25" customHeight="1" spans="1:8">
      <c r="A1268" s="7">
        <v>1265</v>
      </c>
      <c r="B1268" s="7" t="str">
        <f>"114020200331100306159401"</f>
        <v>114020200331100306159401</v>
      </c>
      <c r="C1268" s="7" t="s">
        <v>1243</v>
      </c>
      <c r="D1268" s="7" t="str">
        <f>"王芳"</f>
        <v>王芳</v>
      </c>
      <c r="E1268" s="7" t="str">
        <f t="shared" si="133"/>
        <v>女</v>
      </c>
      <c r="F1268" s="7" t="s">
        <v>1282</v>
      </c>
      <c r="G1268" s="7" t="s">
        <v>12</v>
      </c>
      <c r="H1268" s="7"/>
    </row>
    <row r="1269" s="3" customFormat="1" ht="14.25" customHeight="1" spans="1:8">
      <c r="A1269" s="7">
        <v>1266</v>
      </c>
      <c r="B1269" s="7" t="str">
        <f>"114020200331100419159402"</f>
        <v>114020200331100419159402</v>
      </c>
      <c r="C1269" s="7" t="s">
        <v>1243</v>
      </c>
      <c r="D1269" s="7" t="str">
        <f>"高颖慧"</f>
        <v>高颖慧</v>
      </c>
      <c r="E1269" s="7" t="str">
        <f t="shared" si="133"/>
        <v>女</v>
      </c>
      <c r="F1269" s="7" t="s">
        <v>1283</v>
      </c>
      <c r="G1269" s="7" t="s">
        <v>12</v>
      </c>
      <c r="H1269" s="7"/>
    </row>
    <row r="1270" s="3" customFormat="1" ht="14.25" customHeight="1" spans="1:8">
      <c r="A1270" s="7">
        <v>1267</v>
      </c>
      <c r="B1270" s="7" t="str">
        <f>"114020200331141328159529"</f>
        <v>114020200331141328159529</v>
      </c>
      <c r="C1270" s="7" t="s">
        <v>1243</v>
      </c>
      <c r="D1270" s="7" t="str">
        <f>"吉才红"</f>
        <v>吉才红</v>
      </c>
      <c r="E1270" s="7" t="str">
        <f t="shared" si="133"/>
        <v>女</v>
      </c>
      <c r="F1270" s="7" t="s">
        <v>1284</v>
      </c>
      <c r="G1270" s="7" t="s">
        <v>12</v>
      </c>
      <c r="H1270" s="7"/>
    </row>
    <row r="1271" s="3" customFormat="1" ht="14.25" customHeight="1" spans="1:8">
      <c r="A1271" s="7">
        <v>1268</v>
      </c>
      <c r="B1271" s="7" t="str">
        <f>"114020200331153432159566"</f>
        <v>114020200331153432159566</v>
      </c>
      <c r="C1271" s="7" t="s">
        <v>1243</v>
      </c>
      <c r="D1271" s="7" t="str">
        <f>"王有明"</f>
        <v>王有明</v>
      </c>
      <c r="E1271" s="7" t="str">
        <f>"男"</f>
        <v>男</v>
      </c>
      <c r="F1271" s="7" t="s">
        <v>1285</v>
      </c>
      <c r="G1271" s="7" t="s">
        <v>12</v>
      </c>
      <c r="H1271" s="7"/>
    </row>
    <row r="1272" s="3" customFormat="1" ht="14.25" customHeight="1" spans="1:8">
      <c r="A1272" s="7">
        <v>1269</v>
      </c>
      <c r="B1272" s="7" t="str">
        <f>"114020200331183556159636"</f>
        <v>114020200331183556159636</v>
      </c>
      <c r="C1272" s="7" t="s">
        <v>1243</v>
      </c>
      <c r="D1272" s="7" t="str">
        <f>"苏丽"</f>
        <v>苏丽</v>
      </c>
      <c r="E1272" s="7" t="str">
        <f t="shared" ref="E1272:E1293" si="134">"女"</f>
        <v>女</v>
      </c>
      <c r="F1272" s="7" t="s">
        <v>1286</v>
      </c>
      <c r="G1272" s="7" t="s">
        <v>12</v>
      </c>
      <c r="H1272" s="7"/>
    </row>
    <row r="1273" s="3" customFormat="1" ht="14.25" customHeight="1" spans="1:8">
      <c r="A1273" s="7">
        <v>1270</v>
      </c>
      <c r="B1273" s="7" t="str">
        <f>"114020200331215213159703"</f>
        <v>114020200331215213159703</v>
      </c>
      <c r="C1273" s="7" t="s">
        <v>1243</v>
      </c>
      <c r="D1273" s="7" t="str">
        <f>"黄国琴"</f>
        <v>黄国琴</v>
      </c>
      <c r="E1273" s="7" t="str">
        <f t="shared" si="134"/>
        <v>女</v>
      </c>
      <c r="F1273" s="7" t="s">
        <v>1287</v>
      </c>
      <c r="G1273" s="7" t="s">
        <v>12</v>
      </c>
      <c r="H1273" s="7"/>
    </row>
    <row r="1274" s="3" customFormat="1" ht="14.25" customHeight="1" spans="1:8">
      <c r="A1274" s="7">
        <v>1271</v>
      </c>
      <c r="B1274" s="7" t="str">
        <f>"114020200331230519159722"</f>
        <v>114020200331230519159722</v>
      </c>
      <c r="C1274" s="7" t="s">
        <v>1243</v>
      </c>
      <c r="D1274" s="7" t="str">
        <f>"王慧丽"</f>
        <v>王慧丽</v>
      </c>
      <c r="E1274" s="7" t="str">
        <f t="shared" si="134"/>
        <v>女</v>
      </c>
      <c r="F1274" s="7" t="s">
        <v>1288</v>
      </c>
      <c r="G1274" s="7" t="s">
        <v>12</v>
      </c>
      <c r="H1274" s="7"/>
    </row>
    <row r="1275" s="3" customFormat="1" ht="14.25" customHeight="1" spans="1:8">
      <c r="A1275" s="7">
        <v>1272</v>
      </c>
      <c r="B1275" s="7" t="str">
        <f>"114020200401094053159763"</f>
        <v>114020200401094053159763</v>
      </c>
      <c r="C1275" s="7" t="s">
        <v>1243</v>
      </c>
      <c r="D1275" s="7" t="str">
        <f>"陈春花"</f>
        <v>陈春花</v>
      </c>
      <c r="E1275" s="7" t="str">
        <f t="shared" si="134"/>
        <v>女</v>
      </c>
      <c r="F1275" s="7" t="s">
        <v>1289</v>
      </c>
      <c r="G1275" s="7" t="s">
        <v>12</v>
      </c>
      <c r="H1275" s="7"/>
    </row>
    <row r="1276" s="3" customFormat="1" ht="14.25" customHeight="1" spans="1:8">
      <c r="A1276" s="7">
        <v>1273</v>
      </c>
      <c r="B1276" s="7" t="str">
        <f>"114020200401094728159766"</f>
        <v>114020200401094728159766</v>
      </c>
      <c r="C1276" s="7" t="s">
        <v>1243</v>
      </c>
      <c r="D1276" s="7" t="str">
        <f>"徐加慧"</f>
        <v>徐加慧</v>
      </c>
      <c r="E1276" s="7" t="str">
        <f t="shared" si="134"/>
        <v>女</v>
      </c>
      <c r="F1276" s="7" t="s">
        <v>1290</v>
      </c>
      <c r="G1276" s="7" t="s">
        <v>12</v>
      </c>
      <c r="H1276" s="7"/>
    </row>
    <row r="1277" s="3" customFormat="1" ht="14.25" customHeight="1" spans="1:8">
      <c r="A1277" s="7">
        <v>1274</v>
      </c>
      <c r="B1277" s="7" t="str">
        <f>"114020200401100639159774"</f>
        <v>114020200401100639159774</v>
      </c>
      <c r="C1277" s="7" t="s">
        <v>1243</v>
      </c>
      <c r="D1277" s="7" t="str">
        <f>"张芳梅"</f>
        <v>张芳梅</v>
      </c>
      <c r="E1277" s="7" t="str">
        <f t="shared" si="134"/>
        <v>女</v>
      </c>
      <c r="F1277" s="7" t="s">
        <v>1291</v>
      </c>
      <c r="G1277" s="7" t="s">
        <v>12</v>
      </c>
      <c r="H1277" s="7"/>
    </row>
    <row r="1278" s="3" customFormat="1" ht="14.25" customHeight="1" spans="1:8">
      <c r="A1278" s="7">
        <v>1275</v>
      </c>
      <c r="B1278" s="7" t="str">
        <f>"114020200401185129159990"</f>
        <v>114020200401185129159990</v>
      </c>
      <c r="C1278" s="7" t="s">
        <v>1243</v>
      </c>
      <c r="D1278" s="7" t="str">
        <f>"刘夏雨"</f>
        <v>刘夏雨</v>
      </c>
      <c r="E1278" s="7" t="str">
        <f t="shared" si="134"/>
        <v>女</v>
      </c>
      <c r="F1278" s="7" t="s">
        <v>1292</v>
      </c>
      <c r="G1278" s="7" t="s">
        <v>12</v>
      </c>
      <c r="H1278" s="7"/>
    </row>
    <row r="1279" s="3" customFormat="1" ht="14.25" customHeight="1" spans="1:8">
      <c r="A1279" s="7">
        <v>1276</v>
      </c>
      <c r="B1279" s="7" t="str">
        <f>"114020200401185758159992"</f>
        <v>114020200401185758159992</v>
      </c>
      <c r="C1279" s="7" t="s">
        <v>1243</v>
      </c>
      <c r="D1279" s="7" t="str">
        <f>"周亚莲"</f>
        <v>周亚莲</v>
      </c>
      <c r="E1279" s="7" t="str">
        <f t="shared" si="134"/>
        <v>女</v>
      </c>
      <c r="F1279" s="7" t="s">
        <v>1293</v>
      </c>
      <c r="G1279" s="7" t="s">
        <v>12</v>
      </c>
      <c r="H1279" s="7"/>
    </row>
    <row r="1280" s="3" customFormat="1" ht="14.25" customHeight="1" spans="1:8">
      <c r="A1280" s="7">
        <v>1277</v>
      </c>
      <c r="B1280" s="7" t="str">
        <f>"114020200401190522159995"</f>
        <v>114020200401190522159995</v>
      </c>
      <c r="C1280" s="7" t="s">
        <v>1243</v>
      </c>
      <c r="D1280" s="7" t="str">
        <f>"吴艳萍"</f>
        <v>吴艳萍</v>
      </c>
      <c r="E1280" s="7" t="str">
        <f t="shared" si="134"/>
        <v>女</v>
      </c>
      <c r="F1280" s="7" t="s">
        <v>1294</v>
      </c>
      <c r="G1280" s="7" t="s">
        <v>12</v>
      </c>
      <c r="H1280" s="7"/>
    </row>
    <row r="1281" s="3" customFormat="1" ht="14.25" customHeight="1" spans="1:8">
      <c r="A1281" s="7">
        <v>1278</v>
      </c>
      <c r="B1281" s="7" t="str">
        <f>"114020200401212059160040"</f>
        <v>114020200401212059160040</v>
      </c>
      <c r="C1281" s="7" t="s">
        <v>1243</v>
      </c>
      <c r="D1281" s="7" t="str">
        <f>"罗莘"</f>
        <v>罗莘</v>
      </c>
      <c r="E1281" s="7" t="str">
        <f t="shared" si="134"/>
        <v>女</v>
      </c>
      <c r="F1281" s="7" t="s">
        <v>1295</v>
      </c>
      <c r="G1281" s="7" t="s">
        <v>12</v>
      </c>
      <c r="H1281" s="7"/>
    </row>
    <row r="1282" s="3" customFormat="1" ht="14.25" customHeight="1" spans="1:8">
      <c r="A1282" s="7">
        <v>1279</v>
      </c>
      <c r="B1282" s="7" t="str">
        <f>"114020200402102903160131"</f>
        <v>114020200402102903160131</v>
      </c>
      <c r="C1282" s="7" t="s">
        <v>1243</v>
      </c>
      <c r="D1282" s="7" t="str">
        <f>"麦娇燕"</f>
        <v>麦娇燕</v>
      </c>
      <c r="E1282" s="7" t="str">
        <f t="shared" si="134"/>
        <v>女</v>
      </c>
      <c r="F1282" s="7" t="s">
        <v>1296</v>
      </c>
      <c r="G1282" s="7" t="s">
        <v>12</v>
      </c>
      <c r="H1282" s="7"/>
    </row>
    <row r="1283" s="3" customFormat="1" ht="14.25" customHeight="1" spans="1:8">
      <c r="A1283" s="7">
        <v>1280</v>
      </c>
      <c r="B1283" s="7" t="str">
        <f>"114020200402151833160201"</f>
        <v>114020200402151833160201</v>
      </c>
      <c r="C1283" s="7" t="s">
        <v>1243</v>
      </c>
      <c r="D1283" s="7" t="str">
        <f>"李助桂"</f>
        <v>李助桂</v>
      </c>
      <c r="E1283" s="7" t="str">
        <f t="shared" si="134"/>
        <v>女</v>
      </c>
      <c r="F1283" s="7" t="s">
        <v>1297</v>
      </c>
      <c r="G1283" s="7" t="s">
        <v>12</v>
      </c>
      <c r="H1283" s="7"/>
    </row>
    <row r="1284" s="3" customFormat="1" ht="14.25" customHeight="1" spans="1:8">
      <c r="A1284" s="7">
        <v>1281</v>
      </c>
      <c r="B1284" s="7" t="str">
        <f>"114020200402171323160251"</f>
        <v>114020200402171323160251</v>
      </c>
      <c r="C1284" s="7" t="s">
        <v>1243</v>
      </c>
      <c r="D1284" s="7" t="str">
        <f>"王鹤霏"</f>
        <v>王鹤霏</v>
      </c>
      <c r="E1284" s="7" t="str">
        <f t="shared" si="134"/>
        <v>女</v>
      </c>
      <c r="F1284" s="7" t="s">
        <v>1298</v>
      </c>
      <c r="G1284" s="7" t="s">
        <v>12</v>
      </c>
      <c r="H1284" s="7"/>
    </row>
    <row r="1285" s="3" customFormat="1" ht="14.25" customHeight="1" spans="1:8">
      <c r="A1285" s="7">
        <v>1282</v>
      </c>
      <c r="B1285" s="7" t="str">
        <f>"114020200403100419160389"</f>
        <v>114020200403100419160389</v>
      </c>
      <c r="C1285" s="7" t="s">
        <v>1243</v>
      </c>
      <c r="D1285" s="7" t="str">
        <f>"薛伟积"</f>
        <v>薛伟积</v>
      </c>
      <c r="E1285" s="7" t="str">
        <f t="shared" si="134"/>
        <v>女</v>
      </c>
      <c r="F1285" s="7" t="s">
        <v>1299</v>
      </c>
      <c r="G1285" s="7" t="s">
        <v>12</v>
      </c>
      <c r="H1285" s="7"/>
    </row>
    <row r="1286" s="3" customFormat="1" ht="14.25" customHeight="1" spans="1:8">
      <c r="A1286" s="7">
        <v>1283</v>
      </c>
      <c r="B1286" s="7" t="str">
        <f>"114020200403103043160396"</f>
        <v>114020200403103043160396</v>
      </c>
      <c r="C1286" s="7" t="s">
        <v>1243</v>
      </c>
      <c r="D1286" s="7" t="str">
        <f>"王云丽"</f>
        <v>王云丽</v>
      </c>
      <c r="E1286" s="7" t="str">
        <f t="shared" si="134"/>
        <v>女</v>
      </c>
      <c r="F1286" s="7" t="s">
        <v>1300</v>
      </c>
      <c r="G1286" s="7" t="s">
        <v>12</v>
      </c>
      <c r="H1286" s="7"/>
    </row>
    <row r="1287" s="3" customFormat="1" ht="14.25" customHeight="1" spans="1:8">
      <c r="A1287" s="7">
        <v>1284</v>
      </c>
      <c r="B1287" s="7" t="str">
        <f>"114020200403231033160570"</f>
        <v>114020200403231033160570</v>
      </c>
      <c r="C1287" s="7" t="s">
        <v>1243</v>
      </c>
      <c r="D1287" s="7" t="str">
        <f>"吴宝贤"</f>
        <v>吴宝贤</v>
      </c>
      <c r="E1287" s="7" t="str">
        <f t="shared" si="134"/>
        <v>女</v>
      </c>
      <c r="F1287" s="7" t="s">
        <v>1301</v>
      </c>
      <c r="G1287" s="7" t="s">
        <v>12</v>
      </c>
      <c r="H1287" s="7"/>
    </row>
    <row r="1288" s="3" customFormat="1" ht="14.25" customHeight="1" spans="1:8">
      <c r="A1288" s="7">
        <v>1285</v>
      </c>
      <c r="B1288" s="7" t="str">
        <f>"114020200404110051160595"</f>
        <v>114020200404110051160595</v>
      </c>
      <c r="C1288" s="7" t="s">
        <v>1243</v>
      </c>
      <c r="D1288" s="7" t="str">
        <f>"陈银"</f>
        <v>陈银</v>
      </c>
      <c r="E1288" s="7" t="str">
        <f t="shared" si="134"/>
        <v>女</v>
      </c>
      <c r="F1288" s="7" t="s">
        <v>1302</v>
      </c>
      <c r="G1288" s="7" t="s">
        <v>12</v>
      </c>
      <c r="H1288" s="7"/>
    </row>
    <row r="1289" s="3" customFormat="1" ht="14.25" customHeight="1" spans="1:8">
      <c r="A1289" s="7">
        <v>1286</v>
      </c>
      <c r="B1289" s="7" t="str">
        <f>"114020200404111708160598"</f>
        <v>114020200404111708160598</v>
      </c>
      <c r="C1289" s="7" t="s">
        <v>1243</v>
      </c>
      <c r="D1289" s="7" t="str">
        <f>"郭圣汝"</f>
        <v>郭圣汝</v>
      </c>
      <c r="E1289" s="7" t="str">
        <f t="shared" si="134"/>
        <v>女</v>
      </c>
      <c r="F1289" s="7" t="s">
        <v>1303</v>
      </c>
      <c r="G1289" s="7" t="s">
        <v>12</v>
      </c>
      <c r="H1289" s="7"/>
    </row>
    <row r="1290" s="3" customFormat="1" ht="14.25" customHeight="1" spans="1:8">
      <c r="A1290" s="7">
        <v>1287</v>
      </c>
      <c r="B1290" s="7" t="str">
        <f>"114020200405025810160706"</f>
        <v>114020200405025810160706</v>
      </c>
      <c r="C1290" s="7" t="s">
        <v>1243</v>
      </c>
      <c r="D1290" s="7" t="str">
        <f>"陈月维"</f>
        <v>陈月维</v>
      </c>
      <c r="E1290" s="7" t="str">
        <f t="shared" si="134"/>
        <v>女</v>
      </c>
      <c r="F1290" s="7" t="s">
        <v>1304</v>
      </c>
      <c r="G1290" s="7" t="s">
        <v>12</v>
      </c>
      <c r="H1290" s="7"/>
    </row>
    <row r="1291" s="3" customFormat="1" ht="14.25" customHeight="1" spans="1:8">
      <c r="A1291" s="7">
        <v>1288</v>
      </c>
      <c r="B1291" s="7" t="str">
        <f>"114020200405105728160778"</f>
        <v>114020200405105728160778</v>
      </c>
      <c r="C1291" s="7" t="s">
        <v>1243</v>
      </c>
      <c r="D1291" s="7" t="str">
        <f>"吉亚琴"</f>
        <v>吉亚琴</v>
      </c>
      <c r="E1291" s="7" t="str">
        <f t="shared" si="134"/>
        <v>女</v>
      </c>
      <c r="F1291" s="7" t="s">
        <v>1305</v>
      </c>
      <c r="G1291" s="7" t="s">
        <v>12</v>
      </c>
      <c r="H1291" s="7"/>
    </row>
    <row r="1292" s="3" customFormat="1" ht="14.25" customHeight="1" spans="1:8">
      <c r="A1292" s="7">
        <v>1289</v>
      </c>
      <c r="B1292" s="7" t="str">
        <f>"114020200405194330160938"</f>
        <v>114020200405194330160938</v>
      </c>
      <c r="C1292" s="7" t="s">
        <v>1243</v>
      </c>
      <c r="D1292" s="7" t="str">
        <f>"吴原榕"</f>
        <v>吴原榕</v>
      </c>
      <c r="E1292" s="7" t="str">
        <f t="shared" si="134"/>
        <v>女</v>
      </c>
      <c r="F1292" s="7" t="s">
        <v>1306</v>
      </c>
      <c r="G1292" s="7" t="s">
        <v>12</v>
      </c>
      <c r="H1292" s="7"/>
    </row>
    <row r="1293" s="3" customFormat="1" ht="14.25" customHeight="1" spans="1:8">
      <c r="A1293" s="7">
        <v>1290</v>
      </c>
      <c r="B1293" s="7" t="str">
        <f>"114020200405203825160961"</f>
        <v>114020200405203825160961</v>
      </c>
      <c r="C1293" s="7" t="s">
        <v>1243</v>
      </c>
      <c r="D1293" s="7" t="str">
        <f>"颜珲璘"</f>
        <v>颜珲璘</v>
      </c>
      <c r="E1293" s="7" t="str">
        <f t="shared" si="134"/>
        <v>女</v>
      </c>
      <c r="F1293" s="7" t="s">
        <v>1307</v>
      </c>
      <c r="G1293" s="7" t="s">
        <v>12</v>
      </c>
      <c r="H1293" s="7"/>
    </row>
    <row r="1294" s="3" customFormat="1" ht="14.25" customHeight="1" spans="1:8">
      <c r="A1294" s="7">
        <v>1291</v>
      </c>
      <c r="B1294" s="7" t="str">
        <f>"114020200405204430160964"</f>
        <v>114020200405204430160964</v>
      </c>
      <c r="C1294" s="7" t="s">
        <v>1243</v>
      </c>
      <c r="D1294" s="7" t="str">
        <f>"杜昌甫"</f>
        <v>杜昌甫</v>
      </c>
      <c r="E1294" s="7" t="str">
        <f t="shared" ref="E1294:E1299" si="135">"男"</f>
        <v>男</v>
      </c>
      <c r="F1294" s="7" t="s">
        <v>1308</v>
      </c>
      <c r="G1294" s="7" t="s">
        <v>12</v>
      </c>
      <c r="H1294" s="7"/>
    </row>
    <row r="1295" s="3" customFormat="1" ht="14.25" customHeight="1" spans="1:8">
      <c r="A1295" s="7">
        <v>1292</v>
      </c>
      <c r="B1295" s="7" t="str">
        <f>"114020200405210640160974"</f>
        <v>114020200405210640160974</v>
      </c>
      <c r="C1295" s="7" t="s">
        <v>1243</v>
      </c>
      <c r="D1295" s="7" t="str">
        <f>"杨科泽"</f>
        <v>杨科泽</v>
      </c>
      <c r="E1295" s="7" t="str">
        <f t="shared" si="135"/>
        <v>男</v>
      </c>
      <c r="F1295" s="7" t="s">
        <v>1309</v>
      </c>
      <c r="G1295" s="7" t="s">
        <v>12</v>
      </c>
      <c r="H1295" s="7"/>
    </row>
    <row r="1296" s="3" customFormat="1" ht="14.25" customHeight="1" spans="1:8">
      <c r="A1296" s="7">
        <v>1293</v>
      </c>
      <c r="B1296" s="7" t="str">
        <f>"114020200328093948157229"</f>
        <v>114020200328093948157229</v>
      </c>
      <c r="C1296" s="7" t="s">
        <v>1310</v>
      </c>
      <c r="D1296" s="7" t="str">
        <f>"毛丹妮"</f>
        <v>毛丹妮</v>
      </c>
      <c r="E1296" s="7" t="str">
        <f t="shared" ref="E1296:E1302" si="136">"女"</f>
        <v>女</v>
      </c>
      <c r="F1296" s="7" t="s">
        <v>1311</v>
      </c>
      <c r="G1296" s="7" t="s">
        <v>12</v>
      </c>
      <c r="H1296" s="7"/>
    </row>
    <row r="1297" s="3" customFormat="1" ht="14.25" customHeight="1" spans="1:8">
      <c r="A1297" s="7">
        <v>1294</v>
      </c>
      <c r="B1297" s="7" t="str">
        <f>"114020200328100935157292"</f>
        <v>114020200328100935157292</v>
      </c>
      <c r="C1297" s="7" t="s">
        <v>1310</v>
      </c>
      <c r="D1297" s="7" t="str">
        <f>"高玉乾"</f>
        <v>高玉乾</v>
      </c>
      <c r="E1297" s="7" t="str">
        <f t="shared" si="136"/>
        <v>女</v>
      </c>
      <c r="F1297" s="7" t="s">
        <v>1312</v>
      </c>
      <c r="G1297" s="7" t="s">
        <v>12</v>
      </c>
      <c r="H1297" s="7"/>
    </row>
    <row r="1298" s="3" customFormat="1" ht="14.25" customHeight="1" spans="1:8">
      <c r="A1298" s="7">
        <v>1295</v>
      </c>
      <c r="B1298" s="7" t="str">
        <f>"114020200328100941157293"</f>
        <v>114020200328100941157293</v>
      </c>
      <c r="C1298" s="7" t="s">
        <v>1310</v>
      </c>
      <c r="D1298" s="7" t="str">
        <f>"王小波"</f>
        <v>王小波</v>
      </c>
      <c r="E1298" s="7" t="str">
        <f t="shared" si="135"/>
        <v>男</v>
      </c>
      <c r="F1298" s="7" t="s">
        <v>1313</v>
      </c>
      <c r="G1298" s="7" t="s">
        <v>12</v>
      </c>
      <c r="H1298" s="7"/>
    </row>
    <row r="1299" s="3" customFormat="1" ht="14.25" customHeight="1" spans="1:8">
      <c r="A1299" s="7">
        <v>1296</v>
      </c>
      <c r="B1299" s="7" t="str">
        <f>"114020200328103321157362"</f>
        <v>114020200328103321157362</v>
      </c>
      <c r="C1299" s="7" t="s">
        <v>1310</v>
      </c>
      <c r="D1299" s="7" t="str">
        <f>"黄卓行"</f>
        <v>黄卓行</v>
      </c>
      <c r="E1299" s="7" t="str">
        <f t="shared" si="135"/>
        <v>男</v>
      </c>
      <c r="F1299" s="7" t="s">
        <v>1314</v>
      </c>
      <c r="G1299" s="7" t="s">
        <v>12</v>
      </c>
      <c r="H1299" s="7"/>
    </row>
    <row r="1300" s="3" customFormat="1" ht="14.25" customHeight="1" spans="1:8">
      <c r="A1300" s="7">
        <v>1297</v>
      </c>
      <c r="B1300" s="7" t="str">
        <f>"114020200328104646157392"</f>
        <v>114020200328104646157392</v>
      </c>
      <c r="C1300" s="7" t="s">
        <v>1310</v>
      </c>
      <c r="D1300" s="7" t="str">
        <f>"黄知"</f>
        <v>黄知</v>
      </c>
      <c r="E1300" s="7" t="str">
        <f t="shared" si="136"/>
        <v>女</v>
      </c>
      <c r="F1300" s="7" t="s">
        <v>1202</v>
      </c>
      <c r="G1300" s="7" t="s">
        <v>12</v>
      </c>
      <c r="H1300" s="7"/>
    </row>
    <row r="1301" s="3" customFormat="1" ht="14.25" customHeight="1" spans="1:8">
      <c r="A1301" s="7">
        <v>1298</v>
      </c>
      <c r="B1301" s="7" t="str">
        <f>"114020200328140549157725"</f>
        <v>114020200328140549157725</v>
      </c>
      <c r="C1301" s="7" t="s">
        <v>1310</v>
      </c>
      <c r="D1301" s="7" t="str">
        <f>"郭教薇"</f>
        <v>郭教薇</v>
      </c>
      <c r="E1301" s="7" t="str">
        <f t="shared" si="136"/>
        <v>女</v>
      </c>
      <c r="F1301" s="7" t="s">
        <v>1315</v>
      </c>
      <c r="G1301" s="7" t="s">
        <v>12</v>
      </c>
      <c r="H1301" s="7"/>
    </row>
    <row r="1302" s="3" customFormat="1" ht="14.25" customHeight="1" spans="1:8">
      <c r="A1302" s="7">
        <v>1299</v>
      </c>
      <c r="B1302" s="7" t="str">
        <f>"114020200328195251158016"</f>
        <v>114020200328195251158016</v>
      </c>
      <c r="C1302" s="7" t="s">
        <v>1310</v>
      </c>
      <c r="D1302" s="7" t="str">
        <f>"李江"</f>
        <v>李江</v>
      </c>
      <c r="E1302" s="7" t="str">
        <f t="shared" si="136"/>
        <v>女</v>
      </c>
      <c r="F1302" s="7" t="s">
        <v>1316</v>
      </c>
      <c r="G1302" s="7" t="s">
        <v>12</v>
      </c>
      <c r="H1302" s="7"/>
    </row>
    <row r="1303" s="3" customFormat="1" ht="14.25" customHeight="1" spans="1:8">
      <c r="A1303" s="7">
        <v>1300</v>
      </c>
      <c r="B1303" s="7" t="str">
        <f>"114020200329145804158451"</f>
        <v>114020200329145804158451</v>
      </c>
      <c r="C1303" s="7" t="s">
        <v>1310</v>
      </c>
      <c r="D1303" s="7" t="str">
        <f>"林天雄"</f>
        <v>林天雄</v>
      </c>
      <c r="E1303" s="7" t="str">
        <f>"男"</f>
        <v>男</v>
      </c>
      <c r="F1303" s="7" t="s">
        <v>1317</v>
      </c>
      <c r="G1303" s="7" t="s">
        <v>12</v>
      </c>
      <c r="H1303" s="7"/>
    </row>
    <row r="1304" s="3" customFormat="1" ht="14.25" customHeight="1" spans="1:8">
      <c r="A1304" s="7">
        <v>1301</v>
      </c>
      <c r="B1304" s="7" t="str">
        <f>"114020200329211820158660"</f>
        <v>114020200329211820158660</v>
      </c>
      <c r="C1304" s="7" t="s">
        <v>1310</v>
      </c>
      <c r="D1304" s="7" t="str">
        <f>"林子皓"</f>
        <v>林子皓</v>
      </c>
      <c r="E1304" s="7" t="str">
        <f>"男"</f>
        <v>男</v>
      </c>
      <c r="F1304" s="7" t="s">
        <v>1318</v>
      </c>
      <c r="G1304" s="7" t="s">
        <v>12</v>
      </c>
      <c r="H1304" s="7"/>
    </row>
    <row r="1305" s="3" customFormat="1" ht="14.25" customHeight="1" spans="1:8">
      <c r="A1305" s="7">
        <v>1302</v>
      </c>
      <c r="B1305" s="7" t="str">
        <f>"114020200330125126158990"</f>
        <v>114020200330125126158990</v>
      </c>
      <c r="C1305" s="7" t="s">
        <v>1310</v>
      </c>
      <c r="D1305" s="7" t="str">
        <f>"苏娜"</f>
        <v>苏娜</v>
      </c>
      <c r="E1305" s="7" t="str">
        <f t="shared" ref="E1305:E1308" si="137">"女"</f>
        <v>女</v>
      </c>
      <c r="F1305" s="7" t="s">
        <v>1319</v>
      </c>
      <c r="G1305" s="7" t="s">
        <v>12</v>
      </c>
      <c r="H1305" s="7"/>
    </row>
    <row r="1306" s="3" customFormat="1" ht="14.25" customHeight="1" spans="1:8">
      <c r="A1306" s="7">
        <v>1303</v>
      </c>
      <c r="B1306" s="7" t="str">
        <f>"114020200330221401159314"</f>
        <v>114020200330221401159314</v>
      </c>
      <c r="C1306" s="7" t="s">
        <v>1310</v>
      </c>
      <c r="D1306" s="7" t="str">
        <f>"王金丹"</f>
        <v>王金丹</v>
      </c>
      <c r="E1306" s="7" t="str">
        <f t="shared" si="137"/>
        <v>女</v>
      </c>
      <c r="F1306" s="7" t="s">
        <v>1320</v>
      </c>
      <c r="G1306" s="7" t="s">
        <v>12</v>
      </c>
      <c r="H1306" s="7"/>
    </row>
    <row r="1307" s="3" customFormat="1" ht="14.25" customHeight="1" spans="1:8">
      <c r="A1307" s="7">
        <v>1304</v>
      </c>
      <c r="B1307" s="7" t="str">
        <f>"114020200331114741159451"</f>
        <v>114020200331114741159451</v>
      </c>
      <c r="C1307" s="7" t="s">
        <v>1310</v>
      </c>
      <c r="D1307" s="7" t="str">
        <f>"周志丹"</f>
        <v>周志丹</v>
      </c>
      <c r="E1307" s="7" t="str">
        <f t="shared" si="137"/>
        <v>女</v>
      </c>
      <c r="F1307" s="7" t="s">
        <v>1321</v>
      </c>
      <c r="G1307" s="7" t="s">
        <v>12</v>
      </c>
      <c r="H1307" s="7"/>
    </row>
    <row r="1308" s="3" customFormat="1" ht="14.25" customHeight="1" spans="1:8">
      <c r="A1308" s="7">
        <v>1305</v>
      </c>
      <c r="B1308" s="7" t="str">
        <f>"114020200331122255159472"</f>
        <v>114020200331122255159472</v>
      </c>
      <c r="C1308" s="7" t="s">
        <v>1310</v>
      </c>
      <c r="D1308" s="7" t="str">
        <f>"曾玲"</f>
        <v>曾玲</v>
      </c>
      <c r="E1308" s="7" t="str">
        <f t="shared" si="137"/>
        <v>女</v>
      </c>
      <c r="F1308" s="7" t="s">
        <v>1322</v>
      </c>
      <c r="G1308" s="7" t="s">
        <v>12</v>
      </c>
      <c r="H1308" s="7"/>
    </row>
    <row r="1309" s="3" customFormat="1" ht="14.25" customHeight="1" spans="1:8">
      <c r="A1309" s="7">
        <v>1306</v>
      </c>
      <c r="B1309" s="7" t="str">
        <f>"114020200401092829159757"</f>
        <v>114020200401092829159757</v>
      </c>
      <c r="C1309" s="7" t="s">
        <v>1310</v>
      </c>
      <c r="D1309" s="7" t="str">
        <f>"王安旭"</f>
        <v>王安旭</v>
      </c>
      <c r="E1309" s="7" t="str">
        <f>"男"</f>
        <v>男</v>
      </c>
      <c r="F1309" s="7" t="s">
        <v>1323</v>
      </c>
      <c r="G1309" s="7" t="s">
        <v>12</v>
      </c>
      <c r="H1309" s="7"/>
    </row>
    <row r="1310" s="3" customFormat="1" ht="14.25" customHeight="1" spans="1:8">
      <c r="A1310" s="7">
        <v>1307</v>
      </c>
      <c r="B1310" s="7" t="str">
        <f>"114020200401112327159807"</f>
        <v>114020200401112327159807</v>
      </c>
      <c r="C1310" s="7" t="s">
        <v>1310</v>
      </c>
      <c r="D1310" s="7" t="str">
        <f>"王少慧"</f>
        <v>王少慧</v>
      </c>
      <c r="E1310" s="7" t="str">
        <f t="shared" ref="E1310:E1314" si="138">"女"</f>
        <v>女</v>
      </c>
      <c r="F1310" s="7" t="s">
        <v>1324</v>
      </c>
      <c r="G1310" s="7" t="s">
        <v>12</v>
      </c>
      <c r="H1310" s="7"/>
    </row>
    <row r="1311" s="3" customFormat="1" ht="14.25" customHeight="1" spans="1:8">
      <c r="A1311" s="7">
        <v>1308</v>
      </c>
      <c r="B1311" s="7" t="str">
        <f>"114020200401153358159895"</f>
        <v>114020200401153358159895</v>
      </c>
      <c r="C1311" s="7" t="s">
        <v>1310</v>
      </c>
      <c r="D1311" s="7" t="str">
        <f>"吴万桃"</f>
        <v>吴万桃</v>
      </c>
      <c r="E1311" s="7" t="str">
        <f t="shared" si="138"/>
        <v>女</v>
      </c>
      <c r="F1311" s="7" t="s">
        <v>1325</v>
      </c>
      <c r="G1311" s="7" t="s">
        <v>12</v>
      </c>
      <c r="H1311" s="7"/>
    </row>
    <row r="1312" s="3" customFormat="1" ht="14.25" customHeight="1" spans="1:8">
      <c r="A1312" s="7">
        <v>1309</v>
      </c>
      <c r="B1312" s="7" t="str">
        <f>"114020200402120430160157"</f>
        <v>114020200402120430160157</v>
      </c>
      <c r="C1312" s="7" t="s">
        <v>1310</v>
      </c>
      <c r="D1312" s="7" t="str">
        <f>"赵春慧"</f>
        <v>赵春慧</v>
      </c>
      <c r="E1312" s="7" t="str">
        <f t="shared" si="138"/>
        <v>女</v>
      </c>
      <c r="F1312" s="7" t="s">
        <v>1326</v>
      </c>
      <c r="G1312" s="7" t="s">
        <v>12</v>
      </c>
      <c r="H1312" s="7"/>
    </row>
    <row r="1313" s="3" customFormat="1" ht="14.25" customHeight="1" spans="1:8">
      <c r="A1313" s="7">
        <v>1310</v>
      </c>
      <c r="B1313" s="7" t="str">
        <f>"114020200403012635160356"</f>
        <v>114020200403012635160356</v>
      </c>
      <c r="C1313" s="7" t="s">
        <v>1310</v>
      </c>
      <c r="D1313" s="7" t="str">
        <f>"王琼波"</f>
        <v>王琼波</v>
      </c>
      <c r="E1313" s="7" t="str">
        <f t="shared" si="138"/>
        <v>女</v>
      </c>
      <c r="F1313" s="7" t="s">
        <v>1327</v>
      </c>
      <c r="G1313" s="7" t="s">
        <v>12</v>
      </c>
      <c r="H1313" s="7"/>
    </row>
    <row r="1314" s="3" customFormat="1" ht="14.25" customHeight="1" spans="1:8">
      <c r="A1314" s="7">
        <v>1311</v>
      </c>
      <c r="B1314" s="7" t="str">
        <f>"114020200403100940160391"</f>
        <v>114020200403100940160391</v>
      </c>
      <c r="C1314" s="7" t="s">
        <v>1310</v>
      </c>
      <c r="D1314" s="7" t="str">
        <f>"汪小莹"</f>
        <v>汪小莹</v>
      </c>
      <c r="E1314" s="7" t="str">
        <f t="shared" si="138"/>
        <v>女</v>
      </c>
      <c r="F1314" s="7" t="s">
        <v>1328</v>
      </c>
      <c r="G1314" s="7" t="s">
        <v>12</v>
      </c>
      <c r="H1314" s="7"/>
    </row>
    <row r="1315" s="3" customFormat="1" ht="14.25" customHeight="1" spans="1:8">
      <c r="A1315" s="7">
        <v>1312</v>
      </c>
      <c r="B1315" s="7" t="str">
        <f>"114020200403153924160484"</f>
        <v>114020200403153924160484</v>
      </c>
      <c r="C1315" s="7" t="s">
        <v>1310</v>
      </c>
      <c r="D1315" s="7" t="str">
        <f>"王平"</f>
        <v>王平</v>
      </c>
      <c r="E1315" s="7" t="str">
        <f t="shared" ref="E1315:E1319" si="139">"男"</f>
        <v>男</v>
      </c>
      <c r="F1315" s="7" t="s">
        <v>1329</v>
      </c>
      <c r="G1315" s="7" t="s">
        <v>12</v>
      </c>
      <c r="H1315" s="7"/>
    </row>
    <row r="1316" s="3" customFormat="1" ht="14.25" customHeight="1" spans="1:8">
      <c r="A1316" s="7">
        <v>1313</v>
      </c>
      <c r="B1316" s="7" t="str">
        <f>"114020200405224819161020"</f>
        <v>114020200405224819161020</v>
      </c>
      <c r="C1316" s="7" t="s">
        <v>1310</v>
      </c>
      <c r="D1316" s="7" t="str">
        <f>"陈丽平"</f>
        <v>陈丽平</v>
      </c>
      <c r="E1316" s="7" t="str">
        <f t="shared" ref="E1316:E1320" si="140">"女"</f>
        <v>女</v>
      </c>
      <c r="F1316" s="7" t="s">
        <v>1330</v>
      </c>
      <c r="G1316" s="7" t="s">
        <v>12</v>
      </c>
      <c r="H1316" s="7"/>
    </row>
    <row r="1317" s="3" customFormat="1" ht="14.25" customHeight="1" spans="1:8">
      <c r="A1317" s="7">
        <v>1314</v>
      </c>
      <c r="B1317" s="7" t="str">
        <f>"114020200406105423161131"</f>
        <v>114020200406105423161131</v>
      </c>
      <c r="C1317" s="7" t="s">
        <v>1310</v>
      </c>
      <c r="D1317" s="7" t="str">
        <f>"梁婷"</f>
        <v>梁婷</v>
      </c>
      <c r="E1317" s="7" t="str">
        <f t="shared" si="140"/>
        <v>女</v>
      </c>
      <c r="F1317" s="7" t="s">
        <v>1331</v>
      </c>
      <c r="G1317" s="7" t="s">
        <v>12</v>
      </c>
      <c r="H1317" s="7"/>
    </row>
    <row r="1318" s="3" customFormat="1" ht="14.25" customHeight="1" spans="1:8">
      <c r="A1318" s="7">
        <v>1315</v>
      </c>
      <c r="B1318" s="7" t="str">
        <f>"114020200328090344157140"</f>
        <v>114020200328090344157140</v>
      </c>
      <c r="C1318" s="7" t="s">
        <v>1332</v>
      </c>
      <c r="D1318" s="7" t="str">
        <f>"唐觉琼"</f>
        <v>唐觉琼</v>
      </c>
      <c r="E1318" s="7" t="str">
        <f t="shared" si="139"/>
        <v>男</v>
      </c>
      <c r="F1318" s="7" t="s">
        <v>1333</v>
      </c>
      <c r="G1318" s="7" t="s">
        <v>12</v>
      </c>
      <c r="H1318" s="7"/>
    </row>
    <row r="1319" s="3" customFormat="1" ht="14.25" customHeight="1" spans="1:8">
      <c r="A1319" s="7">
        <v>1316</v>
      </c>
      <c r="B1319" s="7" t="str">
        <f>"114020200328092612157195"</f>
        <v>114020200328092612157195</v>
      </c>
      <c r="C1319" s="7" t="s">
        <v>1332</v>
      </c>
      <c r="D1319" s="7" t="str">
        <f>"胡光泽"</f>
        <v>胡光泽</v>
      </c>
      <c r="E1319" s="7" t="str">
        <f t="shared" si="139"/>
        <v>男</v>
      </c>
      <c r="F1319" s="7" t="s">
        <v>1334</v>
      </c>
      <c r="G1319" s="7" t="s">
        <v>12</v>
      </c>
      <c r="H1319" s="7"/>
    </row>
    <row r="1320" s="3" customFormat="1" ht="14.25" customHeight="1" spans="1:8">
      <c r="A1320" s="7">
        <v>1317</v>
      </c>
      <c r="B1320" s="7" t="str">
        <f>"114020200328110157157425"</f>
        <v>114020200328110157157425</v>
      </c>
      <c r="C1320" s="7" t="s">
        <v>1332</v>
      </c>
      <c r="D1320" s="7" t="str">
        <f>"王井娇"</f>
        <v>王井娇</v>
      </c>
      <c r="E1320" s="7" t="str">
        <f t="shared" si="140"/>
        <v>女</v>
      </c>
      <c r="F1320" s="7" t="s">
        <v>1335</v>
      </c>
      <c r="G1320" s="7" t="s">
        <v>12</v>
      </c>
      <c r="H1320" s="7"/>
    </row>
    <row r="1321" s="3" customFormat="1" ht="14.25" customHeight="1" spans="1:8">
      <c r="A1321" s="7">
        <v>1318</v>
      </c>
      <c r="B1321" s="7" t="str">
        <f>"114020200328120400157541"</f>
        <v>114020200328120400157541</v>
      </c>
      <c r="C1321" s="7" t="s">
        <v>1332</v>
      </c>
      <c r="D1321" s="7" t="str">
        <f>"舒名扬"</f>
        <v>舒名扬</v>
      </c>
      <c r="E1321" s="7" t="str">
        <f>"男"</f>
        <v>男</v>
      </c>
      <c r="F1321" s="7" t="s">
        <v>1336</v>
      </c>
      <c r="G1321" s="7" t="s">
        <v>12</v>
      </c>
      <c r="H1321" s="7"/>
    </row>
    <row r="1322" s="3" customFormat="1" ht="14.25" customHeight="1" spans="1:8">
      <c r="A1322" s="7">
        <v>1319</v>
      </c>
      <c r="B1322" s="7" t="str">
        <f>"114020200328124405157617"</f>
        <v>114020200328124405157617</v>
      </c>
      <c r="C1322" s="7" t="s">
        <v>1332</v>
      </c>
      <c r="D1322" s="7" t="str">
        <f>"杨琬婷"</f>
        <v>杨琬婷</v>
      </c>
      <c r="E1322" s="7" t="str">
        <f t="shared" ref="E1322:E1329" si="141">"女"</f>
        <v>女</v>
      </c>
      <c r="F1322" s="7" t="s">
        <v>1337</v>
      </c>
      <c r="G1322" s="7" t="s">
        <v>12</v>
      </c>
      <c r="H1322" s="7"/>
    </row>
    <row r="1323" s="3" customFormat="1" ht="14.25" customHeight="1" spans="1:8">
      <c r="A1323" s="7">
        <v>1320</v>
      </c>
      <c r="B1323" s="7" t="str">
        <f>"114020200328155013157822"</f>
        <v>114020200328155013157822</v>
      </c>
      <c r="C1323" s="7" t="s">
        <v>1332</v>
      </c>
      <c r="D1323" s="7" t="str">
        <f>"经林瑞"</f>
        <v>经林瑞</v>
      </c>
      <c r="E1323" s="7" t="str">
        <f t="shared" si="141"/>
        <v>女</v>
      </c>
      <c r="F1323" s="7" t="s">
        <v>1338</v>
      </c>
      <c r="G1323" s="7" t="s">
        <v>12</v>
      </c>
      <c r="H1323" s="7"/>
    </row>
    <row r="1324" s="3" customFormat="1" ht="14.25" customHeight="1" spans="1:8">
      <c r="A1324" s="7">
        <v>1321</v>
      </c>
      <c r="B1324" s="7" t="str">
        <f>"114020200328221128158121"</f>
        <v>114020200328221128158121</v>
      </c>
      <c r="C1324" s="7" t="s">
        <v>1332</v>
      </c>
      <c r="D1324" s="7" t="str">
        <f>"徐德宏"</f>
        <v>徐德宏</v>
      </c>
      <c r="E1324" s="7" t="str">
        <f>"男"</f>
        <v>男</v>
      </c>
      <c r="F1324" s="7" t="s">
        <v>1339</v>
      </c>
      <c r="G1324" s="7" t="s">
        <v>12</v>
      </c>
      <c r="H1324" s="7"/>
    </row>
    <row r="1325" s="3" customFormat="1" ht="14.25" customHeight="1" spans="1:8">
      <c r="A1325" s="7">
        <v>1322</v>
      </c>
      <c r="B1325" s="7" t="str">
        <f>"114020200329112428158319"</f>
        <v>114020200329112428158319</v>
      </c>
      <c r="C1325" s="7" t="s">
        <v>1332</v>
      </c>
      <c r="D1325" s="7" t="str">
        <f>"黄恋云"</f>
        <v>黄恋云</v>
      </c>
      <c r="E1325" s="7" t="str">
        <f t="shared" si="141"/>
        <v>女</v>
      </c>
      <c r="F1325" s="7" t="s">
        <v>1340</v>
      </c>
      <c r="G1325" s="7" t="s">
        <v>12</v>
      </c>
      <c r="H1325" s="7"/>
    </row>
    <row r="1326" s="3" customFormat="1" ht="14.25" customHeight="1" spans="1:8">
      <c r="A1326" s="7">
        <v>1323</v>
      </c>
      <c r="B1326" s="7" t="str">
        <f>"114020200330084649158775"</f>
        <v>114020200330084649158775</v>
      </c>
      <c r="C1326" s="7" t="s">
        <v>1332</v>
      </c>
      <c r="D1326" s="7" t="str">
        <f>"林生芳"</f>
        <v>林生芳</v>
      </c>
      <c r="E1326" s="7" t="str">
        <f t="shared" si="141"/>
        <v>女</v>
      </c>
      <c r="F1326" s="7" t="s">
        <v>1341</v>
      </c>
      <c r="G1326" s="7" t="s">
        <v>12</v>
      </c>
      <c r="H1326" s="7"/>
    </row>
    <row r="1327" s="3" customFormat="1" ht="14.25" customHeight="1" spans="1:8">
      <c r="A1327" s="7">
        <v>1324</v>
      </c>
      <c r="B1327" s="7" t="str">
        <f>"114020200330091706158801"</f>
        <v>114020200330091706158801</v>
      </c>
      <c r="C1327" s="7" t="s">
        <v>1332</v>
      </c>
      <c r="D1327" s="7" t="str">
        <f>"董亚妹"</f>
        <v>董亚妹</v>
      </c>
      <c r="E1327" s="7" t="str">
        <f t="shared" si="141"/>
        <v>女</v>
      </c>
      <c r="F1327" s="7" t="s">
        <v>1342</v>
      </c>
      <c r="G1327" s="7" t="s">
        <v>12</v>
      </c>
      <c r="H1327" s="7"/>
    </row>
    <row r="1328" s="3" customFormat="1" ht="14.25" customHeight="1" spans="1:8">
      <c r="A1328" s="7">
        <v>1325</v>
      </c>
      <c r="B1328" s="7" t="str">
        <f>"114020200330150313159068"</f>
        <v>114020200330150313159068</v>
      </c>
      <c r="C1328" s="7" t="s">
        <v>1332</v>
      </c>
      <c r="D1328" s="7" t="str">
        <f>"周瑛"</f>
        <v>周瑛</v>
      </c>
      <c r="E1328" s="7" t="str">
        <f t="shared" si="141"/>
        <v>女</v>
      </c>
      <c r="F1328" s="7" t="s">
        <v>1343</v>
      </c>
      <c r="G1328" s="7" t="s">
        <v>12</v>
      </c>
      <c r="H1328" s="7"/>
    </row>
    <row r="1329" s="3" customFormat="1" ht="14.25" customHeight="1" spans="1:8">
      <c r="A1329" s="7">
        <v>1326</v>
      </c>
      <c r="B1329" s="7" t="str">
        <f>"114020200403173118160514"</f>
        <v>114020200403173118160514</v>
      </c>
      <c r="C1329" s="7" t="s">
        <v>1332</v>
      </c>
      <c r="D1329" s="7" t="str">
        <f>"郑秋"</f>
        <v>郑秋</v>
      </c>
      <c r="E1329" s="7" t="str">
        <f t="shared" si="141"/>
        <v>女</v>
      </c>
      <c r="F1329" s="7" t="s">
        <v>1344</v>
      </c>
      <c r="G1329" s="7" t="s">
        <v>12</v>
      </c>
      <c r="H1329" s="7"/>
    </row>
    <row r="1330" s="3" customFormat="1" ht="14.25" customHeight="1" spans="1:8">
      <c r="A1330" s="7">
        <v>1327</v>
      </c>
      <c r="B1330" s="7" t="str">
        <f>"114020200404180503160637"</f>
        <v>114020200404180503160637</v>
      </c>
      <c r="C1330" s="7" t="s">
        <v>1332</v>
      </c>
      <c r="D1330" s="7" t="str">
        <f>"陈志安"</f>
        <v>陈志安</v>
      </c>
      <c r="E1330" s="7" t="str">
        <f>"男"</f>
        <v>男</v>
      </c>
      <c r="F1330" s="7" t="s">
        <v>1345</v>
      </c>
      <c r="G1330" s="7" t="s">
        <v>12</v>
      </c>
      <c r="H1330" s="7"/>
    </row>
    <row r="1331" s="3" customFormat="1" ht="14.25" customHeight="1" spans="1:8">
      <c r="A1331" s="7">
        <v>1328</v>
      </c>
      <c r="B1331" s="7" t="str">
        <f>"114020200404204625160657"</f>
        <v>114020200404204625160657</v>
      </c>
      <c r="C1331" s="7" t="s">
        <v>1332</v>
      </c>
      <c r="D1331" s="7" t="str">
        <f>"吴多锋"</f>
        <v>吴多锋</v>
      </c>
      <c r="E1331" s="7" t="str">
        <f>"男"</f>
        <v>男</v>
      </c>
      <c r="F1331" s="7" t="s">
        <v>1346</v>
      </c>
      <c r="G1331" s="7" t="s">
        <v>12</v>
      </c>
      <c r="H1331" s="7"/>
    </row>
    <row r="1332" s="3" customFormat="1" ht="14.25" customHeight="1" spans="1:8">
      <c r="A1332" s="7">
        <v>1329</v>
      </c>
      <c r="B1332" s="7" t="str">
        <f>"114020200405101220160752"</f>
        <v>114020200405101220160752</v>
      </c>
      <c r="C1332" s="7" t="s">
        <v>1332</v>
      </c>
      <c r="D1332" s="7" t="str">
        <f>"程挚"</f>
        <v>程挚</v>
      </c>
      <c r="E1332" s="7" t="str">
        <f t="shared" ref="E1332:E1337" si="142">"女"</f>
        <v>女</v>
      </c>
      <c r="F1332" s="7" t="s">
        <v>1347</v>
      </c>
      <c r="G1332" s="7" t="s">
        <v>12</v>
      </c>
      <c r="H1332" s="7"/>
    </row>
    <row r="1333" s="3" customFormat="1" ht="14.25" customHeight="1" spans="1:8">
      <c r="A1333" s="7">
        <v>1330</v>
      </c>
      <c r="B1333" s="7" t="str">
        <f>"114020200405213233160992"</f>
        <v>114020200405213233160992</v>
      </c>
      <c r="C1333" s="7" t="s">
        <v>1332</v>
      </c>
      <c r="D1333" s="7" t="str">
        <f>"赵佳"</f>
        <v>赵佳</v>
      </c>
      <c r="E1333" s="7" t="str">
        <f t="shared" si="142"/>
        <v>女</v>
      </c>
      <c r="F1333" s="7" t="s">
        <v>1348</v>
      </c>
      <c r="G1333" s="7" t="s">
        <v>12</v>
      </c>
      <c r="H1333" s="7"/>
    </row>
    <row r="1334" s="3" customFormat="1" ht="14.25" customHeight="1" spans="1:8">
      <c r="A1334" s="7">
        <v>1331</v>
      </c>
      <c r="B1334" s="7" t="str">
        <f>"114020200328101028157299"</f>
        <v>114020200328101028157299</v>
      </c>
      <c r="C1334" s="7" t="s">
        <v>1349</v>
      </c>
      <c r="D1334" s="7" t="str">
        <f>"吴恒菲"</f>
        <v>吴恒菲</v>
      </c>
      <c r="E1334" s="7" t="str">
        <f t="shared" si="142"/>
        <v>女</v>
      </c>
      <c r="F1334" s="7" t="s">
        <v>1350</v>
      </c>
      <c r="G1334" s="7" t="s">
        <v>12</v>
      </c>
      <c r="H1334" s="7"/>
    </row>
    <row r="1335" s="3" customFormat="1" ht="14.25" customHeight="1" spans="1:8">
      <c r="A1335" s="7">
        <v>1332</v>
      </c>
      <c r="B1335" s="7" t="str">
        <f>"114020200328124448157619"</f>
        <v>114020200328124448157619</v>
      </c>
      <c r="C1335" s="7" t="s">
        <v>1349</v>
      </c>
      <c r="D1335" s="7" t="str">
        <f>"邱依婷"</f>
        <v>邱依婷</v>
      </c>
      <c r="E1335" s="7" t="str">
        <f t="shared" si="142"/>
        <v>女</v>
      </c>
      <c r="F1335" s="7" t="s">
        <v>1351</v>
      </c>
      <c r="G1335" s="7" t="s">
        <v>12</v>
      </c>
      <c r="H1335" s="7"/>
    </row>
    <row r="1336" s="3" customFormat="1" ht="14.25" customHeight="1" spans="1:8">
      <c r="A1336" s="7">
        <v>1333</v>
      </c>
      <c r="B1336" s="7" t="str">
        <f>"114020200328133249157688"</f>
        <v>114020200328133249157688</v>
      </c>
      <c r="C1336" s="7" t="s">
        <v>1349</v>
      </c>
      <c r="D1336" s="7" t="str">
        <f>"石瑶伦"</f>
        <v>石瑶伦</v>
      </c>
      <c r="E1336" s="7" t="str">
        <f t="shared" si="142"/>
        <v>女</v>
      </c>
      <c r="F1336" s="7" t="s">
        <v>1352</v>
      </c>
      <c r="G1336" s="7" t="s">
        <v>12</v>
      </c>
      <c r="H1336" s="7"/>
    </row>
    <row r="1337" s="3" customFormat="1" ht="14.25" customHeight="1" spans="1:8">
      <c r="A1337" s="7">
        <v>1334</v>
      </c>
      <c r="B1337" s="7" t="str">
        <f>"114020200328133754157692"</f>
        <v>114020200328133754157692</v>
      </c>
      <c r="C1337" s="7" t="s">
        <v>1349</v>
      </c>
      <c r="D1337" s="7" t="str">
        <f>"何美花"</f>
        <v>何美花</v>
      </c>
      <c r="E1337" s="7" t="str">
        <f t="shared" si="142"/>
        <v>女</v>
      </c>
      <c r="F1337" s="7" t="s">
        <v>1353</v>
      </c>
      <c r="G1337" s="7" t="s">
        <v>12</v>
      </c>
      <c r="H1337" s="7"/>
    </row>
    <row r="1338" s="3" customFormat="1" ht="14.25" customHeight="1" spans="1:8">
      <c r="A1338" s="7">
        <v>1335</v>
      </c>
      <c r="B1338" s="7" t="str">
        <f>"114020200329164035158500"</f>
        <v>114020200329164035158500</v>
      </c>
      <c r="C1338" s="7" t="s">
        <v>1349</v>
      </c>
      <c r="D1338" s="7" t="str">
        <f>"卢哨"</f>
        <v>卢哨</v>
      </c>
      <c r="E1338" s="7" t="str">
        <f>"男"</f>
        <v>男</v>
      </c>
      <c r="F1338" s="7" t="s">
        <v>1354</v>
      </c>
      <c r="G1338" s="7" t="s">
        <v>12</v>
      </c>
      <c r="H1338" s="7"/>
    </row>
    <row r="1339" s="3" customFormat="1" ht="14.25" customHeight="1" spans="1:8">
      <c r="A1339" s="7">
        <v>1336</v>
      </c>
      <c r="B1339" s="7" t="str">
        <f>"114020200331143530159539"</f>
        <v>114020200331143530159539</v>
      </c>
      <c r="C1339" s="7" t="s">
        <v>1349</v>
      </c>
      <c r="D1339" s="7" t="str">
        <f>"吴婷婷"</f>
        <v>吴婷婷</v>
      </c>
      <c r="E1339" s="7" t="str">
        <f t="shared" ref="E1339:E1354" si="143">"女"</f>
        <v>女</v>
      </c>
      <c r="F1339" s="7" t="s">
        <v>1355</v>
      </c>
      <c r="G1339" s="7" t="s">
        <v>12</v>
      </c>
      <c r="H1339" s="7"/>
    </row>
    <row r="1340" s="3" customFormat="1" ht="14.25" customHeight="1" spans="1:8">
      <c r="A1340" s="7">
        <v>1337</v>
      </c>
      <c r="B1340" s="7" t="str">
        <f>"114020200331191048159645"</f>
        <v>114020200331191048159645</v>
      </c>
      <c r="C1340" s="7" t="s">
        <v>1349</v>
      </c>
      <c r="D1340" s="7" t="str">
        <f>"朱冰铭"</f>
        <v>朱冰铭</v>
      </c>
      <c r="E1340" s="7" t="str">
        <f t="shared" si="143"/>
        <v>女</v>
      </c>
      <c r="F1340" s="7" t="s">
        <v>1356</v>
      </c>
      <c r="G1340" s="7" t="s">
        <v>12</v>
      </c>
      <c r="H1340" s="7"/>
    </row>
    <row r="1341" s="3" customFormat="1" ht="14.25" customHeight="1" spans="1:8">
      <c r="A1341" s="7">
        <v>1338</v>
      </c>
      <c r="B1341" s="7" t="str">
        <f>"114020200331231748159724"</f>
        <v>114020200331231748159724</v>
      </c>
      <c r="C1341" s="7" t="s">
        <v>1349</v>
      </c>
      <c r="D1341" s="7" t="str">
        <f>"张俊怡"</f>
        <v>张俊怡</v>
      </c>
      <c r="E1341" s="7" t="str">
        <f t="shared" si="143"/>
        <v>女</v>
      </c>
      <c r="F1341" s="7" t="s">
        <v>1357</v>
      </c>
      <c r="G1341" s="7" t="s">
        <v>12</v>
      </c>
      <c r="H1341" s="7"/>
    </row>
    <row r="1342" s="3" customFormat="1" ht="14.25" customHeight="1" spans="1:8">
      <c r="A1342" s="7">
        <v>1339</v>
      </c>
      <c r="B1342" s="7" t="str">
        <f>"114020200401123111159836"</f>
        <v>114020200401123111159836</v>
      </c>
      <c r="C1342" s="7" t="s">
        <v>1349</v>
      </c>
      <c r="D1342" s="7" t="str">
        <f>"李琦"</f>
        <v>李琦</v>
      </c>
      <c r="E1342" s="7" t="str">
        <f t="shared" si="143"/>
        <v>女</v>
      </c>
      <c r="F1342" s="7" t="s">
        <v>1358</v>
      </c>
      <c r="G1342" s="7" t="s">
        <v>12</v>
      </c>
      <c r="H1342" s="7"/>
    </row>
    <row r="1343" s="3" customFormat="1" ht="14.25" customHeight="1" spans="1:8">
      <c r="A1343" s="7">
        <v>1340</v>
      </c>
      <c r="B1343" s="7" t="str">
        <f>"114020200402084705160103"</f>
        <v>114020200402084705160103</v>
      </c>
      <c r="C1343" s="7" t="s">
        <v>1349</v>
      </c>
      <c r="D1343" s="7" t="str">
        <f>"温馨"</f>
        <v>温馨</v>
      </c>
      <c r="E1343" s="7" t="str">
        <f t="shared" si="143"/>
        <v>女</v>
      </c>
      <c r="F1343" s="7" t="s">
        <v>1359</v>
      </c>
      <c r="G1343" s="7" t="s">
        <v>12</v>
      </c>
      <c r="H1343" s="7"/>
    </row>
    <row r="1344" s="3" customFormat="1" ht="14.25" customHeight="1" spans="1:8">
      <c r="A1344" s="7">
        <v>1341</v>
      </c>
      <c r="B1344" s="7" t="str">
        <f>"114020200402215829160326"</f>
        <v>114020200402215829160326</v>
      </c>
      <c r="C1344" s="7" t="s">
        <v>1349</v>
      </c>
      <c r="D1344" s="7" t="str">
        <f>"高嘉徽"</f>
        <v>高嘉徽</v>
      </c>
      <c r="E1344" s="7" t="str">
        <f t="shared" si="143"/>
        <v>女</v>
      </c>
      <c r="F1344" s="7" t="s">
        <v>1360</v>
      </c>
      <c r="G1344" s="7" t="s">
        <v>12</v>
      </c>
      <c r="H1344" s="7"/>
    </row>
    <row r="1345" s="3" customFormat="1" ht="14.25" customHeight="1" spans="1:8">
      <c r="A1345" s="7">
        <v>1342</v>
      </c>
      <c r="B1345" s="7" t="str">
        <f>"114020200403093812160380"</f>
        <v>114020200403093812160380</v>
      </c>
      <c r="C1345" s="7" t="s">
        <v>1349</v>
      </c>
      <c r="D1345" s="7" t="str">
        <f>"杨佳"</f>
        <v>杨佳</v>
      </c>
      <c r="E1345" s="7" t="str">
        <f t="shared" si="143"/>
        <v>女</v>
      </c>
      <c r="F1345" s="7" t="s">
        <v>1361</v>
      </c>
      <c r="G1345" s="7" t="s">
        <v>12</v>
      </c>
      <c r="H1345" s="7"/>
    </row>
    <row r="1346" s="3" customFormat="1" ht="14.25" customHeight="1" spans="1:8">
      <c r="A1346" s="7">
        <v>1343</v>
      </c>
      <c r="B1346" s="7" t="str">
        <f>"114020200404130445160609"</f>
        <v>114020200404130445160609</v>
      </c>
      <c r="C1346" s="7" t="s">
        <v>1349</v>
      </c>
      <c r="D1346" s="7" t="str">
        <f>"张舒涵"</f>
        <v>张舒涵</v>
      </c>
      <c r="E1346" s="7" t="str">
        <f t="shared" si="143"/>
        <v>女</v>
      </c>
      <c r="F1346" s="7" t="s">
        <v>1362</v>
      </c>
      <c r="G1346" s="7" t="s">
        <v>12</v>
      </c>
      <c r="H1346" s="7"/>
    </row>
    <row r="1347" s="3" customFormat="1" ht="14.25" customHeight="1" spans="1:8">
      <c r="A1347" s="7">
        <v>1344</v>
      </c>
      <c r="B1347" s="7" t="str">
        <f>"114020200328095517157262"</f>
        <v>114020200328095517157262</v>
      </c>
      <c r="C1347" s="7" t="s">
        <v>1363</v>
      </c>
      <c r="D1347" s="7" t="str">
        <f>"王锡慧"</f>
        <v>王锡慧</v>
      </c>
      <c r="E1347" s="7" t="str">
        <f t="shared" si="143"/>
        <v>女</v>
      </c>
      <c r="F1347" s="7" t="s">
        <v>1364</v>
      </c>
      <c r="G1347" s="7" t="s">
        <v>12</v>
      </c>
      <c r="H1347" s="7"/>
    </row>
    <row r="1348" s="3" customFormat="1" ht="14.25" customHeight="1" spans="1:8">
      <c r="A1348" s="7">
        <v>1345</v>
      </c>
      <c r="B1348" s="7" t="str">
        <f>"114020200328104628157389"</f>
        <v>114020200328104628157389</v>
      </c>
      <c r="C1348" s="7" t="s">
        <v>1363</v>
      </c>
      <c r="D1348" s="7" t="str">
        <f>"吉春列"</f>
        <v>吉春列</v>
      </c>
      <c r="E1348" s="7" t="str">
        <f t="shared" si="143"/>
        <v>女</v>
      </c>
      <c r="F1348" s="7" t="s">
        <v>1365</v>
      </c>
      <c r="G1348" s="7" t="s">
        <v>12</v>
      </c>
      <c r="H1348" s="7"/>
    </row>
    <row r="1349" s="3" customFormat="1" ht="14.25" customHeight="1" spans="1:8">
      <c r="A1349" s="7">
        <v>1346</v>
      </c>
      <c r="B1349" s="7" t="str">
        <f>"114020200328110803157440"</f>
        <v>114020200328110803157440</v>
      </c>
      <c r="C1349" s="7" t="s">
        <v>1363</v>
      </c>
      <c r="D1349" s="7" t="str">
        <f>"孙婧莹"</f>
        <v>孙婧莹</v>
      </c>
      <c r="E1349" s="7" t="str">
        <f t="shared" si="143"/>
        <v>女</v>
      </c>
      <c r="F1349" s="7" t="s">
        <v>1366</v>
      </c>
      <c r="G1349" s="7" t="s">
        <v>12</v>
      </c>
      <c r="H1349" s="7"/>
    </row>
    <row r="1350" s="3" customFormat="1" ht="14.25" customHeight="1" spans="1:8">
      <c r="A1350" s="7">
        <v>1347</v>
      </c>
      <c r="B1350" s="7" t="str">
        <f>"114020200328111500157452"</f>
        <v>114020200328111500157452</v>
      </c>
      <c r="C1350" s="7" t="s">
        <v>1363</v>
      </c>
      <c r="D1350" s="7" t="str">
        <f>"林志芬"</f>
        <v>林志芬</v>
      </c>
      <c r="E1350" s="7" t="str">
        <f t="shared" si="143"/>
        <v>女</v>
      </c>
      <c r="F1350" s="7" t="s">
        <v>1367</v>
      </c>
      <c r="G1350" s="7" t="s">
        <v>12</v>
      </c>
      <c r="H1350" s="7"/>
    </row>
    <row r="1351" s="3" customFormat="1" ht="14.25" customHeight="1" spans="1:8">
      <c r="A1351" s="7">
        <v>1348</v>
      </c>
      <c r="B1351" s="7" t="str">
        <f>"114020200328130255157641"</f>
        <v>114020200328130255157641</v>
      </c>
      <c r="C1351" s="7" t="s">
        <v>1363</v>
      </c>
      <c r="D1351" s="7" t="str">
        <f>"周巧强"</f>
        <v>周巧强</v>
      </c>
      <c r="E1351" s="7" t="str">
        <f t="shared" si="143"/>
        <v>女</v>
      </c>
      <c r="F1351" s="7" t="s">
        <v>1368</v>
      </c>
      <c r="G1351" s="7" t="s">
        <v>12</v>
      </c>
      <c r="H1351" s="7"/>
    </row>
    <row r="1352" s="3" customFormat="1" ht="14.25" customHeight="1" spans="1:8">
      <c r="A1352" s="7">
        <v>1349</v>
      </c>
      <c r="B1352" s="7" t="str">
        <f>"114020200328132414157672"</f>
        <v>114020200328132414157672</v>
      </c>
      <c r="C1352" s="7" t="s">
        <v>1363</v>
      </c>
      <c r="D1352" s="7" t="str">
        <f>"柯南平"</f>
        <v>柯南平</v>
      </c>
      <c r="E1352" s="7" t="str">
        <f t="shared" si="143"/>
        <v>女</v>
      </c>
      <c r="F1352" s="7" t="s">
        <v>1369</v>
      </c>
      <c r="G1352" s="7" t="s">
        <v>12</v>
      </c>
      <c r="H1352" s="7"/>
    </row>
    <row r="1353" s="3" customFormat="1" ht="14.25" customHeight="1" spans="1:8">
      <c r="A1353" s="7">
        <v>1350</v>
      </c>
      <c r="B1353" s="7" t="str">
        <f>"114020200328134853157707"</f>
        <v>114020200328134853157707</v>
      </c>
      <c r="C1353" s="7" t="s">
        <v>1363</v>
      </c>
      <c r="D1353" s="7" t="str">
        <f>"谢培容"</f>
        <v>谢培容</v>
      </c>
      <c r="E1353" s="7" t="str">
        <f t="shared" si="143"/>
        <v>女</v>
      </c>
      <c r="F1353" s="7" t="s">
        <v>1370</v>
      </c>
      <c r="G1353" s="7" t="s">
        <v>12</v>
      </c>
      <c r="H1353" s="7"/>
    </row>
    <row r="1354" s="3" customFormat="1" ht="14.25" customHeight="1" spans="1:8">
      <c r="A1354" s="7">
        <v>1351</v>
      </c>
      <c r="B1354" s="7" t="str">
        <f>"114020200328151713157785"</f>
        <v>114020200328151713157785</v>
      </c>
      <c r="C1354" s="7" t="s">
        <v>1363</v>
      </c>
      <c r="D1354" s="7" t="str">
        <f>"卢燕"</f>
        <v>卢燕</v>
      </c>
      <c r="E1354" s="7" t="str">
        <f t="shared" si="143"/>
        <v>女</v>
      </c>
      <c r="F1354" s="7" t="s">
        <v>1371</v>
      </c>
      <c r="G1354" s="7" t="s">
        <v>12</v>
      </c>
      <c r="H1354" s="7"/>
    </row>
    <row r="1355" s="3" customFormat="1" ht="14.25" customHeight="1" spans="1:8">
      <c r="A1355" s="7">
        <v>1352</v>
      </c>
      <c r="B1355" s="7" t="str">
        <f>"114020200328173703157924"</f>
        <v>114020200328173703157924</v>
      </c>
      <c r="C1355" s="7" t="s">
        <v>1363</v>
      </c>
      <c r="D1355" s="7" t="str">
        <f>"符家润"</f>
        <v>符家润</v>
      </c>
      <c r="E1355" s="7" t="str">
        <f>"男"</f>
        <v>男</v>
      </c>
      <c r="F1355" s="7" t="s">
        <v>1372</v>
      </c>
      <c r="G1355" s="7" t="s">
        <v>12</v>
      </c>
      <c r="H1355" s="7"/>
    </row>
    <row r="1356" s="3" customFormat="1" ht="14.25" customHeight="1" spans="1:8">
      <c r="A1356" s="7">
        <v>1353</v>
      </c>
      <c r="B1356" s="7" t="str">
        <f>"114020200328184434157977"</f>
        <v>114020200328184434157977</v>
      </c>
      <c r="C1356" s="7" t="s">
        <v>1363</v>
      </c>
      <c r="D1356" s="7" t="str">
        <f>"周碟"</f>
        <v>周碟</v>
      </c>
      <c r="E1356" s="7" t="str">
        <f t="shared" ref="E1356:E1365" si="144">"女"</f>
        <v>女</v>
      </c>
      <c r="F1356" s="7" t="s">
        <v>1373</v>
      </c>
      <c r="G1356" s="7" t="s">
        <v>12</v>
      </c>
      <c r="H1356" s="7"/>
    </row>
    <row r="1357" s="3" customFormat="1" ht="14.25" customHeight="1" spans="1:8">
      <c r="A1357" s="7">
        <v>1354</v>
      </c>
      <c r="B1357" s="7" t="str">
        <f>"114020200328194146158011"</f>
        <v>114020200328194146158011</v>
      </c>
      <c r="C1357" s="7" t="s">
        <v>1363</v>
      </c>
      <c r="D1357" s="7" t="str">
        <f>"何井花"</f>
        <v>何井花</v>
      </c>
      <c r="E1357" s="7" t="str">
        <f t="shared" si="144"/>
        <v>女</v>
      </c>
      <c r="F1357" s="7" t="s">
        <v>1374</v>
      </c>
      <c r="G1357" s="7" t="s">
        <v>12</v>
      </c>
      <c r="H1357" s="7"/>
    </row>
    <row r="1358" s="3" customFormat="1" ht="14.25" customHeight="1" spans="1:8">
      <c r="A1358" s="7">
        <v>1355</v>
      </c>
      <c r="B1358" s="7" t="str">
        <f>"114020200328203828158050"</f>
        <v>114020200328203828158050</v>
      </c>
      <c r="C1358" s="7" t="s">
        <v>1363</v>
      </c>
      <c r="D1358" s="7" t="str">
        <f>"黄谢"</f>
        <v>黄谢</v>
      </c>
      <c r="E1358" s="7" t="str">
        <f t="shared" si="144"/>
        <v>女</v>
      </c>
      <c r="F1358" s="7" t="s">
        <v>1375</v>
      </c>
      <c r="G1358" s="7" t="s">
        <v>12</v>
      </c>
      <c r="H1358" s="7"/>
    </row>
    <row r="1359" s="3" customFormat="1" ht="14.25" customHeight="1" spans="1:8">
      <c r="A1359" s="7">
        <v>1356</v>
      </c>
      <c r="B1359" s="7" t="str">
        <f>"114020200329102039158260"</f>
        <v>114020200329102039158260</v>
      </c>
      <c r="C1359" s="7" t="s">
        <v>1363</v>
      </c>
      <c r="D1359" s="7" t="str">
        <f>"卢永丽"</f>
        <v>卢永丽</v>
      </c>
      <c r="E1359" s="7" t="str">
        <f t="shared" si="144"/>
        <v>女</v>
      </c>
      <c r="F1359" s="7" t="s">
        <v>1376</v>
      </c>
      <c r="G1359" s="7" t="s">
        <v>12</v>
      </c>
      <c r="H1359" s="7"/>
    </row>
    <row r="1360" s="3" customFormat="1" ht="14.25" customHeight="1" spans="1:8">
      <c r="A1360" s="7">
        <v>1357</v>
      </c>
      <c r="B1360" s="7" t="str">
        <f>"114020200329114624158335"</f>
        <v>114020200329114624158335</v>
      </c>
      <c r="C1360" s="7" t="s">
        <v>1363</v>
      </c>
      <c r="D1360" s="7" t="str">
        <f>"李华姑"</f>
        <v>李华姑</v>
      </c>
      <c r="E1360" s="7" t="str">
        <f t="shared" si="144"/>
        <v>女</v>
      </c>
      <c r="F1360" s="7" t="s">
        <v>1377</v>
      </c>
      <c r="G1360" s="7" t="s">
        <v>12</v>
      </c>
      <c r="H1360" s="7"/>
    </row>
    <row r="1361" s="3" customFormat="1" ht="14.25" customHeight="1" spans="1:8">
      <c r="A1361" s="7">
        <v>1358</v>
      </c>
      <c r="B1361" s="7" t="str">
        <f>"114020200329132724158410"</f>
        <v>114020200329132724158410</v>
      </c>
      <c r="C1361" s="7" t="s">
        <v>1363</v>
      </c>
      <c r="D1361" s="7" t="str">
        <f>"邢贞莹"</f>
        <v>邢贞莹</v>
      </c>
      <c r="E1361" s="7" t="str">
        <f t="shared" si="144"/>
        <v>女</v>
      </c>
      <c r="F1361" s="7" t="s">
        <v>1378</v>
      </c>
      <c r="G1361" s="7" t="s">
        <v>12</v>
      </c>
      <c r="H1361" s="7"/>
    </row>
    <row r="1362" s="3" customFormat="1" ht="14.25" customHeight="1" spans="1:8">
      <c r="A1362" s="7">
        <v>1359</v>
      </c>
      <c r="B1362" s="7" t="str">
        <f>"114020200329190003158571"</f>
        <v>114020200329190003158571</v>
      </c>
      <c r="C1362" s="7" t="s">
        <v>1363</v>
      </c>
      <c r="D1362" s="7" t="str">
        <f>"张银雪"</f>
        <v>张银雪</v>
      </c>
      <c r="E1362" s="7" t="str">
        <f t="shared" si="144"/>
        <v>女</v>
      </c>
      <c r="F1362" s="7" t="s">
        <v>1379</v>
      </c>
      <c r="G1362" s="7" t="s">
        <v>12</v>
      </c>
      <c r="H1362" s="7"/>
    </row>
    <row r="1363" s="3" customFormat="1" ht="14.25" customHeight="1" spans="1:8">
      <c r="A1363" s="7">
        <v>1360</v>
      </c>
      <c r="B1363" s="7" t="str">
        <f>"114020200329205846158644"</f>
        <v>114020200329205846158644</v>
      </c>
      <c r="C1363" s="7" t="s">
        <v>1363</v>
      </c>
      <c r="D1363" s="7" t="str">
        <f>"黄国敏"</f>
        <v>黄国敏</v>
      </c>
      <c r="E1363" s="7" t="str">
        <f t="shared" si="144"/>
        <v>女</v>
      </c>
      <c r="F1363" s="7" t="s">
        <v>1380</v>
      </c>
      <c r="G1363" s="7" t="s">
        <v>12</v>
      </c>
      <c r="H1363" s="7"/>
    </row>
    <row r="1364" s="3" customFormat="1" ht="14.25" customHeight="1" spans="1:8">
      <c r="A1364" s="7">
        <v>1361</v>
      </c>
      <c r="B1364" s="7" t="str">
        <f>"114020200330101839158866"</f>
        <v>114020200330101839158866</v>
      </c>
      <c r="C1364" s="7" t="s">
        <v>1363</v>
      </c>
      <c r="D1364" s="7" t="str">
        <f>"文凤挑"</f>
        <v>文凤挑</v>
      </c>
      <c r="E1364" s="7" t="str">
        <f t="shared" si="144"/>
        <v>女</v>
      </c>
      <c r="F1364" s="7" t="s">
        <v>1381</v>
      </c>
      <c r="G1364" s="7" t="s">
        <v>12</v>
      </c>
      <c r="H1364" s="7"/>
    </row>
    <row r="1365" s="3" customFormat="1" ht="14.25" customHeight="1" spans="1:8">
      <c r="A1365" s="7">
        <v>1362</v>
      </c>
      <c r="B1365" s="7" t="str">
        <f>"114020200330151119159073"</f>
        <v>114020200330151119159073</v>
      </c>
      <c r="C1365" s="7" t="s">
        <v>1363</v>
      </c>
      <c r="D1365" s="7" t="str">
        <f>"王东露"</f>
        <v>王东露</v>
      </c>
      <c r="E1365" s="7" t="str">
        <f t="shared" si="144"/>
        <v>女</v>
      </c>
      <c r="F1365" s="7" t="s">
        <v>1382</v>
      </c>
      <c r="G1365" s="7" t="s">
        <v>12</v>
      </c>
      <c r="H1365" s="7"/>
    </row>
    <row r="1366" s="3" customFormat="1" ht="14.25" customHeight="1" spans="1:8">
      <c r="A1366" s="7">
        <v>1363</v>
      </c>
      <c r="B1366" s="7" t="str">
        <f>"114020200330202417159252"</f>
        <v>114020200330202417159252</v>
      </c>
      <c r="C1366" s="7" t="s">
        <v>1363</v>
      </c>
      <c r="D1366" s="7" t="str">
        <f>"王祺定"</f>
        <v>王祺定</v>
      </c>
      <c r="E1366" s="7" t="str">
        <f>"男"</f>
        <v>男</v>
      </c>
      <c r="F1366" s="7" t="s">
        <v>1383</v>
      </c>
      <c r="G1366" s="7" t="s">
        <v>12</v>
      </c>
      <c r="H1366" s="7"/>
    </row>
    <row r="1367" s="3" customFormat="1" ht="14.25" customHeight="1" spans="1:8">
      <c r="A1367" s="7">
        <v>1364</v>
      </c>
      <c r="B1367" s="7" t="str">
        <f>"114020200331152008159558"</f>
        <v>114020200331152008159558</v>
      </c>
      <c r="C1367" s="7" t="s">
        <v>1363</v>
      </c>
      <c r="D1367" s="7" t="str">
        <f>"林艳"</f>
        <v>林艳</v>
      </c>
      <c r="E1367" s="7" t="str">
        <f t="shared" ref="E1367:E1387" si="145">"女"</f>
        <v>女</v>
      </c>
      <c r="F1367" s="7" t="s">
        <v>1384</v>
      </c>
      <c r="G1367" s="7" t="s">
        <v>12</v>
      </c>
      <c r="H1367" s="7"/>
    </row>
    <row r="1368" s="3" customFormat="1" ht="14.25" customHeight="1" spans="1:8">
      <c r="A1368" s="7">
        <v>1365</v>
      </c>
      <c r="B1368" s="7" t="str">
        <f>"114020200331161431159584"</f>
        <v>114020200331161431159584</v>
      </c>
      <c r="C1368" s="7" t="s">
        <v>1363</v>
      </c>
      <c r="D1368" s="7" t="str">
        <f>"何天晶"</f>
        <v>何天晶</v>
      </c>
      <c r="E1368" s="7" t="str">
        <f t="shared" si="145"/>
        <v>女</v>
      </c>
      <c r="F1368" s="7" t="s">
        <v>1385</v>
      </c>
      <c r="G1368" s="7" t="s">
        <v>12</v>
      </c>
      <c r="H1368" s="7"/>
    </row>
    <row r="1369" s="3" customFormat="1" ht="14.25" customHeight="1" spans="1:8">
      <c r="A1369" s="7">
        <v>1366</v>
      </c>
      <c r="B1369" s="7" t="str">
        <f>"114020200331200627159662"</f>
        <v>114020200331200627159662</v>
      </c>
      <c r="C1369" s="7" t="s">
        <v>1363</v>
      </c>
      <c r="D1369" s="7" t="str">
        <f>"文秋彦"</f>
        <v>文秋彦</v>
      </c>
      <c r="E1369" s="7" t="str">
        <f t="shared" si="145"/>
        <v>女</v>
      </c>
      <c r="F1369" s="7" t="s">
        <v>1386</v>
      </c>
      <c r="G1369" s="7" t="s">
        <v>12</v>
      </c>
      <c r="H1369" s="7"/>
    </row>
    <row r="1370" s="3" customFormat="1" ht="14.25" customHeight="1" spans="1:8">
      <c r="A1370" s="7">
        <v>1367</v>
      </c>
      <c r="B1370" s="7" t="str">
        <f>"114020200401094357159765"</f>
        <v>114020200401094357159765</v>
      </c>
      <c r="C1370" s="7" t="s">
        <v>1363</v>
      </c>
      <c r="D1370" s="7" t="str">
        <f>"何芳"</f>
        <v>何芳</v>
      </c>
      <c r="E1370" s="7" t="str">
        <f t="shared" si="145"/>
        <v>女</v>
      </c>
      <c r="F1370" s="7" t="s">
        <v>1387</v>
      </c>
      <c r="G1370" s="7" t="s">
        <v>12</v>
      </c>
      <c r="H1370" s="7"/>
    </row>
    <row r="1371" s="3" customFormat="1" ht="14.25" customHeight="1" spans="1:8">
      <c r="A1371" s="7">
        <v>1368</v>
      </c>
      <c r="B1371" s="7" t="str">
        <f>"114020200401122424159834"</f>
        <v>114020200401122424159834</v>
      </c>
      <c r="C1371" s="7" t="s">
        <v>1363</v>
      </c>
      <c r="D1371" s="7" t="str">
        <f>"姜闻"</f>
        <v>姜闻</v>
      </c>
      <c r="E1371" s="7" t="str">
        <f t="shared" si="145"/>
        <v>女</v>
      </c>
      <c r="F1371" s="7" t="s">
        <v>1388</v>
      </c>
      <c r="G1371" s="7" t="s">
        <v>12</v>
      </c>
      <c r="H1371" s="7"/>
    </row>
    <row r="1372" s="3" customFormat="1" ht="14.25" customHeight="1" spans="1:8">
      <c r="A1372" s="7">
        <v>1369</v>
      </c>
      <c r="B1372" s="7" t="str">
        <f>"114020200402001725160090"</f>
        <v>114020200402001725160090</v>
      </c>
      <c r="C1372" s="7" t="s">
        <v>1363</v>
      </c>
      <c r="D1372" s="7" t="str">
        <f>"林丽"</f>
        <v>林丽</v>
      </c>
      <c r="E1372" s="7" t="str">
        <f t="shared" si="145"/>
        <v>女</v>
      </c>
      <c r="F1372" s="7" t="s">
        <v>1389</v>
      </c>
      <c r="G1372" s="7" t="s">
        <v>12</v>
      </c>
      <c r="H1372" s="7"/>
    </row>
    <row r="1373" s="3" customFormat="1" ht="14.25" customHeight="1" spans="1:8">
      <c r="A1373" s="7">
        <v>1370</v>
      </c>
      <c r="B1373" s="7" t="str">
        <f>"114020200402131940160172"</f>
        <v>114020200402131940160172</v>
      </c>
      <c r="C1373" s="7" t="s">
        <v>1363</v>
      </c>
      <c r="D1373" s="7" t="str">
        <f>"林玛明"</f>
        <v>林玛明</v>
      </c>
      <c r="E1373" s="7" t="str">
        <f t="shared" si="145"/>
        <v>女</v>
      </c>
      <c r="F1373" s="7" t="s">
        <v>1390</v>
      </c>
      <c r="G1373" s="7" t="s">
        <v>12</v>
      </c>
      <c r="H1373" s="7"/>
    </row>
    <row r="1374" s="3" customFormat="1" ht="14.25" customHeight="1" spans="1:8">
      <c r="A1374" s="7">
        <v>1371</v>
      </c>
      <c r="B1374" s="7" t="str">
        <f>"114020200402204519160296"</f>
        <v>114020200402204519160296</v>
      </c>
      <c r="C1374" s="7" t="s">
        <v>1363</v>
      </c>
      <c r="D1374" s="7" t="str">
        <f>"林道萍"</f>
        <v>林道萍</v>
      </c>
      <c r="E1374" s="7" t="str">
        <f t="shared" si="145"/>
        <v>女</v>
      </c>
      <c r="F1374" s="7" t="s">
        <v>1391</v>
      </c>
      <c r="G1374" s="7" t="s">
        <v>12</v>
      </c>
      <c r="H1374" s="7"/>
    </row>
    <row r="1375" s="3" customFormat="1" ht="14.25" customHeight="1" spans="1:8">
      <c r="A1375" s="7">
        <v>1372</v>
      </c>
      <c r="B1375" s="7" t="str">
        <f>"114020200403124348160445"</f>
        <v>114020200403124348160445</v>
      </c>
      <c r="C1375" s="7" t="s">
        <v>1363</v>
      </c>
      <c r="D1375" s="7" t="str">
        <f>"符含萍"</f>
        <v>符含萍</v>
      </c>
      <c r="E1375" s="7" t="str">
        <f t="shared" si="145"/>
        <v>女</v>
      </c>
      <c r="F1375" s="7" t="s">
        <v>1044</v>
      </c>
      <c r="G1375" s="7" t="s">
        <v>12</v>
      </c>
      <c r="H1375" s="7"/>
    </row>
    <row r="1376" s="3" customFormat="1" ht="14.25" customHeight="1" spans="1:8">
      <c r="A1376" s="7">
        <v>1373</v>
      </c>
      <c r="B1376" s="7" t="str">
        <f>"114020200403214333160554"</f>
        <v>114020200403214333160554</v>
      </c>
      <c r="C1376" s="7" t="s">
        <v>1363</v>
      </c>
      <c r="D1376" s="7" t="str">
        <f>"王锡雪"</f>
        <v>王锡雪</v>
      </c>
      <c r="E1376" s="7" t="str">
        <f t="shared" si="145"/>
        <v>女</v>
      </c>
      <c r="F1376" s="7" t="s">
        <v>59</v>
      </c>
      <c r="G1376" s="7" t="s">
        <v>12</v>
      </c>
      <c r="H1376" s="7"/>
    </row>
    <row r="1377" s="3" customFormat="1" ht="14.25" customHeight="1" spans="1:8">
      <c r="A1377" s="7">
        <v>1374</v>
      </c>
      <c r="B1377" s="7" t="str">
        <f>"114020200404091731160586"</f>
        <v>114020200404091731160586</v>
      </c>
      <c r="C1377" s="7" t="s">
        <v>1363</v>
      </c>
      <c r="D1377" s="7" t="str">
        <f>"蒙美姑"</f>
        <v>蒙美姑</v>
      </c>
      <c r="E1377" s="7" t="str">
        <f t="shared" si="145"/>
        <v>女</v>
      </c>
      <c r="F1377" s="7" t="s">
        <v>1107</v>
      </c>
      <c r="G1377" s="7" t="s">
        <v>12</v>
      </c>
      <c r="H1377" s="7"/>
    </row>
    <row r="1378" s="3" customFormat="1" ht="14.25" customHeight="1" spans="1:8">
      <c r="A1378" s="7">
        <v>1375</v>
      </c>
      <c r="B1378" s="7" t="str">
        <f>"114020200404230908160688"</f>
        <v>114020200404230908160688</v>
      </c>
      <c r="C1378" s="7" t="s">
        <v>1363</v>
      </c>
      <c r="D1378" s="7" t="str">
        <f>"文日婷"</f>
        <v>文日婷</v>
      </c>
      <c r="E1378" s="7" t="str">
        <f t="shared" si="145"/>
        <v>女</v>
      </c>
      <c r="F1378" s="7" t="s">
        <v>1392</v>
      </c>
      <c r="G1378" s="7" t="s">
        <v>12</v>
      </c>
      <c r="H1378" s="7"/>
    </row>
    <row r="1379" s="3" customFormat="1" ht="14.25" customHeight="1" spans="1:8">
      <c r="A1379" s="7">
        <v>1376</v>
      </c>
      <c r="B1379" s="7" t="str">
        <f>"114020200405112615160793"</f>
        <v>114020200405112615160793</v>
      </c>
      <c r="C1379" s="7" t="s">
        <v>1363</v>
      </c>
      <c r="D1379" s="7" t="str">
        <f>"陈香燕"</f>
        <v>陈香燕</v>
      </c>
      <c r="E1379" s="7" t="str">
        <f t="shared" si="145"/>
        <v>女</v>
      </c>
      <c r="F1379" s="7" t="s">
        <v>1393</v>
      </c>
      <c r="G1379" s="7" t="s">
        <v>12</v>
      </c>
      <c r="H1379" s="7"/>
    </row>
    <row r="1380" s="3" customFormat="1" ht="14.25" customHeight="1" spans="1:8">
      <c r="A1380" s="7">
        <v>1377</v>
      </c>
      <c r="B1380" s="7" t="str">
        <f>"114020200406094443161083"</f>
        <v>114020200406094443161083</v>
      </c>
      <c r="C1380" s="7" t="s">
        <v>1363</v>
      </c>
      <c r="D1380" s="7" t="str">
        <f>"王红玲"</f>
        <v>王红玲</v>
      </c>
      <c r="E1380" s="7" t="str">
        <f t="shared" si="145"/>
        <v>女</v>
      </c>
      <c r="F1380" s="7" t="s">
        <v>1394</v>
      </c>
      <c r="G1380" s="7" t="s">
        <v>12</v>
      </c>
      <c r="H1380" s="7"/>
    </row>
    <row r="1381" s="3" customFormat="1" ht="14.25" customHeight="1" spans="1:8">
      <c r="A1381" s="7">
        <v>1378</v>
      </c>
      <c r="B1381" s="7" t="str">
        <f>"114020200328101035157301"</f>
        <v>114020200328101035157301</v>
      </c>
      <c r="C1381" s="7" t="s">
        <v>1395</v>
      </c>
      <c r="D1381" s="7" t="str">
        <f>"黄彩玉"</f>
        <v>黄彩玉</v>
      </c>
      <c r="E1381" s="7" t="str">
        <f t="shared" si="145"/>
        <v>女</v>
      </c>
      <c r="F1381" s="7" t="s">
        <v>1396</v>
      </c>
      <c r="G1381" s="7" t="s">
        <v>12</v>
      </c>
      <c r="H1381" s="7"/>
    </row>
    <row r="1382" s="3" customFormat="1" ht="14.25" customHeight="1" spans="1:8">
      <c r="A1382" s="7">
        <v>1379</v>
      </c>
      <c r="B1382" s="7" t="str">
        <f>"114020200328102736157349"</f>
        <v>114020200328102736157349</v>
      </c>
      <c r="C1382" s="7" t="s">
        <v>1395</v>
      </c>
      <c r="D1382" s="7" t="str">
        <f>"王飞"</f>
        <v>王飞</v>
      </c>
      <c r="E1382" s="7" t="str">
        <f t="shared" si="145"/>
        <v>女</v>
      </c>
      <c r="F1382" s="7" t="s">
        <v>1397</v>
      </c>
      <c r="G1382" s="7" t="s">
        <v>12</v>
      </c>
      <c r="H1382" s="7"/>
    </row>
    <row r="1383" s="3" customFormat="1" ht="14.25" customHeight="1" spans="1:8">
      <c r="A1383" s="7">
        <v>1380</v>
      </c>
      <c r="B1383" s="7" t="str">
        <f>"114020200328131018157650"</f>
        <v>114020200328131018157650</v>
      </c>
      <c r="C1383" s="7" t="s">
        <v>1395</v>
      </c>
      <c r="D1383" s="7" t="str">
        <f>"林慧"</f>
        <v>林慧</v>
      </c>
      <c r="E1383" s="7" t="str">
        <f t="shared" si="145"/>
        <v>女</v>
      </c>
      <c r="F1383" s="7" t="s">
        <v>1398</v>
      </c>
      <c r="G1383" s="7" t="s">
        <v>12</v>
      </c>
      <c r="H1383" s="7"/>
    </row>
    <row r="1384" s="3" customFormat="1" ht="14.25" customHeight="1" spans="1:8">
      <c r="A1384" s="7">
        <v>1381</v>
      </c>
      <c r="B1384" s="7" t="str">
        <f>"114020200328133119157684"</f>
        <v>114020200328133119157684</v>
      </c>
      <c r="C1384" s="7" t="s">
        <v>1395</v>
      </c>
      <c r="D1384" s="7" t="str">
        <f>"陈惠儿"</f>
        <v>陈惠儿</v>
      </c>
      <c r="E1384" s="7" t="str">
        <f t="shared" si="145"/>
        <v>女</v>
      </c>
      <c r="F1384" s="7" t="s">
        <v>1399</v>
      </c>
      <c r="G1384" s="7" t="s">
        <v>12</v>
      </c>
      <c r="H1384" s="7"/>
    </row>
    <row r="1385" s="3" customFormat="1" ht="14.25" customHeight="1" spans="1:8">
      <c r="A1385" s="7">
        <v>1382</v>
      </c>
      <c r="B1385" s="7" t="str">
        <f>"114020200328164902157885"</f>
        <v>114020200328164902157885</v>
      </c>
      <c r="C1385" s="7" t="s">
        <v>1395</v>
      </c>
      <c r="D1385" s="7" t="str">
        <f>"黄慧环"</f>
        <v>黄慧环</v>
      </c>
      <c r="E1385" s="7" t="str">
        <f t="shared" si="145"/>
        <v>女</v>
      </c>
      <c r="F1385" s="7" t="s">
        <v>1400</v>
      </c>
      <c r="G1385" s="7" t="s">
        <v>12</v>
      </c>
      <c r="H1385" s="7"/>
    </row>
    <row r="1386" s="3" customFormat="1" ht="14.25" customHeight="1" spans="1:8">
      <c r="A1386" s="7">
        <v>1383</v>
      </c>
      <c r="B1386" s="7" t="str">
        <f>"114020200328205552158066"</f>
        <v>114020200328205552158066</v>
      </c>
      <c r="C1386" s="7" t="s">
        <v>1395</v>
      </c>
      <c r="D1386" s="7" t="str">
        <f>"吴园园"</f>
        <v>吴园园</v>
      </c>
      <c r="E1386" s="7" t="str">
        <f t="shared" si="145"/>
        <v>女</v>
      </c>
      <c r="F1386" s="7" t="s">
        <v>1401</v>
      </c>
      <c r="G1386" s="7" t="s">
        <v>12</v>
      </c>
      <c r="H1386" s="7"/>
    </row>
    <row r="1387" s="3" customFormat="1" ht="14.25" customHeight="1" spans="1:8">
      <c r="A1387" s="7">
        <v>1384</v>
      </c>
      <c r="B1387" s="7" t="str">
        <f>"114020200329125835158381"</f>
        <v>114020200329125835158381</v>
      </c>
      <c r="C1387" s="7" t="s">
        <v>1395</v>
      </c>
      <c r="D1387" s="7" t="str">
        <f>"叶芷芹"</f>
        <v>叶芷芹</v>
      </c>
      <c r="E1387" s="7" t="str">
        <f t="shared" si="145"/>
        <v>女</v>
      </c>
      <c r="F1387" s="7" t="s">
        <v>1402</v>
      </c>
      <c r="G1387" s="7" t="s">
        <v>12</v>
      </c>
      <c r="H1387" s="7"/>
    </row>
    <row r="1388" s="3" customFormat="1" ht="14.25" customHeight="1" spans="1:8">
      <c r="A1388" s="7">
        <v>1385</v>
      </c>
      <c r="B1388" s="7" t="str">
        <f>"114020200329211412158654"</f>
        <v>114020200329211412158654</v>
      </c>
      <c r="C1388" s="7" t="s">
        <v>1395</v>
      </c>
      <c r="D1388" s="7" t="str">
        <f>"符家浩"</f>
        <v>符家浩</v>
      </c>
      <c r="E1388" s="7" t="str">
        <f>"男"</f>
        <v>男</v>
      </c>
      <c r="F1388" s="7" t="s">
        <v>1403</v>
      </c>
      <c r="G1388" s="7" t="s">
        <v>12</v>
      </c>
      <c r="H1388" s="7"/>
    </row>
    <row r="1389" s="3" customFormat="1" ht="14.25" customHeight="1" spans="1:8">
      <c r="A1389" s="7">
        <v>1386</v>
      </c>
      <c r="B1389" s="7" t="str">
        <f>"114020200330114742158950"</f>
        <v>114020200330114742158950</v>
      </c>
      <c r="C1389" s="7" t="s">
        <v>1395</v>
      </c>
      <c r="D1389" s="7" t="str">
        <f>"符顺子"</f>
        <v>符顺子</v>
      </c>
      <c r="E1389" s="7" t="str">
        <f t="shared" ref="E1389:E1400" si="146">"女"</f>
        <v>女</v>
      </c>
      <c r="F1389" s="7" t="s">
        <v>1404</v>
      </c>
      <c r="G1389" s="7" t="s">
        <v>12</v>
      </c>
      <c r="H1389" s="7"/>
    </row>
    <row r="1390" s="3" customFormat="1" ht="14.25" customHeight="1" spans="1:8">
      <c r="A1390" s="7">
        <v>1387</v>
      </c>
      <c r="B1390" s="7" t="str">
        <f>"114020200330140220159032"</f>
        <v>114020200330140220159032</v>
      </c>
      <c r="C1390" s="7" t="s">
        <v>1395</v>
      </c>
      <c r="D1390" s="7" t="str">
        <f>"黄文谷"</f>
        <v>黄文谷</v>
      </c>
      <c r="E1390" s="7" t="str">
        <f t="shared" si="146"/>
        <v>女</v>
      </c>
      <c r="F1390" s="7" t="s">
        <v>1405</v>
      </c>
      <c r="G1390" s="7" t="s">
        <v>12</v>
      </c>
      <c r="H1390" s="7"/>
    </row>
    <row r="1391" s="3" customFormat="1" ht="14.25" customHeight="1" spans="1:8">
      <c r="A1391" s="7">
        <v>1388</v>
      </c>
      <c r="B1391" s="7" t="str">
        <f>"114020200330151151159075"</f>
        <v>114020200330151151159075</v>
      </c>
      <c r="C1391" s="7" t="s">
        <v>1395</v>
      </c>
      <c r="D1391" s="7" t="str">
        <f>"符佳"</f>
        <v>符佳</v>
      </c>
      <c r="E1391" s="7" t="str">
        <f t="shared" si="146"/>
        <v>女</v>
      </c>
      <c r="F1391" s="7" t="s">
        <v>1406</v>
      </c>
      <c r="G1391" s="7" t="s">
        <v>12</v>
      </c>
      <c r="H1391" s="7"/>
    </row>
    <row r="1392" s="3" customFormat="1" ht="14.25" customHeight="1" spans="1:8">
      <c r="A1392" s="7">
        <v>1389</v>
      </c>
      <c r="B1392" s="7" t="str">
        <f>"114020200331095903159397"</f>
        <v>114020200331095903159397</v>
      </c>
      <c r="C1392" s="7" t="s">
        <v>1395</v>
      </c>
      <c r="D1392" s="7" t="str">
        <f>"李金芳"</f>
        <v>李金芳</v>
      </c>
      <c r="E1392" s="7" t="str">
        <f t="shared" si="146"/>
        <v>女</v>
      </c>
      <c r="F1392" s="7" t="s">
        <v>1407</v>
      </c>
      <c r="G1392" s="7" t="s">
        <v>12</v>
      </c>
      <c r="H1392" s="7"/>
    </row>
    <row r="1393" s="3" customFormat="1" ht="14.25" customHeight="1" spans="1:8">
      <c r="A1393" s="7">
        <v>1390</v>
      </c>
      <c r="B1393" s="7" t="str">
        <f>"114020200331131316159502"</f>
        <v>114020200331131316159502</v>
      </c>
      <c r="C1393" s="7" t="s">
        <v>1395</v>
      </c>
      <c r="D1393" s="7" t="str">
        <f>"陈云暖"</f>
        <v>陈云暖</v>
      </c>
      <c r="E1393" s="7" t="str">
        <f t="shared" si="146"/>
        <v>女</v>
      </c>
      <c r="F1393" s="7" t="s">
        <v>1408</v>
      </c>
      <c r="G1393" s="7" t="s">
        <v>12</v>
      </c>
      <c r="H1393" s="7"/>
    </row>
    <row r="1394" s="3" customFormat="1" ht="14.25" customHeight="1" spans="1:8">
      <c r="A1394" s="7">
        <v>1391</v>
      </c>
      <c r="B1394" s="7" t="str">
        <f>"114020200331184142159637"</f>
        <v>114020200331184142159637</v>
      </c>
      <c r="C1394" s="7" t="s">
        <v>1395</v>
      </c>
      <c r="D1394" s="7" t="str">
        <f>"符永丹"</f>
        <v>符永丹</v>
      </c>
      <c r="E1394" s="7" t="str">
        <f t="shared" si="146"/>
        <v>女</v>
      </c>
      <c r="F1394" s="7" t="s">
        <v>1409</v>
      </c>
      <c r="G1394" s="7" t="s">
        <v>12</v>
      </c>
      <c r="H1394" s="7"/>
    </row>
    <row r="1395" s="3" customFormat="1" ht="14.25" customHeight="1" spans="1:8">
      <c r="A1395" s="7">
        <v>1392</v>
      </c>
      <c r="B1395" s="7" t="str">
        <f>"114020200401080941159740"</f>
        <v>114020200401080941159740</v>
      </c>
      <c r="C1395" s="7" t="s">
        <v>1395</v>
      </c>
      <c r="D1395" s="7" t="str">
        <f>"郑佳丽"</f>
        <v>郑佳丽</v>
      </c>
      <c r="E1395" s="7" t="str">
        <f t="shared" si="146"/>
        <v>女</v>
      </c>
      <c r="F1395" s="7" t="s">
        <v>1410</v>
      </c>
      <c r="G1395" s="7" t="s">
        <v>12</v>
      </c>
      <c r="H1395" s="7"/>
    </row>
    <row r="1396" s="3" customFormat="1" ht="14.25" customHeight="1" spans="1:8">
      <c r="A1396" s="7">
        <v>1393</v>
      </c>
      <c r="B1396" s="7" t="str">
        <f>"114020200401153457159897"</f>
        <v>114020200401153457159897</v>
      </c>
      <c r="C1396" s="7" t="s">
        <v>1395</v>
      </c>
      <c r="D1396" s="7" t="str">
        <f>"王雪"</f>
        <v>王雪</v>
      </c>
      <c r="E1396" s="7" t="str">
        <f t="shared" si="146"/>
        <v>女</v>
      </c>
      <c r="F1396" s="7" t="s">
        <v>1411</v>
      </c>
      <c r="G1396" s="7" t="s">
        <v>12</v>
      </c>
      <c r="H1396" s="7"/>
    </row>
    <row r="1397" s="3" customFormat="1" ht="14.25" customHeight="1" spans="1:8">
      <c r="A1397" s="7">
        <v>1394</v>
      </c>
      <c r="B1397" s="7" t="str">
        <f>"114020200401212534160044"</f>
        <v>114020200401212534160044</v>
      </c>
      <c r="C1397" s="7" t="s">
        <v>1395</v>
      </c>
      <c r="D1397" s="7" t="str">
        <f>"郑家善"</f>
        <v>郑家善</v>
      </c>
      <c r="E1397" s="7" t="str">
        <f t="shared" si="146"/>
        <v>女</v>
      </c>
      <c r="F1397" s="7" t="s">
        <v>961</v>
      </c>
      <c r="G1397" s="7" t="s">
        <v>12</v>
      </c>
      <c r="H1397" s="7"/>
    </row>
    <row r="1398" s="3" customFormat="1" ht="14.25" customHeight="1" spans="1:8">
      <c r="A1398" s="7">
        <v>1395</v>
      </c>
      <c r="B1398" s="7" t="str">
        <f>"114020200403065128160359"</f>
        <v>114020200403065128160359</v>
      </c>
      <c r="C1398" s="7" t="s">
        <v>1395</v>
      </c>
      <c r="D1398" s="7" t="str">
        <f>"黎祥银"</f>
        <v>黎祥银</v>
      </c>
      <c r="E1398" s="7" t="str">
        <f t="shared" si="146"/>
        <v>女</v>
      </c>
      <c r="F1398" s="7" t="s">
        <v>1412</v>
      </c>
      <c r="G1398" s="7" t="s">
        <v>12</v>
      </c>
      <c r="H1398" s="7"/>
    </row>
    <row r="1399" s="3" customFormat="1" ht="14.25" customHeight="1" spans="1:8">
      <c r="A1399" s="7">
        <v>1396</v>
      </c>
      <c r="B1399" s="7" t="str">
        <f>"114020200403101141160392"</f>
        <v>114020200403101141160392</v>
      </c>
      <c r="C1399" s="7" t="s">
        <v>1395</v>
      </c>
      <c r="D1399" s="7" t="str">
        <f>"陈玉湲"</f>
        <v>陈玉湲</v>
      </c>
      <c r="E1399" s="7" t="str">
        <f t="shared" si="146"/>
        <v>女</v>
      </c>
      <c r="F1399" s="7" t="s">
        <v>1413</v>
      </c>
      <c r="G1399" s="7" t="s">
        <v>12</v>
      </c>
      <c r="H1399" s="7"/>
    </row>
    <row r="1400" s="3" customFormat="1" ht="14.25" customHeight="1" spans="1:8">
      <c r="A1400" s="7">
        <v>1397</v>
      </c>
      <c r="B1400" s="7" t="str">
        <f>"114020200403174009160517"</f>
        <v>114020200403174009160517</v>
      </c>
      <c r="C1400" s="7" t="s">
        <v>1395</v>
      </c>
      <c r="D1400" s="7" t="str">
        <f>"罗玉华"</f>
        <v>罗玉华</v>
      </c>
      <c r="E1400" s="7" t="str">
        <f t="shared" si="146"/>
        <v>女</v>
      </c>
      <c r="F1400" s="7" t="s">
        <v>1414</v>
      </c>
      <c r="G1400" s="7" t="s">
        <v>12</v>
      </c>
      <c r="H1400" s="7"/>
    </row>
    <row r="1401" s="3" customFormat="1" ht="14.25" customHeight="1" spans="1:8">
      <c r="A1401" s="7">
        <v>1398</v>
      </c>
      <c r="B1401" s="7" t="str">
        <f>"114020200405185859160928"</f>
        <v>114020200405185859160928</v>
      </c>
      <c r="C1401" s="7" t="s">
        <v>1395</v>
      </c>
      <c r="D1401" s="7" t="str">
        <f>"柳小壮"</f>
        <v>柳小壮</v>
      </c>
      <c r="E1401" s="7" t="str">
        <f t="shared" ref="E1401:E1406" si="147">"男"</f>
        <v>男</v>
      </c>
      <c r="F1401" s="7" t="s">
        <v>1415</v>
      </c>
      <c r="G1401" s="7" t="s">
        <v>12</v>
      </c>
      <c r="H1401" s="7"/>
    </row>
    <row r="1402" s="3" customFormat="1" ht="14.25" customHeight="1" spans="1:8">
      <c r="A1402" s="7">
        <v>1399</v>
      </c>
      <c r="B1402" s="7" t="str">
        <f>"114020200405231235161029"</f>
        <v>114020200405231235161029</v>
      </c>
      <c r="C1402" s="7" t="s">
        <v>1395</v>
      </c>
      <c r="D1402" s="7" t="str">
        <f>"王槐妙"</f>
        <v>王槐妙</v>
      </c>
      <c r="E1402" s="7" t="str">
        <f t="shared" ref="E1402:E1405" si="148">"女"</f>
        <v>女</v>
      </c>
      <c r="F1402" s="7" t="s">
        <v>1416</v>
      </c>
      <c r="G1402" s="7" t="s">
        <v>12</v>
      </c>
      <c r="H1402" s="7"/>
    </row>
    <row r="1403" s="3" customFormat="1" ht="14.25" customHeight="1" spans="1:8">
      <c r="A1403" s="7">
        <v>1400</v>
      </c>
      <c r="B1403" s="7" t="str">
        <f>"114020200328092338157187"</f>
        <v>114020200328092338157187</v>
      </c>
      <c r="C1403" s="7" t="s">
        <v>1417</v>
      </c>
      <c r="D1403" s="7" t="str">
        <f>"唐国"</f>
        <v>唐国</v>
      </c>
      <c r="E1403" s="7" t="str">
        <f t="shared" si="147"/>
        <v>男</v>
      </c>
      <c r="F1403" s="7" t="s">
        <v>1418</v>
      </c>
      <c r="G1403" s="7" t="s">
        <v>12</v>
      </c>
      <c r="H1403" s="7"/>
    </row>
    <row r="1404" s="3" customFormat="1" ht="14.25" customHeight="1" spans="1:8">
      <c r="A1404" s="7">
        <v>1401</v>
      </c>
      <c r="B1404" s="7" t="str">
        <f>"114020200328110729157436"</f>
        <v>114020200328110729157436</v>
      </c>
      <c r="C1404" s="7" t="s">
        <v>1417</v>
      </c>
      <c r="D1404" s="7" t="str">
        <f>"符艳梅"</f>
        <v>符艳梅</v>
      </c>
      <c r="E1404" s="7" t="str">
        <f t="shared" si="148"/>
        <v>女</v>
      </c>
      <c r="F1404" s="7" t="s">
        <v>1419</v>
      </c>
      <c r="G1404" s="7" t="s">
        <v>12</v>
      </c>
      <c r="H1404" s="7"/>
    </row>
    <row r="1405" s="3" customFormat="1" ht="14.25" customHeight="1" spans="1:8">
      <c r="A1405" s="7">
        <v>1402</v>
      </c>
      <c r="B1405" s="7" t="str">
        <f>"114020200328114715157511"</f>
        <v>114020200328114715157511</v>
      </c>
      <c r="C1405" s="7" t="s">
        <v>1417</v>
      </c>
      <c r="D1405" s="7" t="str">
        <f>"羊英荣"</f>
        <v>羊英荣</v>
      </c>
      <c r="E1405" s="7" t="str">
        <f t="shared" si="148"/>
        <v>女</v>
      </c>
      <c r="F1405" s="7" t="s">
        <v>1420</v>
      </c>
      <c r="G1405" s="7" t="s">
        <v>12</v>
      </c>
      <c r="H1405" s="7"/>
    </row>
    <row r="1406" s="3" customFormat="1" ht="14.25" customHeight="1" spans="1:8">
      <c r="A1406" s="7">
        <v>1403</v>
      </c>
      <c r="B1406" s="7" t="str">
        <f>"114020200328131251157655"</f>
        <v>114020200328131251157655</v>
      </c>
      <c r="C1406" s="7" t="s">
        <v>1417</v>
      </c>
      <c r="D1406" s="7" t="str">
        <f>"李俊杰"</f>
        <v>李俊杰</v>
      </c>
      <c r="E1406" s="7" t="str">
        <f t="shared" si="147"/>
        <v>男</v>
      </c>
      <c r="F1406" s="7" t="s">
        <v>1421</v>
      </c>
      <c r="G1406" s="7" t="s">
        <v>12</v>
      </c>
      <c r="H1406" s="7"/>
    </row>
    <row r="1407" s="3" customFormat="1" ht="14.25" customHeight="1" spans="1:8">
      <c r="A1407" s="7">
        <v>1404</v>
      </c>
      <c r="B1407" s="7" t="str">
        <f>"114020200328163547157869"</f>
        <v>114020200328163547157869</v>
      </c>
      <c r="C1407" s="7" t="s">
        <v>1417</v>
      </c>
      <c r="D1407" s="7" t="str">
        <f>"黎瑞婵"</f>
        <v>黎瑞婵</v>
      </c>
      <c r="E1407" s="7" t="str">
        <f t="shared" ref="E1407:E1417" si="149">"女"</f>
        <v>女</v>
      </c>
      <c r="F1407" s="7" t="s">
        <v>1422</v>
      </c>
      <c r="G1407" s="7" t="s">
        <v>12</v>
      </c>
      <c r="H1407" s="7"/>
    </row>
    <row r="1408" s="3" customFormat="1" ht="14.25" customHeight="1" spans="1:8">
      <c r="A1408" s="7">
        <v>1405</v>
      </c>
      <c r="B1408" s="7" t="str">
        <f>"114020200328171018157901"</f>
        <v>114020200328171018157901</v>
      </c>
      <c r="C1408" s="7" t="s">
        <v>1417</v>
      </c>
      <c r="D1408" s="7" t="str">
        <f>"吕晓珊"</f>
        <v>吕晓珊</v>
      </c>
      <c r="E1408" s="7" t="str">
        <f t="shared" si="149"/>
        <v>女</v>
      </c>
      <c r="F1408" s="7" t="s">
        <v>1423</v>
      </c>
      <c r="G1408" s="7" t="s">
        <v>12</v>
      </c>
      <c r="H1408" s="7"/>
    </row>
    <row r="1409" s="3" customFormat="1" ht="14.25" customHeight="1" spans="1:8">
      <c r="A1409" s="7">
        <v>1406</v>
      </c>
      <c r="B1409" s="7" t="str">
        <f>"114020200328214508158107"</f>
        <v>114020200328214508158107</v>
      </c>
      <c r="C1409" s="7" t="s">
        <v>1417</v>
      </c>
      <c r="D1409" s="7" t="str">
        <f>"王裕銮"</f>
        <v>王裕銮</v>
      </c>
      <c r="E1409" s="7" t="str">
        <f t="shared" si="149"/>
        <v>女</v>
      </c>
      <c r="F1409" s="7" t="s">
        <v>1424</v>
      </c>
      <c r="G1409" s="7" t="s">
        <v>12</v>
      </c>
      <c r="H1409" s="7"/>
    </row>
    <row r="1410" s="3" customFormat="1" ht="14.25" customHeight="1" spans="1:8">
      <c r="A1410" s="7">
        <v>1407</v>
      </c>
      <c r="B1410" s="7" t="str">
        <f>"114020200329083813158201"</f>
        <v>114020200329083813158201</v>
      </c>
      <c r="C1410" s="7" t="s">
        <v>1417</v>
      </c>
      <c r="D1410" s="7" t="str">
        <f>"陈宁芳"</f>
        <v>陈宁芳</v>
      </c>
      <c r="E1410" s="7" t="str">
        <f t="shared" si="149"/>
        <v>女</v>
      </c>
      <c r="F1410" s="7" t="s">
        <v>1425</v>
      </c>
      <c r="G1410" s="7" t="s">
        <v>12</v>
      </c>
      <c r="H1410" s="7"/>
    </row>
    <row r="1411" s="3" customFormat="1" ht="14.25" customHeight="1" spans="1:8">
      <c r="A1411" s="7">
        <v>1408</v>
      </c>
      <c r="B1411" s="7" t="str">
        <f>"114020200329145339158450"</f>
        <v>114020200329145339158450</v>
      </c>
      <c r="C1411" s="7" t="s">
        <v>1417</v>
      </c>
      <c r="D1411" s="7" t="str">
        <f>"李瑶"</f>
        <v>李瑶</v>
      </c>
      <c r="E1411" s="7" t="str">
        <f t="shared" si="149"/>
        <v>女</v>
      </c>
      <c r="F1411" s="7" t="s">
        <v>1426</v>
      </c>
      <c r="G1411" s="7" t="s">
        <v>12</v>
      </c>
      <c r="H1411" s="7"/>
    </row>
    <row r="1412" s="3" customFormat="1" ht="14.25" customHeight="1" spans="1:8">
      <c r="A1412" s="7">
        <v>1409</v>
      </c>
      <c r="B1412" s="7" t="str">
        <f>"114020200329153331158462"</f>
        <v>114020200329153331158462</v>
      </c>
      <c r="C1412" s="7" t="s">
        <v>1417</v>
      </c>
      <c r="D1412" s="7" t="str">
        <f>"林于淑"</f>
        <v>林于淑</v>
      </c>
      <c r="E1412" s="7" t="str">
        <f t="shared" si="149"/>
        <v>女</v>
      </c>
      <c r="F1412" s="7" t="s">
        <v>1427</v>
      </c>
      <c r="G1412" s="7" t="s">
        <v>12</v>
      </c>
      <c r="H1412" s="7"/>
    </row>
    <row r="1413" s="3" customFormat="1" ht="14.25" customHeight="1" spans="1:8">
      <c r="A1413" s="7">
        <v>1410</v>
      </c>
      <c r="B1413" s="7" t="str">
        <f>"114020200329181058158546"</f>
        <v>114020200329181058158546</v>
      </c>
      <c r="C1413" s="7" t="s">
        <v>1417</v>
      </c>
      <c r="D1413" s="7" t="str">
        <f>"吉才静"</f>
        <v>吉才静</v>
      </c>
      <c r="E1413" s="7" t="str">
        <f t="shared" si="149"/>
        <v>女</v>
      </c>
      <c r="F1413" s="7" t="s">
        <v>1428</v>
      </c>
      <c r="G1413" s="7" t="s">
        <v>12</v>
      </c>
      <c r="H1413" s="7"/>
    </row>
    <row r="1414" s="3" customFormat="1" ht="14.25" customHeight="1" spans="1:8">
      <c r="A1414" s="7">
        <v>1411</v>
      </c>
      <c r="B1414" s="7" t="str">
        <f>"114020200329190657158575"</f>
        <v>114020200329190657158575</v>
      </c>
      <c r="C1414" s="7" t="s">
        <v>1417</v>
      </c>
      <c r="D1414" s="7" t="str">
        <f>"谢小芸"</f>
        <v>谢小芸</v>
      </c>
      <c r="E1414" s="7" t="str">
        <f t="shared" si="149"/>
        <v>女</v>
      </c>
      <c r="F1414" s="7" t="s">
        <v>1429</v>
      </c>
      <c r="G1414" s="7" t="s">
        <v>12</v>
      </c>
      <c r="H1414" s="7"/>
    </row>
    <row r="1415" s="3" customFormat="1" ht="14.25" customHeight="1" spans="1:8">
      <c r="A1415" s="7">
        <v>1412</v>
      </c>
      <c r="B1415" s="7" t="str">
        <f>"114020200329194633158596"</f>
        <v>114020200329194633158596</v>
      </c>
      <c r="C1415" s="7" t="s">
        <v>1417</v>
      </c>
      <c r="D1415" s="7" t="str">
        <f>"吴慧"</f>
        <v>吴慧</v>
      </c>
      <c r="E1415" s="7" t="str">
        <f t="shared" si="149"/>
        <v>女</v>
      </c>
      <c r="F1415" s="7" t="s">
        <v>1430</v>
      </c>
      <c r="G1415" s="7" t="s">
        <v>12</v>
      </c>
      <c r="H1415" s="7"/>
    </row>
    <row r="1416" s="3" customFormat="1" ht="14.25" customHeight="1" spans="1:8">
      <c r="A1416" s="7">
        <v>1413</v>
      </c>
      <c r="B1416" s="7" t="str">
        <f>"114020200329220018158689"</f>
        <v>114020200329220018158689</v>
      </c>
      <c r="C1416" s="7" t="s">
        <v>1417</v>
      </c>
      <c r="D1416" s="7" t="str">
        <f>"莫启燕"</f>
        <v>莫启燕</v>
      </c>
      <c r="E1416" s="7" t="str">
        <f t="shared" si="149"/>
        <v>女</v>
      </c>
      <c r="F1416" s="7" t="s">
        <v>1431</v>
      </c>
      <c r="G1416" s="7" t="s">
        <v>12</v>
      </c>
      <c r="H1416" s="7"/>
    </row>
    <row r="1417" s="3" customFormat="1" ht="14.25" customHeight="1" spans="1:8">
      <c r="A1417" s="7">
        <v>1414</v>
      </c>
      <c r="B1417" s="7" t="str">
        <f>"114020200330092454158807"</f>
        <v>114020200330092454158807</v>
      </c>
      <c r="C1417" s="7" t="s">
        <v>1417</v>
      </c>
      <c r="D1417" s="7" t="str">
        <f>"郭丽娜"</f>
        <v>郭丽娜</v>
      </c>
      <c r="E1417" s="7" t="str">
        <f t="shared" si="149"/>
        <v>女</v>
      </c>
      <c r="F1417" s="7" t="s">
        <v>1432</v>
      </c>
      <c r="G1417" s="7" t="s">
        <v>12</v>
      </c>
      <c r="H1417" s="7"/>
    </row>
    <row r="1418" s="3" customFormat="1" ht="14.25" customHeight="1" spans="1:8">
      <c r="A1418" s="7">
        <v>1415</v>
      </c>
      <c r="B1418" s="7" t="str">
        <f>"114020200330100034158849"</f>
        <v>114020200330100034158849</v>
      </c>
      <c r="C1418" s="7" t="s">
        <v>1417</v>
      </c>
      <c r="D1418" s="7" t="str">
        <f>"吉超"</f>
        <v>吉超</v>
      </c>
      <c r="E1418" s="7" t="str">
        <f t="shared" ref="E1418:E1421" si="150">"男"</f>
        <v>男</v>
      </c>
      <c r="F1418" s="7" t="s">
        <v>1433</v>
      </c>
      <c r="G1418" s="7" t="s">
        <v>12</v>
      </c>
      <c r="H1418" s="7"/>
    </row>
    <row r="1419" s="3" customFormat="1" ht="14.25" customHeight="1" spans="1:8">
      <c r="A1419" s="7">
        <v>1416</v>
      </c>
      <c r="B1419" s="7" t="str">
        <f>"114020200330120622158967"</f>
        <v>114020200330120622158967</v>
      </c>
      <c r="C1419" s="7" t="s">
        <v>1417</v>
      </c>
      <c r="D1419" s="7" t="str">
        <f>"游媚"</f>
        <v>游媚</v>
      </c>
      <c r="E1419" s="7" t="str">
        <f t="shared" ref="E1419:E1439" si="151">"女"</f>
        <v>女</v>
      </c>
      <c r="F1419" s="7" t="s">
        <v>1434</v>
      </c>
      <c r="G1419" s="7" t="s">
        <v>12</v>
      </c>
      <c r="H1419" s="7"/>
    </row>
    <row r="1420" s="3" customFormat="1" ht="14.25" customHeight="1" spans="1:8">
      <c r="A1420" s="7">
        <v>1417</v>
      </c>
      <c r="B1420" s="7" t="str">
        <f>"114020200330124730158986"</f>
        <v>114020200330124730158986</v>
      </c>
      <c r="C1420" s="7" t="s">
        <v>1417</v>
      </c>
      <c r="D1420" s="7" t="str">
        <f>"曾麟"</f>
        <v>曾麟</v>
      </c>
      <c r="E1420" s="7" t="str">
        <f t="shared" si="150"/>
        <v>男</v>
      </c>
      <c r="F1420" s="7" t="s">
        <v>1435</v>
      </c>
      <c r="G1420" s="7" t="s">
        <v>12</v>
      </c>
      <c r="H1420" s="7"/>
    </row>
    <row r="1421" s="3" customFormat="1" ht="14.25" customHeight="1" spans="1:8">
      <c r="A1421" s="7">
        <v>1418</v>
      </c>
      <c r="B1421" s="7" t="str">
        <f>"114020200330170130159159"</f>
        <v>114020200330170130159159</v>
      </c>
      <c r="C1421" s="7" t="s">
        <v>1417</v>
      </c>
      <c r="D1421" s="7" t="str">
        <f>"张钰泽"</f>
        <v>张钰泽</v>
      </c>
      <c r="E1421" s="7" t="str">
        <f t="shared" si="150"/>
        <v>男</v>
      </c>
      <c r="F1421" s="7" t="s">
        <v>1436</v>
      </c>
      <c r="G1421" s="7" t="s">
        <v>12</v>
      </c>
      <c r="H1421" s="7"/>
    </row>
    <row r="1422" s="3" customFormat="1" ht="14.25" customHeight="1" spans="1:8">
      <c r="A1422" s="7">
        <v>1419</v>
      </c>
      <c r="B1422" s="7" t="str">
        <f>"114020200330191650159218"</f>
        <v>114020200330191650159218</v>
      </c>
      <c r="C1422" s="7" t="s">
        <v>1417</v>
      </c>
      <c r="D1422" s="7" t="str">
        <f>"罗全迷"</f>
        <v>罗全迷</v>
      </c>
      <c r="E1422" s="7" t="str">
        <f t="shared" si="151"/>
        <v>女</v>
      </c>
      <c r="F1422" s="7" t="s">
        <v>1437</v>
      </c>
      <c r="G1422" s="7" t="s">
        <v>12</v>
      </c>
      <c r="H1422" s="7"/>
    </row>
    <row r="1423" s="3" customFormat="1" ht="14.25" customHeight="1" spans="1:8">
      <c r="A1423" s="7">
        <v>1420</v>
      </c>
      <c r="B1423" s="7" t="str">
        <f>"114020200331195712159659"</f>
        <v>114020200331195712159659</v>
      </c>
      <c r="C1423" s="7" t="s">
        <v>1417</v>
      </c>
      <c r="D1423" s="7" t="str">
        <f>"林巧"</f>
        <v>林巧</v>
      </c>
      <c r="E1423" s="7" t="str">
        <f t="shared" si="151"/>
        <v>女</v>
      </c>
      <c r="F1423" s="7" t="s">
        <v>1438</v>
      </c>
      <c r="G1423" s="7" t="s">
        <v>12</v>
      </c>
      <c r="H1423" s="7"/>
    </row>
    <row r="1424" s="3" customFormat="1" ht="14.25" customHeight="1" spans="1:8">
      <c r="A1424" s="7">
        <v>1421</v>
      </c>
      <c r="B1424" s="7" t="str">
        <f>"114020200401140409159863"</f>
        <v>114020200401140409159863</v>
      </c>
      <c r="C1424" s="7" t="s">
        <v>1417</v>
      </c>
      <c r="D1424" s="7" t="str">
        <f>"陈健圆"</f>
        <v>陈健圆</v>
      </c>
      <c r="E1424" s="7" t="str">
        <f t="shared" si="151"/>
        <v>女</v>
      </c>
      <c r="F1424" s="7" t="s">
        <v>1439</v>
      </c>
      <c r="G1424" s="7" t="s">
        <v>12</v>
      </c>
      <c r="H1424" s="7"/>
    </row>
    <row r="1425" s="3" customFormat="1" ht="14.25" customHeight="1" spans="1:8">
      <c r="A1425" s="7">
        <v>1422</v>
      </c>
      <c r="B1425" s="7" t="str">
        <f>"114020200401212232160042"</f>
        <v>114020200401212232160042</v>
      </c>
      <c r="C1425" s="7" t="s">
        <v>1417</v>
      </c>
      <c r="D1425" s="7" t="str">
        <f>"李平丹"</f>
        <v>李平丹</v>
      </c>
      <c r="E1425" s="7" t="str">
        <f t="shared" si="151"/>
        <v>女</v>
      </c>
      <c r="F1425" s="7" t="s">
        <v>1440</v>
      </c>
      <c r="G1425" s="7" t="s">
        <v>12</v>
      </c>
      <c r="H1425" s="7"/>
    </row>
    <row r="1426" s="3" customFormat="1" ht="14.25" customHeight="1" spans="1:8">
      <c r="A1426" s="7">
        <v>1423</v>
      </c>
      <c r="B1426" s="7" t="str">
        <f>"114020200403222118160561"</f>
        <v>114020200403222118160561</v>
      </c>
      <c r="C1426" s="7" t="s">
        <v>1417</v>
      </c>
      <c r="D1426" s="7" t="str">
        <f>"倪娇娇"</f>
        <v>倪娇娇</v>
      </c>
      <c r="E1426" s="7" t="str">
        <f t="shared" si="151"/>
        <v>女</v>
      </c>
      <c r="F1426" s="7" t="s">
        <v>1441</v>
      </c>
      <c r="G1426" s="7" t="s">
        <v>12</v>
      </c>
      <c r="H1426" s="7"/>
    </row>
    <row r="1427" s="3" customFormat="1" ht="14.25" customHeight="1" spans="1:8">
      <c r="A1427" s="7">
        <v>1424</v>
      </c>
      <c r="B1427" s="7" t="str">
        <f>"114020200405202552160959"</f>
        <v>114020200405202552160959</v>
      </c>
      <c r="C1427" s="7" t="s">
        <v>1417</v>
      </c>
      <c r="D1427" s="7" t="str">
        <f>"刘乐乐"</f>
        <v>刘乐乐</v>
      </c>
      <c r="E1427" s="7" t="str">
        <f t="shared" si="151"/>
        <v>女</v>
      </c>
      <c r="F1427" s="7" t="s">
        <v>1442</v>
      </c>
      <c r="G1427" s="7" t="s">
        <v>12</v>
      </c>
      <c r="H1427" s="7"/>
    </row>
    <row r="1428" s="3" customFormat="1" ht="14.25" customHeight="1" spans="1:8">
      <c r="A1428" s="7">
        <v>1425</v>
      </c>
      <c r="B1428" s="7" t="str">
        <f>"114020200405211112160980"</f>
        <v>114020200405211112160980</v>
      </c>
      <c r="C1428" s="7" t="s">
        <v>1417</v>
      </c>
      <c r="D1428" s="7" t="str">
        <f>"唐杨柳"</f>
        <v>唐杨柳</v>
      </c>
      <c r="E1428" s="7" t="str">
        <f t="shared" si="151"/>
        <v>女</v>
      </c>
      <c r="F1428" s="7" t="s">
        <v>1443</v>
      </c>
      <c r="G1428" s="7" t="s">
        <v>12</v>
      </c>
      <c r="H1428" s="7"/>
    </row>
    <row r="1429" s="3" customFormat="1" ht="14.25" customHeight="1" spans="1:8">
      <c r="A1429" s="7">
        <v>1426</v>
      </c>
      <c r="B1429" s="7" t="str">
        <f>"114020200405231909161031"</f>
        <v>114020200405231909161031</v>
      </c>
      <c r="C1429" s="7" t="s">
        <v>1417</v>
      </c>
      <c r="D1429" s="7" t="str">
        <f>"吉才娟"</f>
        <v>吉才娟</v>
      </c>
      <c r="E1429" s="7" t="str">
        <f t="shared" si="151"/>
        <v>女</v>
      </c>
      <c r="F1429" s="7" t="s">
        <v>1444</v>
      </c>
      <c r="G1429" s="7" t="s">
        <v>12</v>
      </c>
      <c r="H1429" s="7"/>
    </row>
    <row r="1430" s="3" customFormat="1" ht="14.25" customHeight="1" spans="1:8">
      <c r="A1430" s="7">
        <v>1427</v>
      </c>
      <c r="B1430" s="7" t="str">
        <f>"114020200406112005161152"</f>
        <v>114020200406112005161152</v>
      </c>
      <c r="C1430" s="7" t="s">
        <v>1417</v>
      </c>
      <c r="D1430" s="7" t="str">
        <f>"钟英"</f>
        <v>钟英</v>
      </c>
      <c r="E1430" s="7" t="str">
        <f t="shared" si="151"/>
        <v>女</v>
      </c>
      <c r="F1430" s="7" t="s">
        <v>1445</v>
      </c>
      <c r="G1430" s="7" t="s">
        <v>12</v>
      </c>
      <c r="H1430" s="7"/>
    </row>
    <row r="1431" s="3" customFormat="1" ht="14.25" customHeight="1" spans="1:8">
      <c r="A1431" s="7">
        <v>1428</v>
      </c>
      <c r="B1431" s="7" t="str">
        <f>"114020200406114323161168"</f>
        <v>114020200406114323161168</v>
      </c>
      <c r="C1431" s="7" t="s">
        <v>1417</v>
      </c>
      <c r="D1431" s="7" t="str">
        <f>"梁飞"</f>
        <v>梁飞</v>
      </c>
      <c r="E1431" s="7" t="str">
        <f t="shared" si="151"/>
        <v>女</v>
      </c>
      <c r="F1431" s="7" t="s">
        <v>1446</v>
      </c>
      <c r="G1431" s="7" t="s">
        <v>12</v>
      </c>
      <c r="H1431" s="7"/>
    </row>
    <row r="1432" s="3" customFormat="1" ht="14.25" customHeight="1" spans="1:8">
      <c r="A1432" s="7">
        <v>1429</v>
      </c>
      <c r="B1432" s="7" t="str">
        <f>"114020200328090247157137"</f>
        <v>114020200328090247157137</v>
      </c>
      <c r="C1432" s="7" t="s">
        <v>1447</v>
      </c>
      <c r="D1432" s="7" t="str">
        <f>"林艳"</f>
        <v>林艳</v>
      </c>
      <c r="E1432" s="7" t="str">
        <f t="shared" si="151"/>
        <v>女</v>
      </c>
      <c r="F1432" s="7" t="s">
        <v>1448</v>
      </c>
      <c r="G1432" s="7" t="s">
        <v>12</v>
      </c>
      <c r="H1432" s="7"/>
    </row>
    <row r="1433" s="3" customFormat="1" ht="14.25" customHeight="1" spans="1:8">
      <c r="A1433" s="7">
        <v>1430</v>
      </c>
      <c r="B1433" s="7" t="str">
        <f>"114020200328102747157352"</f>
        <v>114020200328102747157352</v>
      </c>
      <c r="C1433" s="7" t="s">
        <v>1447</v>
      </c>
      <c r="D1433" s="7" t="str">
        <f>"吴晓婷"</f>
        <v>吴晓婷</v>
      </c>
      <c r="E1433" s="7" t="str">
        <f t="shared" si="151"/>
        <v>女</v>
      </c>
      <c r="F1433" s="7" t="s">
        <v>1449</v>
      </c>
      <c r="G1433" s="7" t="s">
        <v>12</v>
      </c>
      <c r="H1433" s="7"/>
    </row>
    <row r="1434" s="3" customFormat="1" ht="14.25" customHeight="1" spans="1:8">
      <c r="A1434" s="7">
        <v>1431</v>
      </c>
      <c r="B1434" s="7" t="str">
        <f>"114020200328112423157474"</f>
        <v>114020200328112423157474</v>
      </c>
      <c r="C1434" s="7" t="s">
        <v>1447</v>
      </c>
      <c r="D1434" s="7" t="str">
        <f>"林真丹"</f>
        <v>林真丹</v>
      </c>
      <c r="E1434" s="7" t="str">
        <f t="shared" si="151"/>
        <v>女</v>
      </c>
      <c r="F1434" s="7" t="s">
        <v>1450</v>
      </c>
      <c r="G1434" s="7" t="s">
        <v>12</v>
      </c>
      <c r="H1434" s="7"/>
    </row>
    <row r="1435" s="3" customFormat="1" ht="14.25" customHeight="1" spans="1:8">
      <c r="A1435" s="7">
        <v>1432</v>
      </c>
      <c r="B1435" s="7" t="str">
        <f>"114020200328131918157669"</f>
        <v>114020200328131918157669</v>
      </c>
      <c r="C1435" s="7" t="s">
        <v>1447</v>
      </c>
      <c r="D1435" s="7" t="str">
        <f>"陈惠妹"</f>
        <v>陈惠妹</v>
      </c>
      <c r="E1435" s="7" t="str">
        <f t="shared" si="151"/>
        <v>女</v>
      </c>
      <c r="F1435" s="7" t="s">
        <v>1451</v>
      </c>
      <c r="G1435" s="7" t="s">
        <v>12</v>
      </c>
      <c r="H1435" s="7"/>
    </row>
    <row r="1436" s="3" customFormat="1" ht="14.25" customHeight="1" spans="1:8">
      <c r="A1436" s="7">
        <v>1433</v>
      </c>
      <c r="B1436" s="7" t="str">
        <f>"114020200328134544157706"</f>
        <v>114020200328134544157706</v>
      </c>
      <c r="C1436" s="7" t="s">
        <v>1447</v>
      </c>
      <c r="D1436" s="7" t="str">
        <f>"林乐"</f>
        <v>林乐</v>
      </c>
      <c r="E1436" s="7" t="str">
        <f t="shared" si="151"/>
        <v>女</v>
      </c>
      <c r="F1436" s="7" t="s">
        <v>1452</v>
      </c>
      <c r="G1436" s="7" t="s">
        <v>12</v>
      </c>
      <c r="H1436" s="7"/>
    </row>
    <row r="1437" s="3" customFormat="1" ht="14.25" customHeight="1" spans="1:8">
      <c r="A1437" s="7">
        <v>1434</v>
      </c>
      <c r="B1437" s="7" t="str">
        <f>"114020200328200017158022"</f>
        <v>114020200328200017158022</v>
      </c>
      <c r="C1437" s="7" t="s">
        <v>1447</v>
      </c>
      <c r="D1437" s="7" t="str">
        <f>"陈真霞"</f>
        <v>陈真霞</v>
      </c>
      <c r="E1437" s="7" t="str">
        <f t="shared" si="151"/>
        <v>女</v>
      </c>
      <c r="F1437" s="7" t="s">
        <v>1453</v>
      </c>
      <c r="G1437" s="7" t="s">
        <v>12</v>
      </c>
      <c r="H1437" s="7"/>
    </row>
    <row r="1438" s="3" customFormat="1" ht="14.25" customHeight="1" spans="1:8">
      <c r="A1438" s="7">
        <v>1435</v>
      </c>
      <c r="B1438" s="7" t="str">
        <f>"114020200328214924158109"</f>
        <v>114020200328214924158109</v>
      </c>
      <c r="C1438" s="7" t="s">
        <v>1447</v>
      </c>
      <c r="D1438" s="7" t="str">
        <f>"杜丹丹"</f>
        <v>杜丹丹</v>
      </c>
      <c r="E1438" s="7" t="str">
        <f t="shared" si="151"/>
        <v>女</v>
      </c>
      <c r="F1438" s="7" t="s">
        <v>1454</v>
      </c>
      <c r="G1438" s="7" t="s">
        <v>12</v>
      </c>
      <c r="H1438" s="7"/>
    </row>
    <row r="1439" s="3" customFormat="1" ht="14.25" customHeight="1" spans="1:8">
      <c r="A1439" s="7">
        <v>1436</v>
      </c>
      <c r="B1439" s="7" t="str">
        <f>"114020200330091249158795"</f>
        <v>114020200330091249158795</v>
      </c>
      <c r="C1439" s="7" t="s">
        <v>1447</v>
      </c>
      <c r="D1439" s="7" t="str">
        <f>"文四妹"</f>
        <v>文四妹</v>
      </c>
      <c r="E1439" s="7" t="str">
        <f t="shared" si="151"/>
        <v>女</v>
      </c>
      <c r="F1439" s="7" t="s">
        <v>1455</v>
      </c>
      <c r="G1439" s="7" t="s">
        <v>12</v>
      </c>
      <c r="H1439" s="7"/>
    </row>
    <row r="1440" s="3" customFormat="1" ht="14.25" customHeight="1" spans="1:8">
      <c r="A1440" s="7">
        <v>1437</v>
      </c>
      <c r="B1440" s="7" t="str">
        <f>"114020200330091357158798"</f>
        <v>114020200330091357158798</v>
      </c>
      <c r="C1440" s="7" t="s">
        <v>1447</v>
      </c>
      <c r="D1440" s="7" t="str">
        <f>"赵日拓"</f>
        <v>赵日拓</v>
      </c>
      <c r="E1440" s="7" t="str">
        <f t="shared" ref="E1440:E1443" si="152">"男"</f>
        <v>男</v>
      </c>
      <c r="F1440" s="7" t="s">
        <v>1456</v>
      </c>
      <c r="G1440" s="7" t="s">
        <v>12</v>
      </c>
      <c r="H1440" s="7"/>
    </row>
    <row r="1441" s="3" customFormat="1" ht="14.25" customHeight="1" spans="1:8">
      <c r="A1441" s="7">
        <v>1438</v>
      </c>
      <c r="B1441" s="7" t="str">
        <f>"114020200330102957158874"</f>
        <v>114020200330102957158874</v>
      </c>
      <c r="C1441" s="7" t="s">
        <v>1447</v>
      </c>
      <c r="D1441" s="7" t="str">
        <f>"吉训拓"</f>
        <v>吉训拓</v>
      </c>
      <c r="E1441" s="7" t="str">
        <f t="shared" si="152"/>
        <v>男</v>
      </c>
      <c r="F1441" s="7" t="s">
        <v>1457</v>
      </c>
      <c r="G1441" s="7" t="s">
        <v>12</v>
      </c>
      <c r="H1441" s="7"/>
    </row>
    <row r="1442" s="3" customFormat="1" ht="14.25" customHeight="1" spans="1:8">
      <c r="A1442" s="7">
        <v>1439</v>
      </c>
      <c r="B1442" s="7" t="str">
        <f>"114020200330104220158883"</f>
        <v>114020200330104220158883</v>
      </c>
      <c r="C1442" s="7" t="s">
        <v>1447</v>
      </c>
      <c r="D1442" s="7" t="str">
        <f>"陈姣翡"</f>
        <v>陈姣翡</v>
      </c>
      <c r="E1442" s="7" t="str">
        <f t="shared" ref="E1442:E1446" si="153">"女"</f>
        <v>女</v>
      </c>
      <c r="F1442" s="7" t="s">
        <v>1458</v>
      </c>
      <c r="G1442" s="7" t="s">
        <v>12</v>
      </c>
      <c r="H1442" s="7"/>
    </row>
    <row r="1443" s="3" customFormat="1" ht="14.25" customHeight="1" spans="1:8">
      <c r="A1443" s="7">
        <v>1440</v>
      </c>
      <c r="B1443" s="7" t="str">
        <f>"114020200330104610158886"</f>
        <v>114020200330104610158886</v>
      </c>
      <c r="C1443" s="7" t="s">
        <v>1447</v>
      </c>
      <c r="D1443" s="7" t="str">
        <f>"王祈伟"</f>
        <v>王祈伟</v>
      </c>
      <c r="E1443" s="7" t="str">
        <f t="shared" si="152"/>
        <v>男</v>
      </c>
      <c r="F1443" s="7" t="s">
        <v>1459</v>
      </c>
      <c r="G1443" s="7" t="s">
        <v>12</v>
      </c>
      <c r="H1443" s="7"/>
    </row>
    <row r="1444" s="3" customFormat="1" ht="14.25" customHeight="1" spans="1:8">
      <c r="A1444" s="7">
        <v>1441</v>
      </c>
      <c r="B1444" s="7" t="str">
        <f>"114020200330114715158949"</f>
        <v>114020200330114715158949</v>
      </c>
      <c r="C1444" s="7" t="s">
        <v>1447</v>
      </c>
      <c r="D1444" s="7" t="str">
        <f>"邢孔芸"</f>
        <v>邢孔芸</v>
      </c>
      <c r="E1444" s="7" t="str">
        <f t="shared" si="153"/>
        <v>女</v>
      </c>
      <c r="F1444" s="7" t="s">
        <v>1460</v>
      </c>
      <c r="G1444" s="7" t="s">
        <v>12</v>
      </c>
      <c r="H1444" s="7"/>
    </row>
    <row r="1445" s="3" customFormat="1" ht="14.25" customHeight="1" spans="1:8">
      <c r="A1445" s="7">
        <v>1442</v>
      </c>
      <c r="B1445" s="7" t="str">
        <f>"114020200330123223158981"</f>
        <v>114020200330123223158981</v>
      </c>
      <c r="C1445" s="7" t="s">
        <v>1447</v>
      </c>
      <c r="D1445" s="7" t="str">
        <f>"余月香"</f>
        <v>余月香</v>
      </c>
      <c r="E1445" s="7" t="str">
        <f t="shared" si="153"/>
        <v>女</v>
      </c>
      <c r="F1445" s="7" t="s">
        <v>1461</v>
      </c>
      <c r="G1445" s="7" t="s">
        <v>12</v>
      </c>
      <c r="H1445" s="7"/>
    </row>
    <row r="1446" s="3" customFormat="1" ht="14.25" customHeight="1" spans="1:8">
      <c r="A1446" s="7">
        <v>1443</v>
      </c>
      <c r="B1446" s="7" t="str">
        <f>"114020200330155735159107"</f>
        <v>114020200330155735159107</v>
      </c>
      <c r="C1446" s="7" t="s">
        <v>1447</v>
      </c>
      <c r="D1446" s="7" t="str">
        <f>"李静"</f>
        <v>李静</v>
      </c>
      <c r="E1446" s="7" t="str">
        <f t="shared" si="153"/>
        <v>女</v>
      </c>
      <c r="F1446" s="7" t="s">
        <v>1462</v>
      </c>
      <c r="G1446" s="7" t="s">
        <v>12</v>
      </c>
      <c r="H1446" s="7"/>
    </row>
    <row r="1447" s="3" customFormat="1" ht="14.25" customHeight="1" spans="1:8">
      <c r="A1447" s="7">
        <v>1444</v>
      </c>
      <c r="B1447" s="7" t="str">
        <f>"114020200330164219159144"</f>
        <v>114020200330164219159144</v>
      </c>
      <c r="C1447" s="7" t="s">
        <v>1447</v>
      </c>
      <c r="D1447" s="7" t="str">
        <f>"王锡坚"</f>
        <v>王锡坚</v>
      </c>
      <c r="E1447" s="7" t="str">
        <f>"男"</f>
        <v>男</v>
      </c>
      <c r="F1447" s="7" t="s">
        <v>1463</v>
      </c>
      <c r="G1447" s="7" t="s">
        <v>12</v>
      </c>
      <c r="H1447" s="7"/>
    </row>
    <row r="1448" s="3" customFormat="1" ht="14.25" customHeight="1" spans="1:8">
      <c r="A1448" s="7">
        <v>1445</v>
      </c>
      <c r="B1448" s="7" t="str">
        <f>"114020200330170656159164"</f>
        <v>114020200330170656159164</v>
      </c>
      <c r="C1448" s="7" t="s">
        <v>1447</v>
      </c>
      <c r="D1448" s="7" t="str">
        <f>"谢丽许"</f>
        <v>谢丽许</v>
      </c>
      <c r="E1448" s="7" t="str">
        <f t="shared" ref="E1448:E1451" si="154">"女"</f>
        <v>女</v>
      </c>
      <c r="F1448" s="7" t="s">
        <v>1464</v>
      </c>
      <c r="G1448" s="7" t="s">
        <v>12</v>
      </c>
      <c r="H1448" s="7"/>
    </row>
    <row r="1449" s="3" customFormat="1" ht="14.25" customHeight="1" spans="1:8">
      <c r="A1449" s="7">
        <v>1446</v>
      </c>
      <c r="B1449" s="7" t="str">
        <f>"114020200331194455159651"</f>
        <v>114020200331194455159651</v>
      </c>
      <c r="C1449" s="7" t="s">
        <v>1447</v>
      </c>
      <c r="D1449" s="7" t="str">
        <f>"黄婷婷"</f>
        <v>黄婷婷</v>
      </c>
      <c r="E1449" s="7" t="str">
        <f t="shared" si="154"/>
        <v>女</v>
      </c>
      <c r="F1449" s="7" t="s">
        <v>1465</v>
      </c>
      <c r="G1449" s="7" t="s">
        <v>12</v>
      </c>
      <c r="H1449" s="7"/>
    </row>
    <row r="1450" s="3" customFormat="1" ht="14.25" customHeight="1" spans="1:8">
      <c r="A1450" s="7">
        <v>1447</v>
      </c>
      <c r="B1450" s="7" t="str">
        <f>"114020200331213834159694"</f>
        <v>114020200331213834159694</v>
      </c>
      <c r="C1450" s="7" t="s">
        <v>1447</v>
      </c>
      <c r="D1450" s="7" t="str">
        <f>"符其农"</f>
        <v>符其农</v>
      </c>
      <c r="E1450" s="7" t="str">
        <f t="shared" si="154"/>
        <v>女</v>
      </c>
      <c r="F1450" s="7" t="s">
        <v>1466</v>
      </c>
      <c r="G1450" s="7" t="s">
        <v>12</v>
      </c>
      <c r="H1450" s="7"/>
    </row>
    <row r="1451" s="3" customFormat="1" ht="14.25" customHeight="1" spans="1:8">
      <c r="A1451" s="7">
        <v>1448</v>
      </c>
      <c r="B1451" s="7" t="str">
        <f>"114020200401144303159873"</f>
        <v>114020200401144303159873</v>
      </c>
      <c r="C1451" s="7" t="s">
        <v>1447</v>
      </c>
      <c r="D1451" s="7" t="str">
        <f>"赵春萃"</f>
        <v>赵春萃</v>
      </c>
      <c r="E1451" s="7" t="str">
        <f t="shared" si="154"/>
        <v>女</v>
      </c>
      <c r="F1451" s="7" t="s">
        <v>1467</v>
      </c>
      <c r="G1451" s="7" t="s">
        <v>12</v>
      </c>
      <c r="H1451" s="7"/>
    </row>
    <row r="1452" s="3" customFormat="1" ht="14.25" customHeight="1" spans="1:8">
      <c r="A1452" s="7">
        <v>1449</v>
      </c>
      <c r="B1452" s="7" t="str">
        <f>"114020200401153750159899"</f>
        <v>114020200401153750159899</v>
      </c>
      <c r="C1452" s="7" t="s">
        <v>1447</v>
      </c>
      <c r="D1452" s="7" t="str">
        <f>"覃逍志"</f>
        <v>覃逍志</v>
      </c>
      <c r="E1452" s="7" t="str">
        <f t="shared" ref="E1452:E1456" si="155">"男"</f>
        <v>男</v>
      </c>
      <c r="F1452" s="7" t="s">
        <v>1468</v>
      </c>
      <c r="G1452" s="7" t="s">
        <v>12</v>
      </c>
      <c r="H1452" s="7"/>
    </row>
    <row r="1453" s="3" customFormat="1" ht="14.25" customHeight="1" spans="1:8">
      <c r="A1453" s="7">
        <v>1450</v>
      </c>
      <c r="B1453" s="7" t="str">
        <f>"114020200402014508160095"</f>
        <v>114020200402014508160095</v>
      </c>
      <c r="C1453" s="7" t="s">
        <v>1447</v>
      </c>
      <c r="D1453" s="7" t="str">
        <f>"文俊波"</f>
        <v>文俊波</v>
      </c>
      <c r="E1453" s="7" t="str">
        <f t="shared" si="155"/>
        <v>男</v>
      </c>
      <c r="F1453" s="7" t="s">
        <v>1469</v>
      </c>
      <c r="G1453" s="7" t="s">
        <v>12</v>
      </c>
      <c r="H1453" s="7"/>
    </row>
    <row r="1454" s="3" customFormat="1" ht="14.25" customHeight="1" spans="1:8">
      <c r="A1454" s="7">
        <v>1451</v>
      </c>
      <c r="B1454" s="7" t="str">
        <f>"114020200402204532160297"</f>
        <v>114020200402204532160297</v>
      </c>
      <c r="C1454" s="7" t="s">
        <v>1447</v>
      </c>
      <c r="D1454" s="7" t="str">
        <f>"翁克玲"</f>
        <v>翁克玲</v>
      </c>
      <c r="E1454" s="7" t="str">
        <f t="shared" ref="E1454:E1479" si="156">"女"</f>
        <v>女</v>
      </c>
      <c r="F1454" s="7" t="s">
        <v>1470</v>
      </c>
      <c r="G1454" s="7" t="s">
        <v>12</v>
      </c>
      <c r="H1454" s="7"/>
    </row>
    <row r="1455" s="3" customFormat="1" ht="14.25" customHeight="1" spans="1:8">
      <c r="A1455" s="7">
        <v>1452</v>
      </c>
      <c r="B1455" s="7" t="str">
        <f>"114020200402234818160350"</f>
        <v>114020200402234818160350</v>
      </c>
      <c r="C1455" s="7" t="s">
        <v>1447</v>
      </c>
      <c r="D1455" s="7" t="str">
        <f>"符兴帅"</f>
        <v>符兴帅</v>
      </c>
      <c r="E1455" s="7" t="str">
        <f t="shared" si="155"/>
        <v>男</v>
      </c>
      <c r="F1455" s="7" t="s">
        <v>1471</v>
      </c>
      <c r="G1455" s="7" t="s">
        <v>12</v>
      </c>
      <c r="H1455" s="7"/>
    </row>
    <row r="1456" s="3" customFormat="1" ht="14.25" customHeight="1" spans="1:8">
      <c r="A1456" s="7">
        <v>1453</v>
      </c>
      <c r="B1456" s="7" t="str">
        <f>"114020200328090641157152"</f>
        <v>114020200328090641157152</v>
      </c>
      <c r="C1456" s="7" t="s">
        <v>1472</v>
      </c>
      <c r="D1456" s="7" t="str">
        <f>"陈益宁"</f>
        <v>陈益宁</v>
      </c>
      <c r="E1456" s="7" t="str">
        <f t="shared" si="155"/>
        <v>男</v>
      </c>
      <c r="F1456" s="7" t="s">
        <v>1473</v>
      </c>
      <c r="G1456" s="7" t="s">
        <v>12</v>
      </c>
      <c r="H1456" s="7"/>
    </row>
    <row r="1457" s="3" customFormat="1" ht="14.25" customHeight="1" spans="1:8">
      <c r="A1457" s="7">
        <v>1454</v>
      </c>
      <c r="B1457" s="7" t="str">
        <f>"114020200328122530157585"</f>
        <v>114020200328122530157585</v>
      </c>
      <c r="C1457" s="7" t="s">
        <v>1472</v>
      </c>
      <c r="D1457" s="7" t="str">
        <f>"吴健婵"</f>
        <v>吴健婵</v>
      </c>
      <c r="E1457" s="7" t="str">
        <f t="shared" si="156"/>
        <v>女</v>
      </c>
      <c r="F1457" s="7" t="s">
        <v>1474</v>
      </c>
      <c r="G1457" s="7" t="s">
        <v>12</v>
      </c>
      <c r="H1457" s="7"/>
    </row>
    <row r="1458" s="3" customFormat="1" ht="14.25" customHeight="1" spans="1:8">
      <c r="A1458" s="7">
        <v>1455</v>
      </c>
      <c r="B1458" s="7" t="str">
        <f>"114020200328171758157908"</f>
        <v>114020200328171758157908</v>
      </c>
      <c r="C1458" s="7" t="s">
        <v>1472</v>
      </c>
      <c r="D1458" s="7" t="str">
        <f>"杨宪婷"</f>
        <v>杨宪婷</v>
      </c>
      <c r="E1458" s="7" t="str">
        <f t="shared" si="156"/>
        <v>女</v>
      </c>
      <c r="F1458" s="7" t="s">
        <v>1475</v>
      </c>
      <c r="G1458" s="7" t="s">
        <v>12</v>
      </c>
      <c r="H1458" s="7"/>
    </row>
    <row r="1459" s="3" customFormat="1" ht="14.25" customHeight="1" spans="1:8">
      <c r="A1459" s="7">
        <v>1456</v>
      </c>
      <c r="B1459" s="7" t="str">
        <f>"114020200328222512158129"</f>
        <v>114020200328222512158129</v>
      </c>
      <c r="C1459" s="7" t="s">
        <v>1472</v>
      </c>
      <c r="D1459" s="7" t="str">
        <f>"陈映蓉"</f>
        <v>陈映蓉</v>
      </c>
      <c r="E1459" s="7" t="str">
        <f t="shared" si="156"/>
        <v>女</v>
      </c>
      <c r="F1459" s="7" t="s">
        <v>1476</v>
      </c>
      <c r="G1459" s="7" t="s">
        <v>12</v>
      </c>
      <c r="H1459" s="7"/>
    </row>
    <row r="1460" s="3" customFormat="1" ht="14.25" customHeight="1" spans="1:8">
      <c r="A1460" s="7">
        <v>1457</v>
      </c>
      <c r="B1460" s="7" t="str">
        <f>"114020200329091143158218"</f>
        <v>114020200329091143158218</v>
      </c>
      <c r="C1460" s="7" t="s">
        <v>1472</v>
      </c>
      <c r="D1460" s="7" t="str">
        <f>"唐金余"</f>
        <v>唐金余</v>
      </c>
      <c r="E1460" s="7" t="str">
        <f t="shared" si="156"/>
        <v>女</v>
      </c>
      <c r="F1460" s="7" t="s">
        <v>1477</v>
      </c>
      <c r="G1460" s="7" t="s">
        <v>12</v>
      </c>
      <c r="H1460" s="7"/>
    </row>
    <row r="1461" s="3" customFormat="1" ht="14.25" customHeight="1" spans="1:8">
      <c r="A1461" s="7">
        <v>1458</v>
      </c>
      <c r="B1461" s="7" t="str">
        <f>"114020200329104813158293"</f>
        <v>114020200329104813158293</v>
      </c>
      <c r="C1461" s="7" t="s">
        <v>1472</v>
      </c>
      <c r="D1461" s="7" t="str">
        <f>"莫常玉"</f>
        <v>莫常玉</v>
      </c>
      <c r="E1461" s="7" t="str">
        <f t="shared" si="156"/>
        <v>女</v>
      </c>
      <c r="F1461" s="7" t="s">
        <v>1478</v>
      </c>
      <c r="G1461" s="7" t="s">
        <v>12</v>
      </c>
      <c r="H1461" s="7"/>
    </row>
    <row r="1462" s="3" customFormat="1" ht="14.25" customHeight="1" spans="1:8">
      <c r="A1462" s="7">
        <v>1459</v>
      </c>
      <c r="B1462" s="7" t="str">
        <f>"114020200329123144158370"</f>
        <v>114020200329123144158370</v>
      </c>
      <c r="C1462" s="7" t="s">
        <v>1472</v>
      </c>
      <c r="D1462" s="7" t="str">
        <f>"王堂梅"</f>
        <v>王堂梅</v>
      </c>
      <c r="E1462" s="7" t="str">
        <f t="shared" si="156"/>
        <v>女</v>
      </c>
      <c r="F1462" s="7" t="s">
        <v>1479</v>
      </c>
      <c r="G1462" s="7" t="s">
        <v>12</v>
      </c>
      <c r="H1462" s="7"/>
    </row>
    <row r="1463" s="3" customFormat="1" ht="14.25" customHeight="1" spans="1:8">
      <c r="A1463" s="7">
        <v>1460</v>
      </c>
      <c r="B1463" s="7" t="str">
        <f>"114020200329184624158566"</f>
        <v>114020200329184624158566</v>
      </c>
      <c r="C1463" s="7" t="s">
        <v>1472</v>
      </c>
      <c r="D1463" s="7" t="str">
        <f>"吴舒雅"</f>
        <v>吴舒雅</v>
      </c>
      <c r="E1463" s="7" t="str">
        <f t="shared" si="156"/>
        <v>女</v>
      </c>
      <c r="F1463" s="7" t="s">
        <v>1480</v>
      </c>
      <c r="G1463" s="7" t="s">
        <v>12</v>
      </c>
      <c r="H1463" s="7"/>
    </row>
    <row r="1464" s="3" customFormat="1" ht="14.25" customHeight="1" spans="1:8">
      <c r="A1464" s="7">
        <v>1461</v>
      </c>
      <c r="B1464" s="7" t="str">
        <f>"114020200329222855158707"</f>
        <v>114020200329222855158707</v>
      </c>
      <c r="C1464" s="7" t="s">
        <v>1472</v>
      </c>
      <c r="D1464" s="7" t="str">
        <f>"陈玉晶"</f>
        <v>陈玉晶</v>
      </c>
      <c r="E1464" s="7" t="str">
        <f t="shared" si="156"/>
        <v>女</v>
      </c>
      <c r="F1464" s="7" t="s">
        <v>1481</v>
      </c>
      <c r="G1464" s="7" t="s">
        <v>12</v>
      </c>
      <c r="H1464" s="7"/>
    </row>
    <row r="1465" s="3" customFormat="1" ht="14.25" customHeight="1" spans="1:8">
      <c r="A1465" s="7">
        <v>1462</v>
      </c>
      <c r="B1465" s="7" t="str">
        <f>"114020200330083258158767"</f>
        <v>114020200330083258158767</v>
      </c>
      <c r="C1465" s="7" t="s">
        <v>1472</v>
      </c>
      <c r="D1465" s="7" t="str">
        <f>"王初鸾"</f>
        <v>王初鸾</v>
      </c>
      <c r="E1465" s="7" t="str">
        <f t="shared" si="156"/>
        <v>女</v>
      </c>
      <c r="F1465" s="7" t="s">
        <v>1482</v>
      </c>
      <c r="G1465" s="7" t="s">
        <v>12</v>
      </c>
      <c r="H1465" s="7"/>
    </row>
    <row r="1466" s="3" customFormat="1" ht="14.25" customHeight="1" spans="1:8">
      <c r="A1466" s="7">
        <v>1463</v>
      </c>
      <c r="B1466" s="7" t="str">
        <f>"114020200330172938159176"</f>
        <v>114020200330172938159176</v>
      </c>
      <c r="C1466" s="7" t="s">
        <v>1472</v>
      </c>
      <c r="D1466" s="7" t="str">
        <f>"蔡英南"</f>
        <v>蔡英南</v>
      </c>
      <c r="E1466" s="7" t="str">
        <f t="shared" si="156"/>
        <v>女</v>
      </c>
      <c r="F1466" s="7" t="s">
        <v>1483</v>
      </c>
      <c r="G1466" s="7" t="s">
        <v>12</v>
      </c>
      <c r="H1466" s="7"/>
    </row>
    <row r="1467" s="3" customFormat="1" ht="14.25" customHeight="1" spans="1:8">
      <c r="A1467" s="7">
        <v>1464</v>
      </c>
      <c r="B1467" s="7" t="str">
        <f>"114020200331164041159595"</f>
        <v>114020200331164041159595</v>
      </c>
      <c r="C1467" s="7" t="s">
        <v>1472</v>
      </c>
      <c r="D1467" s="7" t="str">
        <f>"符家贇"</f>
        <v>符家贇</v>
      </c>
      <c r="E1467" s="7" t="str">
        <f t="shared" si="156"/>
        <v>女</v>
      </c>
      <c r="F1467" s="7" t="s">
        <v>1484</v>
      </c>
      <c r="G1467" s="7" t="s">
        <v>12</v>
      </c>
      <c r="H1467" s="7"/>
    </row>
    <row r="1468" s="3" customFormat="1" ht="14.25" customHeight="1" spans="1:8">
      <c r="A1468" s="7">
        <v>1465</v>
      </c>
      <c r="B1468" s="7" t="str">
        <f>"114020200401070857159737"</f>
        <v>114020200401070857159737</v>
      </c>
      <c r="C1468" s="7" t="s">
        <v>1472</v>
      </c>
      <c r="D1468" s="7" t="str">
        <f>"蔡庆祝"</f>
        <v>蔡庆祝</v>
      </c>
      <c r="E1468" s="7" t="str">
        <f t="shared" si="156"/>
        <v>女</v>
      </c>
      <c r="F1468" s="7" t="s">
        <v>1485</v>
      </c>
      <c r="G1468" s="7" t="s">
        <v>12</v>
      </c>
      <c r="H1468" s="7"/>
    </row>
    <row r="1469" s="3" customFormat="1" ht="14.25" customHeight="1" spans="1:8">
      <c r="A1469" s="7">
        <v>1466</v>
      </c>
      <c r="B1469" s="7" t="str">
        <f>"114020200402110030160137"</f>
        <v>114020200402110030160137</v>
      </c>
      <c r="C1469" s="7" t="s">
        <v>1472</v>
      </c>
      <c r="D1469" s="7" t="str">
        <f>"符丽萍"</f>
        <v>符丽萍</v>
      </c>
      <c r="E1469" s="7" t="str">
        <f t="shared" si="156"/>
        <v>女</v>
      </c>
      <c r="F1469" s="7" t="s">
        <v>1486</v>
      </c>
      <c r="G1469" s="7" t="s">
        <v>12</v>
      </c>
      <c r="H1469" s="7"/>
    </row>
    <row r="1470" s="3" customFormat="1" ht="14.25" customHeight="1" spans="1:8">
      <c r="A1470" s="7">
        <v>1467</v>
      </c>
      <c r="B1470" s="7" t="str">
        <f>"114020200404231439160689"</f>
        <v>114020200404231439160689</v>
      </c>
      <c r="C1470" s="7" t="s">
        <v>1472</v>
      </c>
      <c r="D1470" s="7" t="str">
        <f>"吴鱼"</f>
        <v>吴鱼</v>
      </c>
      <c r="E1470" s="7" t="str">
        <f t="shared" si="156"/>
        <v>女</v>
      </c>
      <c r="F1470" s="7" t="s">
        <v>1487</v>
      </c>
      <c r="G1470" s="7" t="s">
        <v>12</v>
      </c>
      <c r="H1470" s="7"/>
    </row>
    <row r="1471" s="3" customFormat="1" ht="14.25" customHeight="1" spans="1:8">
      <c r="A1471" s="7">
        <v>1468</v>
      </c>
      <c r="B1471" s="7" t="str">
        <f>"114020200405175553160909"</f>
        <v>114020200405175553160909</v>
      </c>
      <c r="C1471" s="7" t="s">
        <v>1472</v>
      </c>
      <c r="D1471" s="7" t="str">
        <f>"周莎"</f>
        <v>周莎</v>
      </c>
      <c r="E1471" s="7" t="str">
        <f t="shared" si="156"/>
        <v>女</v>
      </c>
      <c r="F1471" s="7" t="s">
        <v>1488</v>
      </c>
      <c r="G1471" s="7" t="s">
        <v>12</v>
      </c>
      <c r="H1471" s="7"/>
    </row>
    <row r="1472" s="3" customFormat="1" ht="14.25" customHeight="1" spans="1:8">
      <c r="A1472" s="7">
        <v>1469</v>
      </c>
      <c r="B1472" s="7" t="str">
        <f>"114020200328093558157217"</f>
        <v>114020200328093558157217</v>
      </c>
      <c r="C1472" s="7" t="s">
        <v>1489</v>
      </c>
      <c r="D1472" s="7" t="str">
        <f>"符小茹"</f>
        <v>符小茹</v>
      </c>
      <c r="E1472" s="7" t="str">
        <f t="shared" si="156"/>
        <v>女</v>
      </c>
      <c r="F1472" s="7" t="s">
        <v>1490</v>
      </c>
      <c r="G1472" s="7" t="s">
        <v>12</v>
      </c>
      <c r="H1472" s="7"/>
    </row>
    <row r="1473" s="3" customFormat="1" ht="14.25" customHeight="1" spans="1:8">
      <c r="A1473" s="7">
        <v>1470</v>
      </c>
      <c r="B1473" s="7" t="str">
        <f>"114020200328101012157296"</f>
        <v>114020200328101012157296</v>
      </c>
      <c r="C1473" s="7" t="s">
        <v>1489</v>
      </c>
      <c r="D1473" s="7" t="str">
        <f>"谢思思"</f>
        <v>谢思思</v>
      </c>
      <c r="E1473" s="7" t="str">
        <f t="shared" si="156"/>
        <v>女</v>
      </c>
      <c r="F1473" s="7" t="s">
        <v>1491</v>
      </c>
      <c r="G1473" s="7" t="s">
        <v>12</v>
      </c>
      <c r="H1473" s="7"/>
    </row>
    <row r="1474" s="3" customFormat="1" ht="14.25" customHeight="1" spans="1:8">
      <c r="A1474" s="7">
        <v>1471</v>
      </c>
      <c r="B1474" s="7" t="str">
        <f>"114020200328102805157353"</f>
        <v>114020200328102805157353</v>
      </c>
      <c r="C1474" s="7" t="s">
        <v>1489</v>
      </c>
      <c r="D1474" s="7" t="str">
        <f>"杨美嫦"</f>
        <v>杨美嫦</v>
      </c>
      <c r="E1474" s="7" t="str">
        <f t="shared" si="156"/>
        <v>女</v>
      </c>
      <c r="F1474" s="7" t="s">
        <v>1492</v>
      </c>
      <c r="G1474" s="7" t="s">
        <v>12</v>
      </c>
      <c r="H1474" s="7"/>
    </row>
    <row r="1475" s="3" customFormat="1" ht="14.25" customHeight="1" spans="1:8">
      <c r="A1475" s="7">
        <v>1472</v>
      </c>
      <c r="B1475" s="7" t="str">
        <f>"114020200328110646157435"</f>
        <v>114020200328110646157435</v>
      </c>
      <c r="C1475" s="7" t="s">
        <v>1489</v>
      </c>
      <c r="D1475" s="7" t="str">
        <f>"赵小丽"</f>
        <v>赵小丽</v>
      </c>
      <c r="E1475" s="7" t="str">
        <f t="shared" si="156"/>
        <v>女</v>
      </c>
      <c r="F1475" s="7" t="s">
        <v>1493</v>
      </c>
      <c r="G1475" s="7" t="s">
        <v>12</v>
      </c>
      <c r="H1475" s="7"/>
    </row>
    <row r="1476" s="3" customFormat="1" ht="14.25" customHeight="1" spans="1:8">
      <c r="A1476" s="7">
        <v>1473</v>
      </c>
      <c r="B1476" s="7" t="str">
        <f>"114020200328110906157441"</f>
        <v>114020200328110906157441</v>
      </c>
      <c r="C1476" s="7" t="s">
        <v>1489</v>
      </c>
      <c r="D1476" s="7" t="str">
        <f>"林芳青"</f>
        <v>林芳青</v>
      </c>
      <c r="E1476" s="7" t="str">
        <f t="shared" si="156"/>
        <v>女</v>
      </c>
      <c r="F1476" s="7" t="s">
        <v>290</v>
      </c>
      <c r="G1476" s="7" t="s">
        <v>12</v>
      </c>
      <c r="H1476" s="7"/>
    </row>
    <row r="1477" s="3" customFormat="1" ht="14.25" customHeight="1" spans="1:8">
      <c r="A1477" s="7">
        <v>1474</v>
      </c>
      <c r="B1477" s="7" t="str">
        <f>"114020200328121628157565"</f>
        <v>114020200328121628157565</v>
      </c>
      <c r="C1477" s="7" t="s">
        <v>1489</v>
      </c>
      <c r="D1477" s="7" t="str">
        <f>"符碚"</f>
        <v>符碚</v>
      </c>
      <c r="E1477" s="7" t="str">
        <f t="shared" si="156"/>
        <v>女</v>
      </c>
      <c r="F1477" s="7" t="s">
        <v>1494</v>
      </c>
      <c r="G1477" s="7" t="s">
        <v>12</v>
      </c>
      <c r="H1477" s="7"/>
    </row>
    <row r="1478" s="3" customFormat="1" ht="14.25" customHeight="1" spans="1:8">
      <c r="A1478" s="7">
        <v>1475</v>
      </c>
      <c r="B1478" s="7" t="str">
        <f>"114020200328122512157584"</f>
        <v>114020200328122512157584</v>
      </c>
      <c r="C1478" s="7" t="s">
        <v>1489</v>
      </c>
      <c r="D1478" s="7" t="str">
        <f>"苏雯"</f>
        <v>苏雯</v>
      </c>
      <c r="E1478" s="7" t="str">
        <f t="shared" si="156"/>
        <v>女</v>
      </c>
      <c r="F1478" s="7" t="s">
        <v>1495</v>
      </c>
      <c r="G1478" s="7" t="s">
        <v>12</v>
      </c>
      <c r="H1478" s="7"/>
    </row>
    <row r="1479" s="3" customFormat="1" ht="14.25" customHeight="1" spans="1:8">
      <c r="A1479" s="7">
        <v>1476</v>
      </c>
      <c r="B1479" s="7" t="str">
        <f>"114020200328123952157611"</f>
        <v>114020200328123952157611</v>
      </c>
      <c r="C1479" s="7" t="s">
        <v>1489</v>
      </c>
      <c r="D1479" s="7" t="str">
        <f>"冯照艳"</f>
        <v>冯照艳</v>
      </c>
      <c r="E1479" s="7" t="str">
        <f t="shared" si="156"/>
        <v>女</v>
      </c>
      <c r="F1479" s="7" t="s">
        <v>1496</v>
      </c>
      <c r="G1479" s="7" t="s">
        <v>12</v>
      </c>
      <c r="H1479" s="7"/>
    </row>
    <row r="1480" s="3" customFormat="1" ht="14.25" customHeight="1" spans="1:8">
      <c r="A1480" s="7">
        <v>1477</v>
      </c>
      <c r="B1480" s="7" t="str">
        <f>"114020200328134434157704"</f>
        <v>114020200328134434157704</v>
      </c>
      <c r="C1480" s="7" t="s">
        <v>1489</v>
      </c>
      <c r="D1480" s="7" t="str">
        <f>"陈慧"</f>
        <v>陈慧</v>
      </c>
      <c r="E1480" s="7" t="str">
        <f>"男"</f>
        <v>男</v>
      </c>
      <c r="F1480" s="7" t="s">
        <v>1497</v>
      </c>
      <c r="G1480" s="7" t="s">
        <v>12</v>
      </c>
      <c r="H1480" s="7"/>
    </row>
    <row r="1481" s="3" customFormat="1" ht="14.25" customHeight="1" spans="1:8">
      <c r="A1481" s="7">
        <v>1478</v>
      </c>
      <c r="B1481" s="7" t="str">
        <f>"114020200328153641157805"</f>
        <v>114020200328153641157805</v>
      </c>
      <c r="C1481" s="7" t="s">
        <v>1489</v>
      </c>
      <c r="D1481" s="7" t="str">
        <f>"蒙娇"</f>
        <v>蒙娇</v>
      </c>
      <c r="E1481" s="7" t="str">
        <f t="shared" ref="E1481:E1488" si="157">"女"</f>
        <v>女</v>
      </c>
      <c r="F1481" s="7" t="s">
        <v>1498</v>
      </c>
      <c r="G1481" s="7" t="s">
        <v>12</v>
      </c>
      <c r="H1481" s="7"/>
    </row>
    <row r="1482" s="3" customFormat="1" ht="14.25" customHeight="1" spans="1:8">
      <c r="A1482" s="7">
        <v>1479</v>
      </c>
      <c r="B1482" s="7" t="str">
        <f>"114020200328153706157806"</f>
        <v>114020200328153706157806</v>
      </c>
      <c r="C1482" s="7" t="s">
        <v>1489</v>
      </c>
      <c r="D1482" s="7" t="str">
        <f>"叶春燕"</f>
        <v>叶春燕</v>
      </c>
      <c r="E1482" s="7" t="str">
        <f t="shared" si="157"/>
        <v>女</v>
      </c>
      <c r="F1482" s="7" t="s">
        <v>1499</v>
      </c>
      <c r="G1482" s="7" t="s">
        <v>12</v>
      </c>
      <c r="H1482" s="7"/>
    </row>
    <row r="1483" s="3" customFormat="1" ht="14.25" customHeight="1" spans="1:8">
      <c r="A1483" s="7">
        <v>1480</v>
      </c>
      <c r="B1483" s="7" t="str">
        <f>"114020200328162555157855"</f>
        <v>114020200328162555157855</v>
      </c>
      <c r="C1483" s="7" t="s">
        <v>1489</v>
      </c>
      <c r="D1483" s="7" t="str">
        <f>"符梅爱"</f>
        <v>符梅爱</v>
      </c>
      <c r="E1483" s="7" t="str">
        <f t="shared" si="157"/>
        <v>女</v>
      </c>
      <c r="F1483" s="7" t="s">
        <v>1500</v>
      </c>
      <c r="G1483" s="7" t="s">
        <v>12</v>
      </c>
      <c r="H1483" s="7"/>
    </row>
    <row r="1484" s="3" customFormat="1" ht="14.25" customHeight="1" spans="1:8">
      <c r="A1484" s="7">
        <v>1481</v>
      </c>
      <c r="B1484" s="7" t="str">
        <f>"114020200328163047157862"</f>
        <v>114020200328163047157862</v>
      </c>
      <c r="C1484" s="7" t="s">
        <v>1489</v>
      </c>
      <c r="D1484" s="7" t="str">
        <f>"符继春"</f>
        <v>符继春</v>
      </c>
      <c r="E1484" s="7" t="str">
        <f t="shared" si="157"/>
        <v>女</v>
      </c>
      <c r="F1484" s="7" t="s">
        <v>1501</v>
      </c>
      <c r="G1484" s="7" t="s">
        <v>12</v>
      </c>
      <c r="H1484" s="7"/>
    </row>
    <row r="1485" s="3" customFormat="1" ht="14.25" customHeight="1" spans="1:8">
      <c r="A1485" s="7">
        <v>1482</v>
      </c>
      <c r="B1485" s="7" t="str">
        <f>"114020200328164152157876"</f>
        <v>114020200328164152157876</v>
      </c>
      <c r="C1485" s="7" t="s">
        <v>1489</v>
      </c>
      <c r="D1485" s="7" t="str">
        <f>"汤锡丽"</f>
        <v>汤锡丽</v>
      </c>
      <c r="E1485" s="7" t="str">
        <f t="shared" si="157"/>
        <v>女</v>
      </c>
      <c r="F1485" s="7" t="s">
        <v>1502</v>
      </c>
      <c r="G1485" s="7" t="s">
        <v>12</v>
      </c>
      <c r="H1485" s="7"/>
    </row>
    <row r="1486" s="3" customFormat="1" ht="14.25" customHeight="1" spans="1:8">
      <c r="A1486" s="7">
        <v>1483</v>
      </c>
      <c r="B1486" s="7" t="str">
        <f>"114020200328164908157886"</f>
        <v>114020200328164908157886</v>
      </c>
      <c r="C1486" s="7" t="s">
        <v>1489</v>
      </c>
      <c r="D1486" s="7" t="str">
        <f>"李腾爱"</f>
        <v>李腾爱</v>
      </c>
      <c r="E1486" s="7" t="str">
        <f t="shared" si="157"/>
        <v>女</v>
      </c>
      <c r="F1486" s="7" t="s">
        <v>1503</v>
      </c>
      <c r="G1486" s="7" t="s">
        <v>12</v>
      </c>
      <c r="H1486" s="7"/>
    </row>
    <row r="1487" s="3" customFormat="1" ht="14.25" customHeight="1" spans="1:8">
      <c r="A1487" s="7">
        <v>1484</v>
      </c>
      <c r="B1487" s="7" t="str">
        <f>"114020200328165831157892"</f>
        <v>114020200328165831157892</v>
      </c>
      <c r="C1487" s="7" t="s">
        <v>1489</v>
      </c>
      <c r="D1487" s="7" t="str">
        <f>"黄莹"</f>
        <v>黄莹</v>
      </c>
      <c r="E1487" s="7" t="str">
        <f t="shared" si="157"/>
        <v>女</v>
      </c>
      <c r="F1487" s="7" t="s">
        <v>1504</v>
      </c>
      <c r="G1487" s="7" t="s">
        <v>12</v>
      </c>
      <c r="H1487" s="7"/>
    </row>
    <row r="1488" s="3" customFormat="1" ht="14.25" customHeight="1" spans="1:8">
      <c r="A1488" s="7">
        <v>1485</v>
      </c>
      <c r="B1488" s="7" t="str">
        <f>"114020200328192946158004"</f>
        <v>114020200328192946158004</v>
      </c>
      <c r="C1488" s="7" t="s">
        <v>1489</v>
      </c>
      <c r="D1488" s="7" t="str">
        <f>"陈佳"</f>
        <v>陈佳</v>
      </c>
      <c r="E1488" s="7" t="str">
        <f t="shared" si="157"/>
        <v>女</v>
      </c>
      <c r="F1488" s="7" t="s">
        <v>1505</v>
      </c>
      <c r="G1488" s="7" t="s">
        <v>12</v>
      </c>
      <c r="H1488" s="7"/>
    </row>
    <row r="1489" s="3" customFormat="1" ht="14.25" customHeight="1" spans="1:8">
      <c r="A1489" s="7">
        <v>1486</v>
      </c>
      <c r="B1489" s="7" t="str">
        <f>"114020200329072201158193"</f>
        <v>114020200329072201158193</v>
      </c>
      <c r="C1489" s="7" t="s">
        <v>1489</v>
      </c>
      <c r="D1489" s="7" t="str">
        <f>"符明夏"</f>
        <v>符明夏</v>
      </c>
      <c r="E1489" s="7" t="str">
        <f>"男"</f>
        <v>男</v>
      </c>
      <c r="F1489" s="7" t="s">
        <v>1506</v>
      </c>
      <c r="G1489" s="7" t="s">
        <v>12</v>
      </c>
      <c r="H1489" s="7"/>
    </row>
    <row r="1490" s="3" customFormat="1" ht="14.25" customHeight="1" spans="1:8">
      <c r="A1490" s="7">
        <v>1487</v>
      </c>
      <c r="B1490" s="7" t="str">
        <f>"114020200329102726158270"</f>
        <v>114020200329102726158270</v>
      </c>
      <c r="C1490" s="7" t="s">
        <v>1489</v>
      </c>
      <c r="D1490" s="7" t="str">
        <f>"杜秀翠"</f>
        <v>杜秀翠</v>
      </c>
      <c r="E1490" s="7" t="str">
        <f t="shared" ref="E1490:E1499" si="158">"女"</f>
        <v>女</v>
      </c>
      <c r="F1490" s="7" t="s">
        <v>1507</v>
      </c>
      <c r="G1490" s="7" t="s">
        <v>12</v>
      </c>
      <c r="H1490" s="7"/>
    </row>
    <row r="1491" s="3" customFormat="1" ht="14.25" customHeight="1" spans="1:8">
      <c r="A1491" s="7">
        <v>1488</v>
      </c>
      <c r="B1491" s="7" t="str">
        <f>"114020200329110519158309"</f>
        <v>114020200329110519158309</v>
      </c>
      <c r="C1491" s="7" t="s">
        <v>1489</v>
      </c>
      <c r="D1491" s="7" t="str">
        <f>"黄海柳"</f>
        <v>黄海柳</v>
      </c>
      <c r="E1491" s="7" t="str">
        <f t="shared" si="158"/>
        <v>女</v>
      </c>
      <c r="F1491" s="7" t="s">
        <v>1508</v>
      </c>
      <c r="G1491" s="7" t="s">
        <v>12</v>
      </c>
      <c r="H1491" s="7"/>
    </row>
    <row r="1492" s="3" customFormat="1" ht="14.25" customHeight="1" spans="1:8">
      <c r="A1492" s="7">
        <v>1489</v>
      </c>
      <c r="B1492" s="7" t="str">
        <f>"114020200329171411158519"</f>
        <v>114020200329171411158519</v>
      </c>
      <c r="C1492" s="7" t="s">
        <v>1489</v>
      </c>
      <c r="D1492" s="7" t="str">
        <f>"赵秀娇"</f>
        <v>赵秀娇</v>
      </c>
      <c r="E1492" s="7" t="str">
        <f t="shared" si="158"/>
        <v>女</v>
      </c>
      <c r="F1492" s="7" t="s">
        <v>1509</v>
      </c>
      <c r="G1492" s="7" t="s">
        <v>12</v>
      </c>
      <c r="H1492" s="7"/>
    </row>
    <row r="1493" s="3" customFormat="1" ht="14.25" customHeight="1" spans="1:8">
      <c r="A1493" s="7">
        <v>1490</v>
      </c>
      <c r="B1493" s="7" t="str">
        <f>"114020200329210726158647"</f>
        <v>114020200329210726158647</v>
      </c>
      <c r="C1493" s="7" t="s">
        <v>1489</v>
      </c>
      <c r="D1493" s="7" t="str">
        <f>"李华冰"</f>
        <v>李华冰</v>
      </c>
      <c r="E1493" s="7" t="str">
        <f t="shared" si="158"/>
        <v>女</v>
      </c>
      <c r="F1493" s="7" t="s">
        <v>1510</v>
      </c>
      <c r="G1493" s="7" t="s">
        <v>12</v>
      </c>
      <c r="H1493" s="7"/>
    </row>
    <row r="1494" s="3" customFormat="1" ht="14.25" customHeight="1" spans="1:8">
      <c r="A1494" s="7">
        <v>1491</v>
      </c>
      <c r="B1494" s="7" t="str">
        <f>"114020200329230043158724"</f>
        <v>114020200329230043158724</v>
      </c>
      <c r="C1494" s="7" t="s">
        <v>1489</v>
      </c>
      <c r="D1494" s="7" t="str">
        <f>"李卫萍"</f>
        <v>李卫萍</v>
      </c>
      <c r="E1494" s="7" t="str">
        <f t="shared" si="158"/>
        <v>女</v>
      </c>
      <c r="F1494" s="7" t="s">
        <v>1511</v>
      </c>
      <c r="G1494" s="7" t="s">
        <v>12</v>
      </c>
      <c r="H1494" s="7"/>
    </row>
    <row r="1495" s="3" customFormat="1" ht="14.25" customHeight="1" spans="1:8">
      <c r="A1495" s="7">
        <v>1492</v>
      </c>
      <c r="B1495" s="7" t="str">
        <f>"114020200330094130158825"</f>
        <v>114020200330094130158825</v>
      </c>
      <c r="C1495" s="7" t="s">
        <v>1489</v>
      </c>
      <c r="D1495" s="7" t="str">
        <f>"麦明芳"</f>
        <v>麦明芳</v>
      </c>
      <c r="E1495" s="7" t="str">
        <f t="shared" si="158"/>
        <v>女</v>
      </c>
      <c r="F1495" s="7" t="s">
        <v>1512</v>
      </c>
      <c r="G1495" s="7" t="s">
        <v>12</v>
      </c>
      <c r="H1495" s="7"/>
    </row>
    <row r="1496" s="3" customFormat="1" ht="14.25" customHeight="1" spans="1:8">
      <c r="A1496" s="7">
        <v>1493</v>
      </c>
      <c r="B1496" s="7" t="str">
        <f>"114020200330112628158927"</f>
        <v>114020200330112628158927</v>
      </c>
      <c r="C1496" s="7" t="s">
        <v>1489</v>
      </c>
      <c r="D1496" s="7" t="str">
        <f>"王蔓"</f>
        <v>王蔓</v>
      </c>
      <c r="E1496" s="7" t="str">
        <f t="shared" si="158"/>
        <v>女</v>
      </c>
      <c r="F1496" s="7" t="s">
        <v>1513</v>
      </c>
      <c r="G1496" s="7" t="s">
        <v>12</v>
      </c>
      <c r="H1496" s="7"/>
    </row>
    <row r="1497" s="3" customFormat="1" ht="14.25" customHeight="1" spans="1:8">
      <c r="A1497" s="7">
        <v>1494</v>
      </c>
      <c r="B1497" s="7" t="str">
        <f>"114020200330114934158951"</f>
        <v>114020200330114934158951</v>
      </c>
      <c r="C1497" s="7" t="s">
        <v>1489</v>
      </c>
      <c r="D1497" s="7" t="str">
        <f>"郭仁玲"</f>
        <v>郭仁玲</v>
      </c>
      <c r="E1497" s="7" t="str">
        <f t="shared" si="158"/>
        <v>女</v>
      </c>
      <c r="F1497" s="7" t="s">
        <v>1514</v>
      </c>
      <c r="G1497" s="7" t="s">
        <v>12</v>
      </c>
      <c r="H1497" s="7"/>
    </row>
    <row r="1498" s="3" customFormat="1" ht="14.25" customHeight="1" spans="1:8">
      <c r="A1498" s="7">
        <v>1495</v>
      </c>
      <c r="B1498" s="7" t="str">
        <f>"114020200330135650159029"</f>
        <v>114020200330135650159029</v>
      </c>
      <c r="C1498" s="7" t="s">
        <v>1489</v>
      </c>
      <c r="D1498" s="7" t="str">
        <f>"宋丽娜"</f>
        <v>宋丽娜</v>
      </c>
      <c r="E1498" s="7" t="str">
        <f t="shared" si="158"/>
        <v>女</v>
      </c>
      <c r="F1498" s="7" t="s">
        <v>1515</v>
      </c>
      <c r="G1498" s="7" t="s">
        <v>12</v>
      </c>
      <c r="H1498" s="7"/>
    </row>
    <row r="1499" s="3" customFormat="1" ht="14.25" customHeight="1" spans="1:8">
      <c r="A1499" s="7">
        <v>1496</v>
      </c>
      <c r="B1499" s="7" t="str">
        <f>"114020200330144038159060"</f>
        <v>114020200330144038159060</v>
      </c>
      <c r="C1499" s="7" t="s">
        <v>1489</v>
      </c>
      <c r="D1499" s="7" t="str">
        <f>"简秀金"</f>
        <v>简秀金</v>
      </c>
      <c r="E1499" s="7" t="str">
        <f t="shared" si="158"/>
        <v>女</v>
      </c>
      <c r="F1499" s="7" t="s">
        <v>1516</v>
      </c>
      <c r="G1499" s="7" t="s">
        <v>12</v>
      </c>
      <c r="H1499" s="7"/>
    </row>
    <row r="1500" s="3" customFormat="1" ht="14.25" customHeight="1" spans="1:8">
      <c r="A1500" s="7">
        <v>1497</v>
      </c>
      <c r="B1500" s="7" t="str">
        <f>"114020200330145015159063"</f>
        <v>114020200330145015159063</v>
      </c>
      <c r="C1500" s="7" t="s">
        <v>1489</v>
      </c>
      <c r="D1500" s="7" t="str">
        <f>"李腾通"</f>
        <v>李腾通</v>
      </c>
      <c r="E1500" s="7" t="str">
        <f>"男"</f>
        <v>男</v>
      </c>
      <c r="F1500" s="7" t="s">
        <v>1517</v>
      </c>
      <c r="G1500" s="7" t="s">
        <v>12</v>
      </c>
      <c r="H1500" s="7"/>
    </row>
    <row r="1501" s="3" customFormat="1" ht="14.25" customHeight="1" spans="1:8">
      <c r="A1501" s="7">
        <v>1498</v>
      </c>
      <c r="B1501" s="7" t="str">
        <f>"114020200330152316159079"</f>
        <v>114020200330152316159079</v>
      </c>
      <c r="C1501" s="7" t="s">
        <v>1489</v>
      </c>
      <c r="D1501" s="7" t="str">
        <f>"黄青兰"</f>
        <v>黄青兰</v>
      </c>
      <c r="E1501" s="7" t="str">
        <f t="shared" ref="E1501:E1513" si="159">"女"</f>
        <v>女</v>
      </c>
      <c r="F1501" s="7" t="s">
        <v>1518</v>
      </c>
      <c r="G1501" s="7" t="s">
        <v>12</v>
      </c>
      <c r="H1501" s="7"/>
    </row>
    <row r="1502" s="3" customFormat="1" ht="14.25" customHeight="1" spans="1:8">
      <c r="A1502" s="7">
        <v>1499</v>
      </c>
      <c r="B1502" s="7" t="str">
        <f>"114020200330152405159080"</f>
        <v>114020200330152405159080</v>
      </c>
      <c r="C1502" s="7" t="s">
        <v>1489</v>
      </c>
      <c r="D1502" s="7" t="str">
        <f>"赵开静"</f>
        <v>赵开静</v>
      </c>
      <c r="E1502" s="7" t="str">
        <f t="shared" si="159"/>
        <v>女</v>
      </c>
      <c r="F1502" s="7" t="s">
        <v>1519</v>
      </c>
      <c r="G1502" s="7" t="s">
        <v>12</v>
      </c>
      <c r="H1502" s="7"/>
    </row>
    <row r="1503" s="3" customFormat="1" ht="14.25" customHeight="1" spans="1:8">
      <c r="A1503" s="7">
        <v>1500</v>
      </c>
      <c r="B1503" s="7" t="str">
        <f>"114020200330153735159093"</f>
        <v>114020200330153735159093</v>
      </c>
      <c r="C1503" s="7" t="s">
        <v>1489</v>
      </c>
      <c r="D1503" s="7" t="str">
        <f>"林友明"</f>
        <v>林友明</v>
      </c>
      <c r="E1503" s="7" t="str">
        <f>"男"</f>
        <v>男</v>
      </c>
      <c r="F1503" s="7" t="s">
        <v>1520</v>
      </c>
      <c r="G1503" s="7" t="s">
        <v>12</v>
      </c>
      <c r="H1503" s="7"/>
    </row>
    <row r="1504" s="3" customFormat="1" ht="14.25" customHeight="1" spans="1:8">
      <c r="A1504" s="7">
        <v>1501</v>
      </c>
      <c r="B1504" s="7" t="str">
        <f>"114020200330181122159198"</f>
        <v>114020200330181122159198</v>
      </c>
      <c r="C1504" s="7" t="s">
        <v>1489</v>
      </c>
      <c r="D1504" s="7" t="str">
        <f>"符连于"</f>
        <v>符连于</v>
      </c>
      <c r="E1504" s="7" t="str">
        <f t="shared" si="159"/>
        <v>女</v>
      </c>
      <c r="F1504" s="7" t="s">
        <v>1521</v>
      </c>
      <c r="G1504" s="7" t="s">
        <v>12</v>
      </c>
      <c r="H1504" s="7"/>
    </row>
    <row r="1505" s="3" customFormat="1" ht="14.25" customHeight="1" spans="1:8">
      <c r="A1505" s="7">
        <v>1502</v>
      </c>
      <c r="B1505" s="7" t="str">
        <f>"114020200330191806159219"</f>
        <v>114020200330191806159219</v>
      </c>
      <c r="C1505" s="7" t="s">
        <v>1489</v>
      </c>
      <c r="D1505" s="7" t="str">
        <f>"王丽梨"</f>
        <v>王丽梨</v>
      </c>
      <c r="E1505" s="7" t="str">
        <f t="shared" si="159"/>
        <v>女</v>
      </c>
      <c r="F1505" s="7" t="s">
        <v>1522</v>
      </c>
      <c r="G1505" s="7" t="s">
        <v>12</v>
      </c>
      <c r="H1505" s="7"/>
    </row>
    <row r="1506" s="3" customFormat="1" ht="14.25" customHeight="1" spans="1:8">
      <c r="A1506" s="7">
        <v>1503</v>
      </c>
      <c r="B1506" s="7" t="str">
        <f>"114020200330204137159259"</f>
        <v>114020200330204137159259</v>
      </c>
      <c r="C1506" s="7" t="s">
        <v>1489</v>
      </c>
      <c r="D1506" s="7" t="str">
        <f>"冯丽萍"</f>
        <v>冯丽萍</v>
      </c>
      <c r="E1506" s="7" t="str">
        <f t="shared" si="159"/>
        <v>女</v>
      </c>
      <c r="F1506" s="7" t="s">
        <v>1523</v>
      </c>
      <c r="G1506" s="7" t="s">
        <v>12</v>
      </c>
      <c r="H1506" s="7"/>
    </row>
    <row r="1507" s="3" customFormat="1" ht="14.25" customHeight="1" spans="1:8">
      <c r="A1507" s="7">
        <v>1504</v>
      </c>
      <c r="B1507" s="7" t="str">
        <f>"114020200330210030159265"</f>
        <v>114020200330210030159265</v>
      </c>
      <c r="C1507" s="7" t="s">
        <v>1489</v>
      </c>
      <c r="D1507" s="7" t="str">
        <f>"蒙秀珠"</f>
        <v>蒙秀珠</v>
      </c>
      <c r="E1507" s="7" t="str">
        <f t="shared" si="159"/>
        <v>女</v>
      </c>
      <c r="F1507" s="7" t="s">
        <v>1524</v>
      </c>
      <c r="G1507" s="7" t="s">
        <v>12</v>
      </c>
      <c r="H1507" s="7"/>
    </row>
    <row r="1508" s="3" customFormat="1" ht="14.25" customHeight="1" spans="1:8">
      <c r="A1508" s="7">
        <v>1505</v>
      </c>
      <c r="B1508" s="7" t="str">
        <f>"114020200330233024159350"</f>
        <v>114020200330233024159350</v>
      </c>
      <c r="C1508" s="7" t="s">
        <v>1489</v>
      </c>
      <c r="D1508" s="7" t="str">
        <f>"钟晓红"</f>
        <v>钟晓红</v>
      </c>
      <c r="E1508" s="7" t="str">
        <f t="shared" si="159"/>
        <v>女</v>
      </c>
      <c r="F1508" s="7" t="s">
        <v>1525</v>
      </c>
      <c r="G1508" s="7" t="s">
        <v>12</v>
      </c>
      <c r="H1508" s="7"/>
    </row>
    <row r="1509" s="3" customFormat="1" ht="14.25" customHeight="1" spans="1:8">
      <c r="A1509" s="7">
        <v>1506</v>
      </c>
      <c r="B1509" s="7" t="str">
        <f>"114020200330234925159353"</f>
        <v>114020200330234925159353</v>
      </c>
      <c r="C1509" s="7" t="s">
        <v>1489</v>
      </c>
      <c r="D1509" s="7" t="str">
        <f>"万林霞"</f>
        <v>万林霞</v>
      </c>
      <c r="E1509" s="7" t="str">
        <f t="shared" si="159"/>
        <v>女</v>
      </c>
      <c r="F1509" s="7" t="s">
        <v>1526</v>
      </c>
      <c r="G1509" s="7" t="s">
        <v>12</v>
      </c>
      <c r="H1509" s="7"/>
    </row>
    <row r="1510" s="3" customFormat="1" ht="14.25" customHeight="1" spans="1:8">
      <c r="A1510" s="7">
        <v>1507</v>
      </c>
      <c r="B1510" s="7" t="str">
        <f>"114020200331094539159394"</f>
        <v>114020200331094539159394</v>
      </c>
      <c r="C1510" s="7" t="s">
        <v>1489</v>
      </c>
      <c r="D1510" s="7" t="str">
        <f>"林晨晨"</f>
        <v>林晨晨</v>
      </c>
      <c r="E1510" s="7" t="str">
        <f t="shared" si="159"/>
        <v>女</v>
      </c>
      <c r="F1510" s="7" t="s">
        <v>1527</v>
      </c>
      <c r="G1510" s="7" t="s">
        <v>12</v>
      </c>
      <c r="H1510" s="7"/>
    </row>
    <row r="1511" s="3" customFormat="1" ht="14.25" customHeight="1" spans="1:8">
      <c r="A1511" s="7">
        <v>1508</v>
      </c>
      <c r="B1511" s="7" t="str">
        <f>"114020200331164254159597"</f>
        <v>114020200331164254159597</v>
      </c>
      <c r="C1511" s="7" t="s">
        <v>1489</v>
      </c>
      <c r="D1511" s="7" t="str">
        <f>"谢秀梦"</f>
        <v>谢秀梦</v>
      </c>
      <c r="E1511" s="7" t="str">
        <f t="shared" si="159"/>
        <v>女</v>
      </c>
      <c r="F1511" s="7" t="s">
        <v>1528</v>
      </c>
      <c r="G1511" s="7" t="s">
        <v>12</v>
      </c>
      <c r="H1511" s="7"/>
    </row>
    <row r="1512" s="3" customFormat="1" ht="14.25" customHeight="1" spans="1:8">
      <c r="A1512" s="7">
        <v>1509</v>
      </c>
      <c r="B1512" s="7" t="str">
        <f>"114020200331164624159599"</f>
        <v>114020200331164624159599</v>
      </c>
      <c r="C1512" s="7" t="s">
        <v>1489</v>
      </c>
      <c r="D1512" s="7" t="str">
        <f>"何芳芳"</f>
        <v>何芳芳</v>
      </c>
      <c r="E1512" s="7" t="str">
        <f t="shared" si="159"/>
        <v>女</v>
      </c>
      <c r="F1512" s="7" t="s">
        <v>1529</v>
      </c>
      <c r="G1512" s="7" t="s">
        <v>12</v>
      </c>
      <c r="H1512" s="7"/>
    </row>
    <row r="1513" s="3" customFormat="1" ht="14.25" customHeight="1" spans="1:8">
      <c r="A1513" s="7">
        <v>1510</v>
      </c>
      <c r="B1513" s="7" t="str">
        <f>"114020200331170257159606"</f>
        <v>114020200331170257159606</v>
      </c>
      <c r="C1513" s="7" t="s">
        <v>1489</v>
      </c>
      <c r="D1513" s="7" t="str">
        <f>"潘文"</f>
        <v>潘文</v>
      </c>
      <c r="E1513" s="7" t="str">
        <f t="shared" si="159"/>
        <v>女</v>
      </c>
      <c r="F1513" s="7" t="s">
        <v>1530</v>
      </c>
      <c r="G1513" s="7" t="s">
        <v>12</v>
      </c>
      <c r="H1513" s="7"/>
    </row>
    <row r="1514" s="3" customFormat="1" ht="14.25" customHeight="1" spans="1:8">
      <c r="A1514" s="7">
        <v>1511</v>
      </c>
      <c r="B1514" s="7" t="str">
        <f>"114020200331212429159688"</f>
        <v>114020200331212429159688</v>
      </c>
      <c r="C1514" s="7" t="s">
        <v>1489</v>
      </c>
      <c r="D1514" s="7" t="str">
        <f>"林远东"</f>
        <v>林远东</v>
      </c>
      <c r="E1514" s="7" t="str">
        <f>"男"</f>
        <v>男</v>
      </c>
      <c r="F1514" s="7" t="s">
        <v>1531</v>
      </c>
      <c r="G1514" s="7" t="s">
        <v>12</v>
      </c>
      <c r="H1514" s="7"/>
    </row>
    <row r="1515" s="3" customFormat="1" ht="14.25" customHeight="1" spans="1:8">
      <c r="A1515" s="7">
        <v>1512</v>
      </c>
      <c r="B1515" s="7" t="str">
        <f>"114020200401175200159969"</f>
        <v>114020200401175200159969</v>
      </c>
      <c r="C1515" s="7" t="s">
        <v>1489</v>
      </c>
      <c r="D1515" s="7" t="str">
        <f>"李水康"</f>
        <v>李水康</v>
      </c>
      <c r="E1515" s="7" t="str">
        <f>"男"</f>
        <v>男</v>
      </c>
      <c r="F1515" s="7" t="s">
        <v>1532</v>
      </c>
      <c r="G1515" s="7" t="s">
        <v>12</v>
      </c>
      <c r="H1515" s="7"/>
    </row>
    <row r="1516" s="3" customFormat="1" ht="14.25" customHeight="1" spans="1:8">
      <c r="A1516" s="7">
        <v>1513</v>
      </c>
      <c r="B1516" s="7" t="str">
        <f>"114020200401214512160052"</f>
        <v>114020200401214512160052</v>
      </c>
      <c r="C1516" s="7" t="s">
        <v>1489</v>
      </c>
      <c r="D1516" s="7" t="str">
        <f>"陈兴兰"</f>
        <v>陈兴兰</v>
      </c>
      <c r="E1516" s="7" t="str">
        <f t="shared" ref="E1516:E1523" si="160">"女"</f>
        <v>女</v>
      </c>
      <c r="F1516" s="7" t="s">
        <v>1533</v>
      </c>
      <c r="G1516" s="7" t="s">
        <v>12</v>
      </c>
      <c r="H1516" s="7"/>
    </row>
    <row r="1517" s="3" customFormat="1" ht="14.25" customHeight="1" spans="1:8">
      <c r="A1517" s="7">
        <v>1514</v>
      </c>
      <c r="B1517" s="7" t="str">
        <f>"114020200403034457160358"</f>
        <v>114020200403034457160358</v>
      </c>
      <c r="C1517" s="7" t="s">
        <v>1489</v>
      </c>
      <c r="D1517" s="7" t="str">
        <f>"陈惠"</f>
        <v>陈惠</v>
      </c>
      <c r="E1517" s="7" t="str">
        <f t="shared" si="160"/>
        <v>女</v>
      </c>
      <c r="F1517" s="7" t="s">
        <v>1534</v>
      </c>
      <c r="G1517" s="7" t="s">
        <v>12</v>
      </c>
      <c r="H1517" s="7"/>
    </row>
    <row r="1518" s="3" customFormat="1" ht="14.25" customHeight="1" spans="1:8">
      <c r="A1518" s="7">
        <v>1515</v>
      </c>
      <c r="B1518" s="7" t="str">
        <f>"114020200404171849160632"</f>
        <v>114020200404171849160632</v>
      </c>
      <c r="C1518" s="7" t="s">
        <v>1489</v>
      </c>
      <c r="D1518" s="7" t="str">
        <f>"麦慧霞"</f>
        <v>麦慧霞</v>
      </c>
      <c r="E1518" s="7" t="str">
        <f t="shared" si="160"/>
        <v>女</v>
      </c>
      <c r="F1518" s="7" t="s">
        <v>1535</v>
      </c>
      <c r="G1518" s="7" t="s">
        <v>12</v>
      </c>
      <c r="H1518" s="7"/>
    </row>
    <row r="1519" s="3" customFormat="1" ht="14.25" customHeight="1" spans="1:8">
      <c r="A1519" s="7">
        <v>1516</v>
      </c>
      <c r="B1519" s="7" t="str">
        <f>"114020200404230802160687"</f>
        <v>114020200404230802160687</v>
      </c>
      <c r="C1519" s="7" t="s">
        <v>1489</v>
      </c>
      <c r="D1519" s="7" t="str">
        <f>"吴品玲"</f>
        <v>吴品玲</v>
      </c>
      <c r="E1519" s="7" t="str">
        <f t="shared" si="160"/>
        <v>女</v>
      </c>
      <c r="F1519" s="7" t="s">
        <v>1536</v>
      </c>
      <c r="G1519" s="7" t="s">
        <v>12</v>
      </c>
      <c r="H1519" s="7"/>
    </row>
    <row r="1520" s="3" customFormat="1" ht="14.25" customHeight="1" spans="1:8">
      <c r="A1520" s="7">
        <v>1517</v>
      </c>
      <c r="B1520" s="7" t="str">
        <f>"114020200405205118160967"</f>
        <v>114020200405205118160967</v>
      </c>
      <c r="C1520" s="7" t="s">
        <v>1489</v>
      </c>
      <c r="D1520" s="7" t="str">
        <f>"吴儒玲"</f>
        <v>吴儒玲</v>
      </c>
      <c r="E1520" s="7" t="str">
        <f t="shared" si="160"/>
        <v>女</v>
      </c>
      <c r="F1520" s="7" t="s">
        <v>1537</v>
      </c>
      <c r="G1520" s="7" t="s">
        <v>12</v>
      </c>
      <c r="H1520" s="7"/>
    </row>
    <row r="1521" s="3" customFormat="1" ht="14.25" customHeight="1" spans="1:8">
      <c r="A1521" s="7">
        <v>1518</v>
      </c>
      <c r="B1521" s="7" t="str">
        <f>"114020200405220012161006"</f>
        <v>114020200405220012161006</v>
      </c>
      <c r="C1521" s="7" t="s">
        <v>1489</v>
      </c>
      <c r="D1521" s="7" t="str">
        <f>"左格格"</f>
        <v>左格格</v>
      </c>
      <c r="E1521" s="7" t="str">
        <f t="shared" si="160"/>
        <v>女</v>
      </c>
      <c r="F1521" s="7" t="s">
        <v>1538</v>
      </c>
      <c r="G1521" s="7" t="s">
        <v>12</v>
      </c>
      <c r="H1521" s="7"/>
    </row>
    <row r="1522" s="3" customFormat="1" ht="14.25" customHeight="1" spans="1:8">
      <c r="A1522" s="7">
        <v>1519</v>
      </c>
      <c r="B1522" s="7" t="str">
        <f>"114020200405220719161014"</f>
        <v>114020200405220719161014</v>
      </c>
      <c r="C1522" s="7" t="s">
        <v>1489</v>
      </c>
      <c r="D1522" s="7" t="str">
        <f>"薛菊妹"</f>
        <v>薛菊妹</v>
      </c>
      <c r="E1522" s="7" t="str">
        <f t="shared" si="160"/>
        <v>女</v>
      </c>
      <c r="F1522" s="7" t="s">
        <v>1539</v>
      </c>
      <c r="G1522" s="7" t="s">
        <v>12</v>
      </c>
      <c r="H1522" s="7"/>
    </row>
    <row r="1523" s="3" customFormat="1" ht="14.25" customHeight="1" spans="1:8">
      <c r="A1523" s="7">
        <v>1520</v>
      </c>
      <c r="B1523" s="7" t="str">
        <f>"114020200405234505161035"</f>
        <v>114020200405234505161035</v>
      </c>
      <c r="C1523" s="7" t="s">
        <v>1489</v>
      </c>
      <c r="D1523" s="7" t="str">
        <f>"徐雅丽"</f>
        <v>徐雅丽</v>
      </c>
      <c r="E1523" s="7" t="str">
        <f t="shared" si="160"/>
        <v>女</v>
      </c>
      <c r="F1523" s="7" t="s">
        <v>1540</v>
      </c>
      <c r="G1523" s="7" t="s">
        <v>12</v>
      </c>
      <c r="H1523" s="7"/>
    </row>
    <row r="1524" s="3" customFormat="1" ht="14.25" customHeight="1" spans="1:8">
      <c r="A1524" s="7">
        <v>1521</v>
      </c>
      <c r="B1524" s="7" t="str">
        <f>"114020200406111624161148"</f>
        <v>114020200406111624161148</v>
      </c>
      <c r="C1524" s="7" t="s">
        <v>1489</v>
      </c>
      <c r="D1524" s="7" t="str">
        <f>"周义燐"</f>
        <v>周义燐</v>
      </c>
      <c r="E1524" s="7" t="str">
        <f t="shared" ref="E1524:E1527" si="161">"男"</f>
        <v>男</v>
      </c>
      <c r="F1524" s="7" t="s">
        <v>1541</v>
      </c>
      <c r="G1524" s="7" t="s">
        <v>12</v>
      </c>
      <c r="H1524" s="7"/>
    </row>
    <row r="1525" s="3" customFormat="1" ht="14.25" customHeight="1" spans="1:8">
      <c r="A1525" s="7">
        <v>1522</v>
      </c>
      <c r="B1525" s="7" t="str">
        <f>"114020200328092115157182"</f>
        <v>114020200328092115157182</v>
      </c>
      <c r="C1525" s="7" t="s">
        <v>1542</v>
      </c>
      <c r="D1525" s="7" t="str">
        <f>"李黎佳"</f>
        <v>李黎佳</v>
      </c>
      <c r="E1525" s="7" t="str">
        <f t="shared" ref="E1525:E1532" si="162">"女"</f>
        <v>女</v>
      </c>
      <c r="F1525" s="7" t="s">
        <v>1543</v>
      </c>
      <c r="G1525" s="7" t="s">
        <v>12</v>
      </c>
      <c r="H1525" s="7"/>
    </row>
    <row r="1526" s="3" customFormat="1" ht="14.25" customHeight="1" spans="1:8">
      <c r="A1526" s="7">
        <v>1523</v>
      </c>
      <c r="B1526" s="7" t="str">
        <f>"114020200328102609157346"</f>
        <v>114020200328102609157346</v>
      </c>
      <c r="C1526" s="7" t="s">
        <v>1542</v>
      </c>
      <c r="D1526" s="7" t="str">
        <f>"李明益"</f>
        <v>李明益</v>
      </c>
      <c r="E1526" s="7" t="str">
        <f t="shared" si="161"/>
        <v>男</v>
      </c>
      <c r="F1526" s="7" t="s">
        <v>1544</v>
      </c>
      <c r="G1526" s="7" t="s">
        <v>12</v>
      </c>
      <c r="H1526" s="7"/>
    </row>
    <row r="1527" s="3" customFormat="1" ht="14.25" customHeight="1" spans="1:8">
      <c r="A1527" s="7">
        <v>1524</v>
      </c>
      <c r="B1527" s="7" t="str">
        <f>"114020200328152234157793"</f>
        <v>114020200328152234157793</v>
      </c>
      <c r="C1527" s="7" t="s">
        <v>1542</v>
      </c>
      <c r="D1527" s="7" t="str">
        <f>"李汉英"</f>
        <v>李汉英</v>
      </c>
      <c r="E1527" s="7" t="str">
        <f t="shared" si="161"/>
        <v>男</v>
      </c>
      <c r="F1527" s="7" t="s">
        <v>1545</v>
      </c>
      <c r="G1527" s="7" t="s">
        <v>12</v>
      </c>
      <c r="H1527" s="7"/>
    </row>
    <row r="1528" s="3" customFormat="1" ht="14.25" customHeight="1" spans="1:8">
      <c r="A1528" s="7">
        <v>1525</v>
      </c>
      <c r="B1528" s="7" t="str">
        <f>"114020200328152414157795"</f>
        <v>114020200328152414157795</v>
      </c>
      <c r="C1528" s="7" t="s">
        <v>1542</v>
      </c>
      <c r="D1528" s="7" t="str">
        <f>"刘霁莹"</f>
        <v>刘霁莹</v>
      </c>
      <c r="E1528" s="7" t="str">
        <f t="shared" si="162"/>
        <v>女</v>
      </c>
      <c r="F1528" s="7" t="s">
        <v>1546</v>
      </c>
      <c r="G1528" s="7" t="s">
        <v>12</v>
      </c>
      <c r="H1528" s="7"/>
    </row>
    <row r="1529" s="3" customFormat="1" ht="14.25" customHeight="1" spans="1:8">
      <c r="A1529" s="7">
        <v>1526</v>
      </c>
      <c r="B1529" s="7" t="str">
        <f>"114020200328152732157800"</f>
        <v>114020200328152732157800</v>
      </c>
      <c r="C1529" s="7" t="s">
        <v>1542</v>
      </c>
      <c r="D1529" s="7" t="str">
        <f>"谢镇芳"</f>
        <v>谢镇芳</v>
      </c>
      <c r="E1529" s="7" t="str">
        <f t="shared" si="162"/>
        <v>女</v>
      </c>
      <c r="F1529" s="7" t="s">
        <v>1547</v>
      </c>
      <c r="G1529" s="7" t="s">
        <v>12</v>
      </c>
      <c r="H1529" s="7"/>
    </row>
    <row r="1530" s="3" customFormat="1" ht="14.25" customHeight="1" spans="1:8">
      <c r="A1530" s="7">
        <v>1527</v>
      </c>
      <c r="B1530" s="7" t="str">
        <f>"114020200328221545158124"</f>
        <v>114020200328221545158124</v>
      </c>
      <c r="C1530" s="7" t="s">
        <v>1542</v>
      </c>
      <c r="D1530" s="7" t="str">
        <f>"胡海娟"</f>
        <v>胡海娟</v>
      </c>
      <c r="E1530" s="7" t="str">
        <f t="shared" si="162"/>
        <v>女</v>
      </c>
      <c r="F1530" s="7" t="s">
        <v>1548</v>
      </c>
      <c r="G1530" s="7" t="s">
        <v>12</v>
      </c>
      <c r="H1530" s="7"/>
    </row>
    <row r="1531" s="3" customFormat="1" ht="14.25" customHeight="1" spans="1:8">
      <c r="A1531" s="7">
        <v>1528</v>
      </c>
      <c r="B1531" s="7" t="str">
        <f>"114020200329192546158584"</f>
        <v>114020200329192546158584</v>
      </c>
      <c r="C1531" s="7" t="s">
        <v>1542</v>
      </c>
      <c r="D1531" s="7" t="str">
        <f>"车桂芯"</f>
        <v>车桂芯</v>
      </c>
      <c r="E1531" s="7" t="str">
        <f t="shared" si="162"/>
        <v>女</v>
      </c>
      <c r="F1531" s="7" t="s">
        <v>1549</v>
      </c>
      <c r="G1531" s="7" t="s">
        <v>12</v>
      </c>
      <c r="H1531" s="7"/>
    </row>
    <row r="1532" s="3" customFormat="1" ht="14.25" customHeight="1" spans="1:8">
      <c r="A1532" s="7">
        <v>1529</v>
      </c>
      <c r="B1532" s="7" t="str">
        <f>"114020200402154134160207"</f>
        <v>114020200402154134160207</v>
      </c>
      <c r="C1532" s="7" t="s">
        <v>1542</v>
      </c>
      <c r="D1532" s="7" t="str">
        <f>"高倩"</f>
        <v>高倩</v>
      </c>
      <c r="E1532" s="7" t="str">
        <f t="shared" si="162"/>
        <v>女</v>
      </c>
      <c r="F1532" s="7" t="s">
        <v>1550</v>
      </c>
      <c r="G1532" s="7" t="s">
        <v>12</v>
      </c>
      <c r="H1532" s="7"/>
    </row>
    <row r="1533" s="3" customFormat="1" ht="14.25" customHeight="1" spans="1:8">
      <c r="A1533" s="7">
        <v>1530</v>
      </c>
      <c r="B1533" s="7" t="str">
        <f>"114020200402210118160301"</f>
        <v>114020200402210118160301</v>
      </c>
      <c r="C1533" s="7" t="s">
        <v>1542</v>
      </c>
      <c r="D1533" s="7" t="str">
        <f>"王衍"</f>
        <v>王衍</v>
      </c>
      <c r="E1533" s="7" t="str">
        <f>"男"</f>
        <v>男</v>
      </c>
      <c r="F1533" s="7" t="s">
        <v>1551</v>
      </c>
      <c r="G1533" s="7" t="s">
        <v>12</v>
      </c>
      <c r="H1533" s="7"/>
    </row>
    <row r="1534" s="3" customFormat="1" ht="14.25" customHeight="1" spans="1:8">
      <c r="A1534" s="7">
        <v>1531</v>
      </c>
      <c r="B1534" s="7" t="str">
        <f>"114020200402215354160324"</f>
        <v>114020200402215354160324</v>
      </c>
      <c r="C1534" s="7" t="s">
        <v>1542</v>
      </c>
      <c r="D1534" s="7" t="str">
        <f>"钟尊翠"</f>
        <v>钟尊翠</v>
      </c>
      <c r="E1534" s="7" t="str">
        <f t="shared" ref="E1534:E1568" si="163">"女"</f>
        <v>女</v>
      </c>
      <c r="F1534" s="7" t="s">
        <v>1552</v>
      </c>
      <c r="G1534" s="7" t="s">
        <v>12</v>
      </c>
      <c r="H1534" s="7"/>
    </row>
    <row r="1535" s="3" customFormat="1" ht="14.25" customHeight="1" spans="1:8">
      <c r="A1535" s="7">
        <v>1532</v>
      </c>
      <c r="B1535" s="7" t="str">
        <f>"114020200403113324160417"</f>
        <v>114020200403113324160417</v>
      </c>
      <c r="C1535" s="7" t="s">
        <v>1542</v>
      </c>
      <c r="D1535" s="7" t="str">
        <f>"云珍妮"</f>
        <v>云珍妮</v>
      </c>
      <c r="E1535" s="7" t="str">
        <f t="shared" si="163"/>
        <v>女</v>
      </c>
      <c r="F1535" s="7" t="s">
        <v>1553</v>
      </c>
      <c r="G1535" s="7" t="s">
        <v>12</v>
      </c>
      <c r="H1535" s="7"/>
    </row>
    <row r="1536" s="3" customFormat="1" ht="14.25" customHeight="1" spans="1:8">
      <c r="A1536" s="7">
        <v>1533</v>
      </c>
      <c r="B1536" s="7" t="str">
        <f>"114020200404205423160659"</f>
        <v>114020200404205423160659</v>
      </c>
      <c r="C1536" s="7" t="s">
        <v>1542</v>
      </c>
      <c r="D1536" s="7" t="str">
        <f>"林芬"</f>
        <v>林芬</v>
      </c>
      <c r="E1536" s="7" t="str">
        <f t="shared" si="163"/>
        <v>女</v>
      </c>
      <c r="F1536" s="7" t="s">
        <v>1554</v>
      </c>
      <c r="G1536" s="7" t="s">
        <v>12</v>
      </c>
      <c r="H1536" s="7"/>
    </row>
    <row r="1537" s="3" customFormat="1" ht="14.25" customHeight="1" spans="1:8">
      <c r="A1537" s="7">
        <v>1534</v>
      </c>
      <c r="B1537" s="7" t="str">
        <f>"114020200328090456157145"</f>
        <v>114020200328090456157145</v>
      </c>
      <c r="C1537" s="7" t="s">
        <v>1555</v>
      </c>
      <c r="D1537" s="7" t="str">
        <f>"孙燕娜"</f>
        <v>孙燕娜</v>
      </c>
      <c r="E1537" s="7" t="str">
        <f t="shared" si="163"/>
        <v>女</v>
      </c>
      <c r="F1537" s="7" t="s">
        <v>1556</v>
      </c>
      <c r="G1537" s="7" t="s">
        <v>12</v>
      </c>
      <c r="H1537" s="7"/>
    </row>
    <row r="1538" s="3" customFormat="1" ht="14.25" customHeight="1" spans="1:8">
      <c r="A1538" s="7">
        <v>1535</v>
      </c>
      <c r="B1538" s="7" t="str">
        <f>"114020200328093957157231"</f>
        <v>114020200328093957157231</v>
      </c>
      <c r="C1538" s="7" t="s">
        <v>1555</v>
      </c>
      <c r="D1538" s="7" t="str">
        <f>"文丽珍"</f>
        <v>文丽珍</v>
      </c>
      <c r="E1538" s="7" t="str">
        <f t="shared" si="163"/>
        <v>女</v>
      </c>
      <c r="F1538" s="7" t="s">
        <v>1557</v>
      </c>
      <c r="G1538" s="7" t="s">
        <v>12</v>
      </c>
      <c r="H1538" s="7"/>
    </row>
    <row r="1539" s="3" customFormat="1" ht="14.25" customHeight="1" spans="1:8">
      <c r="A1539" s="7">
        <v>1536</v>
      </c>
      <c r="B1539" s="7" t="str">
        <f>"114020200328094809157249"</f>
        <v>114020200328094809157249</v>
      </c>
      <c r="C1539" s="7" t="s">
        <v>1555</v>
      </c>
      <c r="D1539" s="7" t="str">
        <f>"唐爱珠"</f>
        <v>唐爱珠</v>
      </c>
      <c r="E1539" s="7" t="str">
        <f t="shared" si="163"/>
        <v>女</v>
      </c>
      <c r="F1539" s="7" t="s">
        <v>1558</v>
      </c>
      <c r="G1539" s="7" t="s">
        <v>12</v>
      </c>
      <c r="H1539" s="7"/>
    </row>
    <row r="1540" s="3" customFormat="1" ht="14.25" customHeight="1" spans="1:8">
      <c r="A1540" s="7">
        <v>1537</v>
      </c>
      <c r="B1540" s="7" t="str">
        <f>"114020200328100217157280"</f>
        <v>114020200328100217157280</v>
      </c>
      <c r="C1540" s="7" t="s">
        <v>1555</v>
      </c>
      <c r="D1540" s="7" t="str">
        <f>"周超莹"</f>
        <v>周超莹</v>
      </c>
      <c r="E1540" s="7" t="str">
        <f t="shared" si="163"/>
        <v>女</v>
      </c>
      <c r="F1540" s="7" t="s">
        <v>1559</v>
      </c>
      <c r="G1540" s="7" t="s">
        <v>12</v>
      </c>
      <c r="H1540" s="7"/>
    </row>
    <row r="1541" s="3" customFormat="1" ht="14.25" customHeight="1" spans="1:8">
      <c r="A1541" s="7">
        <v>1538</v>
      </c>
      <c r="B1541" s="7" t="str">
        <f>"114020200328112613157476"</f>
        <v>114020200328112613157476</v>
      </c>
      <c r="C1541" s="7" t="s">
        <v>1555</v>
      </c>
      <c r="D1541" s="7" t="str">
        <f>"吉妹"</f>
        <v>吉妹</v>
      </c>
      <c r="E1541" s="7" t="str">
        <f t="shared" si="163"/>
        <v>女</v>
      </c>
      <c r="F1541" s="7" t="s">
        <v>1560</v>
      </c>
      <c r="G1541" s="7" t="s">
        <v>12</v>
      </c>
      <c r="H1541" s="7"/>
    </row>
    <row r="1542" s="3" customFormat="1" ht="14.25" customHeight="1" spans="1:8">
      <c r="A1542" s="7">
        <v>1539</v>
      </c>
      <c r="B1542" s="7" t="str">
        <f>"114020200328113740157493"</f>
        <v>114020200328113740157493</v>
      </c>
      <c r="C1542" s="7" t="s">
        <v>1555</v>
      </c>
      <c r="D1542" s="7" t="str">
        <f>"陈香池"</f>
        <v>陈香池</v>
      </c>
      <c r="E1542" s="7" t="str">
        <f t="shared" si="163"/>
        <v>女</v>
      </c>
      <c r="F1542" s="7" t="s">
        <v>1561</v>
      </c>
      <c r="G1542" s="7" t="s">
        <v>12</v>
      </c>
      <c r="H1542" s="7"/>
    </row>
    <row r="1543" s="3" customFormat="1" ht="14.25" customHeight="1" spans="1:8">
      <c r="A1543" s="7">
        <v>1540</v>
      </c>
      <c r="B1543" s="7" t="str">
        <f>"114020200328113758157495"</f>
        <v>114020200328113758157495</v>
      </c>
      <c r="C1543" s="7" t="s">
        <v>1555</v>
      </c>
      <c r="D1543" s="7" t="str">
        <f>"杨亭"</f>
        <v>杨亭</v>
      </c>
      <c r="E1543" s="7" t="str">
        <f t="shared" si="163"/>
        <v>女</v>
      </c>
      <c r="F1543" s="7" t="s">
        <v>1562</v>
      </c>
      <c r="G1543" s="7" t="s">
        <v>12</v>
      </c>
      <c r="H1543" s="7"/>
    </row>
    <row r="1544" s="3" customFormat="1" ht="14.25" customHeight="1" spans="1:8">
      <c r="A1544" s="7">
        <v>1541</v>
      </c>
      <c r="B1544" s="7" t="str">
        <f>"114020200328124726157623"</f>
        <v>114020200328124726157623</v>
      </c>
      <c r="C1544" s="7" t="s">
        <v>1555</v>
      </c>
      <c r="D1544" s="7" t="str">
        <f>"苏玉池"</f>
        <v>苏玉池</v>
      </c>
      <c r="E1544" s="7" t="str">
        <f t="shared" si="163"/>
        <v>女</v>
      </c>
      <c r="F1544" s="7" t="s">
        <v>1563</v>
      </c>
      <c r="G1544" s="7" t="s">
        <v>12</v>
      </c>
      <c r="H1544" s="7"/>
    </row>
    <row r="1545" s="3" customFormat="1" ht="14.25" customHeight="1" spans="1:8">
      <c r="A1545" s="7">
        <v>1542</v>
      </c>
      <c r="B1545" s="7" t="str">
        <f>"114020200328164733157883"</f>
        <v>114020200328164733157883</v>
      </c>
      <c r="C1545" s="7" t="s">
        <v>1555</v>
      </c>
      <c r="D1545" s="7" t="str">
        <f>"符冠花"</f>
        <v>符冠花</v>
      </c>
      <c r="E1545" s="7" t="str">
        <f t="shared" si="163"/>
        <v>女</v>
      </c>
      <c r="F1545" s="7" t="s">
        <v>1564</v>
      </c>
      <c r="G1545" s="7" t="s">
        <v>12</v>
      </c>
      <c r="H1545" s="7"/>
    </row>
    <row r="1546" s="3" customFormat="1" ht="14.25" customHeight="1" spans="1:8">
      <c r="A1546" s="7">
        <v>1543</v>
      </c>
      <c r="B1546" s="7" t="str">
        <f>"114020200328180510157945"</f>
        <v>114020200328180510157945</v>
      </c>
      <c r="C1546" s="7" t="s">
        <v>1555</v>
      </c>
      <c r="D1546" s="7" t="str">
        <f>"张在花"</f>
        <v>张在花</v>
      </c>
      <c r="E1546" s="7" t="str">
        <f t="shared" si="163"/>
        <v>女</v>
      </c>
      <c r="F1546" s="7" t="s">
        <v>1565</v>
      </c>
      <c r="G1546" s="7" t="s">
        <v>12</v>
      </c>
      <c r="H1546" s="7"/>
    </row>
    <row r="1547" s="3" customFormat="1" ht="14.25" customHeight="1" spans="1:8">
      <c r="A1547" s="7">
        <v>1544</v>
      </c>
      <c r="B1547" s="7" t="str">
        <f>"114020200328195419158018"</f>
        <v>114020200328195419158018</v>
      </c>
      <c r="C1547" s="7" t="s">
        <v>1555</v>
      </c>
      <c r="D1547" s="7" t="str">
        <f>"黄彩红"</f>
        <v>黄彩红</v>
      </c>
      <c r="E1547" s="7" t="str">
        <f t="shared" si="163"/>
        <v>女</v>
      </c>
      <c r="F1547" s="7" t="s">
        <v>1566</v>
      </c>
      <c r="G1547" s="7" t="s">
        <v>12</v>
      </c>
      <c r="H1547" s="7"/>
    </row>
    <row r="1548" s="3" customFormat="1" ht="14.25" customHeight="1" spans="1:8">
      <c r="A1548" s="7">
        <v>1545</v>
      </c>
      <c r="B1548" s="7" t="str">
        <f>"114020200329110415158306"</f>
        <v>114020200329110415158306</v>
      </c>
      <c r="C1548" s="7" t="s">
        <v>1555</v>
      </c>
      <c r="D1548" s="7" t="str">
        <f>"陈英选"</f>
        <v>陈英选</v>
      </c>
      <c r="E1548" s="7" t="str">
        <f t="shared" si="163"/>
        <v>女</v>
      </c>
      <c r="F1548" s="7" t="s">
        <v>1567</v>
      </c>
      <c r="G1548" s="7" t="s">
        <v>12</v>
      </c>
      <c r="H1548" s="7"/>
    </row>
    <row r="1549" s="3" customFormat="1" ht="14.25" customHeight="1" spans="1:8">
      <c r="A1549" s="7">
        <v>1546</v>
      </c>
      <c r="B1549" s="7" t="str">
        <f>"114020200329112149158317"</f>
        <v>114020200329112149158317</v>
      </c>
      <c r="C1549" s="7" t="s">
        <v>1555</v>
      </c>
      <c r="D1549" s="7" t="str">
        <f>"李秋焕"</f>
        <v>李秋焕</v>
      </c>
      <c r="E1549" s="7" t="str">
        <f t="shared" si="163"/>
        <v>女</v>
      </c>
      <c r="F1549" s="7" t="s">
        <v>1568</v>
      </c>
      <c r="G1549" s="7" t="s">
        <v>12</v>
      </c>
      <c r="H1549" s="7"/>
    </row>
    <row r="1550" s="3" customFormat="1" ht="14.25" customHeight="1" spans="1:8">
      <c r="A1550" s="7">
        <v>1547</v>
      </c>
      <c r="B1550" s="7" t="str">
        <f>"114020200329135749158421"</f>
        <v>114020200329135749158421</v>
      </c>
      <c r="C1550" s="7" t="s">
        <v>1555</v>
      </c>
      <c r="D1550" s="7" t="str">
        <f>"刘教风"</f>
        <v>刘教风</v>
      </c>
      <c r="E1550" s="7" t="str">
        <f t="shared" si="163"/>
        <v>女</v>
      </c>
      <c r="F1550" s="7" t="s">
        <v>1217</v>
      </c>
      <c r="G1550" s="7" t="s">
        <v>12</v>
      </c>
      <c r="H1550" s="7"/>
    </row>
    <row r="1551" s="3" customFormat="1" ht="14.25" customHeight="1" spans="1:8">
      <c r="A1551" s="7">
        <v>1548</v>
      </c>
      <c r="B1551" s="7" t="str">
        <f>"114020200329151454158454"</f>
        <v>114020200329151454158454</v>
      </c>
      <c r="C1551" s="7" t="s">
        <v>1555</v>
      </c>
      <c r="D1551" s="7" t="str">
        <f>"符兰慧"</f>
        <v>符兰慧</v>
      </c>
      <c r="E1551" s="7" t="str">
        <f t="shared" si="163"/>
        <v>女</v>
      </c>
      <c r="F1551" s="7" t="s">
        <v>1569</v>
      </c>
      <c r="G1551" s="7" t="s">
        <v>12</v>
      </c>
      <c r="H1551" s="7"/>
    </row>
    <row r="1552" s="3" customFormat="1" ht="14.25" customHeight="1" spans="1:8">
      <c r="A1552" s="7">
        <v>1549</v>
      </c>
      <c r="B1552" s="7" t="str">
        <f>"114020200329170329158510"</f>
        <v>114020200329170329158510</v>
      </c>
      <c r="C1552" s="7" t="s">
        <v>1555</v>
      </c>
      <c r="D1552" s="7" t="str">
        <f>"杨思思"</f>
        <v>杨思思</v>
      </c>
      <c r="E1552" s="7" t="str">
        <f t="shared" si="163"/>
        <v>女</v>
      </c>
      <c r="F1552" s="7" t="s">
        <v>1570</v>
      </c>
      <c r="G1552" s="7" t="s">
        <v>12</v>
      </c>
      <c r="H1552" s="7"/>
    </row>
    <row r="1553" s="3" customFormat="1" ht="14.25" customHeight="1" spans="1:8">
      <c r="A1553" s="7">
        <v>1550</v>
      </c>
      <c r="B1553" s="7" t="str">
        <f>"114020200329222602158704"</f>
        <v>114020200329222602158704</v>
      </c>
      <c r="C1553" s="7" t="s">
        <v>1555</v>
      </c>
      <c r="D1553" s="7" t="str">
        <f>"符艳珍"</f>
        <v>符艳珍</v>
      </c>
      <c r="E1553" s="7" t="str">
        <f t="shared" si="163"/>
        <v>女</v>
      </c>
      <c r="F1553" s="7" t="s">
        <v>1571</v>
      </c>
      <c r="G1553" s="7" t="s">
        <v>12</v>
      </c>
      <c r="H1553" s="7"/>
    </row>
    <row r="1554" s="3" customFormat="1" ht="14.25" customHeight="1" spans="1:8">
      <c r="A1554" s="7">
        <v>1551</v>
      </c>
      <c r="B1554" s="7" t="str">
        <f>"114020200329224726158717"</f>
        <v>114020200329224726158717</v>
      </c>
      <c r="C1554" s="7" t="s">
        <v>1555</v>
      </c>
      <c r="D1554" s="7" t="str">
        <f>"王文静"</f>
        <v>王文静</v>
      </c>
      <c r="E1554" s="7" t="str">
        <f t="shared" si="163"/>
        <v>女</v>
      </c>
      <c r="F1554" s="7" t="s">
        <v>1572</v>
      </c>
      <c r="G1554" s="7" t="s">
        <v>12</v>
      </c>
      <c r="H1554" s="7"/>
    </row>
    <row r="1555" s="3" customFormat="1" ht="14.25" customHeight="1" spans="1:8">
      <c r="A1555" s="7">
        <v>1552</v>
      </c>
      <c r="B1555" s="7" t="str">
        <f>"114020200329225249158720"</f>
        <v>114020200329225249158720</v>
      </c>
      <c r="C1555" s="7" t="s">
        <v>1555</v>
      </c>
      <c r="D1555" s="7" t="str">
        <f>"陈柔珠"</f>
        <v>陈柔珠</v>
      </c>
      <c r="E1555" s="7" t="str">
        <f t="shared" si="163"/>
        <v>女</v>
      </c>
      <c r="F1555" s="7" t="s">
        <v>1573</v>
      </c>
      <c r="G1555" s="7" t="s">
        <v>12</v>
      </c>
      <c r="H1555" s="7"/>
    </row>
    <row r="1556" s="3" customFormat="1" ht="14.25" customHeight="1" spans="1:8">
      <c r="A1556" s="7">
        <v>1553</v>
      </c>
      <c r="B1556" s="7" t="str">
        <f>"114020200330001456158747"</f>
        <v>114020200330001456158747</v>
      </c>
      <c r="C1556" s="7" t="s">
        <v>1555</v>
      </c>
      <c r="D1556" s="7" t="str">
        <f>"吕夏"</f>
        <v>吕夏</v>
      </c>
      <c r="E1556" s="7" t="str">
        <f t="shared" si="163"/>
        <v>女</v>
      </c>
      <c r="F1556" s="7" t="s">
        <v>1574</v>
      </c>
      <c r="G1556" s="7" t="s">
        <v>12</v>
      </c>
      <c r="H1556" s="7"/>
    </row>
    <row r="1557" s="3" customFormat="1" ht="14.25" customHeight="1" spans="1:8">
      <c r="A1557" s="7">
        <v>1554</v>
      </c>
      <c r="B1557" s="7" t="str">
        <f>"114020200330084917158777"</f>
        <v>114020200330084917158777</v>
      </c>
      <c r="C1557" s="7" t="s">
        <v>1555</v>
      </c>
      <c r="D1557" s="7" t="str">
        <f>"李曼"</f>
        <v>李曼</v>
      </c>
      <c r="E1557" s="7" t="str">
        <f t="shared" si="163"/>
        <v>女</v>
      </c>
      <c r="F1557" s="7" t="s">
        <v>1575</v>
      </c>
      <c r="G1557" s="7" t="s">
        <v>12</v>
      </c>
      <c r="H1557" s="7"/>
    </row>
    <row r="1558" s="3" customFormat="1" ht="14.25" customHeight="1" spans="1:8">
      <c r="A1558" s="7">
        <v>1555</v>
      </c>
      <c r="B1558" s="7" t="str">
        <f>"114020200330085221158778"</f>
        <v>114020200330085221158778</v>
      </c>
      <c r="C1558" s="7" t="s">
        <v>1555</v>
      </c>
      <c r="D1558" s="7" t="str">
        <f>"梁盈"</f>
        <v>梁盈</v>
      </c>
      <c r="E1558" s="7" t="str">
        <f t="shared" si="163"/>
        <v>女</v>
      </c>
      <c r="F1558" s="7" t="s">
        <v>1576</v>
      </c>
      <c r="G1558" s="7" t="s">
        <v>12</v>
      </c>
      <c r="H1558" s="7"/>
    </row>
    <row r="1559" s="3" customFormat="1" ht="14.25" customHeight="1" spans="1:8">
      <c r="A1559" s="7">
        <v>1556</v>
      </c>
      <c r="B1559" s="7" t="str">
        <f>"114020200330100804158854"</f>
        <v>114020200330100804158854</v>
      </c>
      <c r="C1559" s="7" t="s">
        <v>1555</v>
      </c>
      <c r="D1559" s="7" t="str">
        <f>"林玉娥"</f>
        <v>林玉娥</v>
      </c>
      <c r="E1559" s="7" t="str">
        <f t="shared" si="163"/>
        <v>女</v>
      </c>
      <c r="F1559" s="7" t="s">
        <v>1577</v>
      </c>
      <c r="G1559" s="7" t="s">
        <v>12</v>
      </c>
      <c r="H1559" s="7"/>
    </row>
    <row r="1560" s="3" customFormat="1" ht="14.25" customHeight="1" spans="1:8">
      <c r="A1560" s="7">
        <v>1557</v>
      </c>
      <c r="B1560" s="7" t="str">
        <f>"114020200330111101158914"</f>
        <v>114020200330111101158914</v>
      </c>
      <c r="C1560" s="7" t="s">
        <v>1555</v>
      </c>
      <c r="D1560" s="7" t="str">
        <f>"羊梦秋"</f>
        <v>羊梦秋</v>
      </c>
      <c r="E1560" s="7" t="str">
        <f t="shared" si="163"/>
        <v>女</v>
      </c>
      <c r="F1560" s="7" t="s">
        <v>1578</v>
      </c>
      <c r="G1560" s="7" t="s">
        <v>12</v>
      </c>
      <c r="H1560" s="7"/>
    </row>
    <row r="1561" s="3" customFormat="1" ht="14.25" customHeight="1" spans="1:8">
      <c r="A1561" s="7">
        <v>1558</v>
      </c>
      <c r="B1561" s="7" t="str">
        <f>"114020200330133635159016"</f>
        <v>114020200330133635159016</v>
      </c>
      <c r="C1561" s="7" t="s">
        <v>1555</v>
      </c>
      <c r="D1561" s="7" t="str">
        <f>"王景荟"</f>
        <v>王景荟</v>
      </c>
      <c r="E1561" s="7" t="str">
        <f t="shared" si="163"/>
        <v>女</v>
      </c>
      <c r="F1561" s="7" t="s">
        <v>1579</v>
      </c>
      <c r="G1561" s="7" t="s">
        <v>12</v>
      </c>
      <c r="H1561" s="7"/>
    </row>
    <row r="1562" s="3" customFormat="1" ht="14.25" customHeight="1" spans="1:8">
      <c r="A1562" s="7">
        <v>1559</v>
      </c>
      <c r="B1562" s="7" t="str">
        <f>"114020200330153659159090"</f>
        <v>114020200330153659159090</v>
      </c>
      <c r="C1562" s="7" t="s">
        <v>1555</v>
      </c>
      <c r="D1562" s="7" t="str">
        <f>"梁振花"</f>
        <v>梁振花</v>
      </c>
      <c r="E1562" s="7" t="str">
        <f t="shared" si="163"/>
        <v>女</v>
      </c>
      <c r="F1562" s="7" t="s">
        <v>1580</v>
      </c>
      <c r="G1562" s="7" t="s">
        <v>12</v>
      </c>
      <c r="H1562" s="7"/>
    </row>
    <row r="1563" s="3" customFormat="1" ht="14.25" customHeight="1" spans="1:8">
      <c r="A1563" s="7">
        <v>1560</v>
      </c>
      <c r="B1563" s="7" t="str">
        <f>"114020200330191554159217"</f>
        <v>114020200330191554159217</v>
      </c>
      <c r="C1563" s="7" t="s">
        <v>1555</v>
      </c>
      <c r="D1563" s="7" t="str">
        <f>"符会媛"</f>
        <v>符会媛</v>
      </c>
      <c r="E1563" s="7" t="str">
        <f t="shared" si="163"/>
        <v>女</v>
      </c>
      <c r="F1563" s="7" t="s">
        <v>1581</v>
      </c>
      <c r="G1563" s="7" t="s">
        <v>12</v>
      </c>
      <c r="H1563" s="7"/>
    </row>
    <row r="1564" s="3" customFormat="1" ht="14.25" customHeight="1" spans="1:8">
      <c r="A1564" s="7">
        <v>1561</v>
      </c>
      <c r="B1564" s="7" t="str">
        <f>"114020200331211732159687"</f>
        <v>114020200331211732159687</v>
      </c>
      <c r="C1564" s="7" t="s">
        <v>1555</v>
      </c>
      <c r="D1564" s="7" t="str">
        <f>"邢雨嘉"</f>
        <v>邢雨嘉</v>
      </c>
      <c r="E1564" s="7" t="str">
        <f t="shared" si="163"/>
        <v>女</v>
      </c>
      <c r="F1564" s="7" t="s">
        <v>1582</v>
      </c>
      <c r="G1564" s="7" t="s">
        <v>12</v>
      </c>
      <c r="H1564" s="7"/>
    </row>
    <row r="1565" s="3" customFormat="1" ht="14.25" customHeight="1" spans="1:8">
      <c r="A1565" s="7">
        <v>1562</v>
      </c>
      <c r="B1565" s="7" t="str">
        <f>"114020200331223411159717"</f>
        <v>114020200331223411159717</v>
      </c>
      <c r="C1565" s="7" t="s">
        <v>1555</v>
      </c>
      <c r="D1565" s="7" t="str">
        <f>"符前晓"</f>
        <v>符前晓</v>
      </c>
      <c r="E1565" s="7" t="str">
        <f t="shared" si="163"/>
        <v>女</v>
      </c>
      <c r="F1565" s="7" t="s">
        <v>1583</v>
      </c>
      <c r="G1565" s="7" t="s">
        <v>12</v>
      </c>
      <c r="H1565" s="7"/>
    </row>
    <row r="1566" s="3" customFormat="1" ht="14.25" customHeight="1" spans="1:8">
      <c r="A1566" s="7">
        <v>1563</v>
      </c>
      <c r="B1566" s="7" t="str">
        <f>"114020200401105022159789"</f>
        <v>114020200401105022159789</v>
      </c>
      <c r="C1566" s="7" t="s">
        <v>1555</v>
      </c>
      <c r="D1566" s="7" t="str">
        <f>"苏琴"</f>
        <v>苏琴</v>
      </c>
      <c r="E1566" s="7" t="str">
        <f t="shared" si="163"/>
        <v>女</v>
      </c>
      <c r="F1566" s="7" t="s">
        <v>1584</v>
      </c>
      <c r="G1566" s="7" t="s">
        <v>12</v>
      </c>
      <c r="H1566" s="7"/>
    </row>
    <row r="1567" s="3" customFormat="1" ht="14.25" customHeight="1" spans="1:8">
      <c r="A1567" s="7">
        <v>1564</v>
      </c>
      <c r="B1567" s="7" t="str">
        <f>"114020200401113155159810"</f>
        <v>114020200401113155159810</v>
      </c>
      <c r="C1567" s="7" t="s">
        <v>1555</v>
      </c>
      <c r="D1567" s="7" t="str">
        <f>"麦亚容"</f>
        <v>麦亚容</v>
      </c>
      <c r="E1567" s="7" t="str">
        <f t="shared" si="163"/>
        <v>女</v>
      </c>
      <c r="F1567" s="7" t="s">
        <v>1585</v>
      </c>
      <c r="G1567" s="7" t="s">
        <v>12</v>
      </c>
      <c r="H1567" s="7"/>
    </row>
    <row r="1568" s="3" customFormat="1" ht="14.25" customHeight="1" spans="1:8">
      <c r="A1568" s="7">
        <v>1565</v>
      </c>
      <c r="B1568" s="7" t="str">
        <f>"114020200401160430159915"</f>
        <v>114020200401160430159915</v>
      </c>
      <c r="C1568" s="7" t="s">
        <v>1555</v>
      </c>
      <c r="D1568" s="7" t="str">
        <f>"韦健秋"</f>
        <v>韦健秋</v>
      </c>
      <c r="E1568" s="7" t="str">
        <f t="shared" si="163"/>
        <v>女</v>
      </c>
      <c r="F1568" s="7" t="s">
        <v>1586</v>
      </c>
      <c r="G1568" s="7" t="s">
        <v>12</v>
      </c>
      <c r="H1568" s="7"/>
    </row>
    <row r="1569" s="3" customFormat="1" ht="14.25" customHeight="1" spans="1:8">
      <c r="A1569" s="7">
        <v>1566</v>
      </c>
      <c r="B1569" s="7" t="str">
        <f>"114020200401183205159987"</f>
        <v>114020200401183205159987</v>
      </c>
      <c r="C1569" s="7" t="s">
        <v>1555</v>
      </c>
      <c r="D1569" s="7" t="str">
        <f>"李大伟"</f>
        <v>李大伟</v>
      </c>
      <c r="E1569" s="7" t="str">
        <f>"男"</f>
        <v>男</v>
      </c>
      <c r="F1569" s="7" t="s">
        <v>1587</v>
      </c>
      <c r="G1569" s="7" t="s">
        <v>12</v>
      </c>
      <c r="H1569" s="7"/>
    </row>
    <row r="1570" s="3" customFormat="1" ht="14.25" customHeight="1" spans="1:8">
      <c r="A1570" s="7">
        <v>1567</v>
      </c>
      <c r="B1570" s="7" t="str">
        <f>"114020200402121615160160"</f>
        <v>114020200402121615160160</v>
      </c>
      <c r="C1570" s="7" t="s">
        <v>1555</v>
      </c>
      <c r="D1570" s="7" t="str">
        <f>"符夕婵"</f>
        <v>符夕婵</v>
      </c>
      <c r="E1570" s="7" t="str">
        <f t="shared" ref="E1570:E1577" si="164">"女"</f>
        <v>女</v>
      </c>
      <c r="F1570" s="7" t="s">
        <v>1588</v>
      </c>
      <c r="G1570" s="7" t="s">
        <v>12</v>
      </c>
      <c r="H1570" s="7"/>
    </row>
    <row r="1571" s="3" customFormat="1" ht="14.25" customHeight="1" spans="1:8">
      <c r="A1571" s="7">
        <v>1568</v>
      </c>
      <c r="B1571" s="7" t="str">
        <f>"114020200402150142160197"</f>
        <v>114020200402150142160197</v>
      </c>
      <c r="C1571" s="7" t="s">
        <v>1555</v>
      </c>
      <c r="D1571" s="7" t="str">
        <f>"叶碧香"</f>
        <v>叶碧香</v>
      </c>
      <c r="E1571" s="7" t="str">
        <f t="shared" si="164"/>
        <v>女</v>
      </c>
      <c r="F1571" s="7" t="s">
        <v>1589</v>
      </c>
      <c r="G1571" s="7" t="s">
        <v>12</v>
      </c>
      <c r="H1571" s="7"/>
    </row>
    <row r="1572" s="3" customFormat="1" ht="14.25" customHeight="1" spans="1:8">
      <c r="A1572" s="7">
        <v>1569</v>
      </c>
      <c r="B1572" s="7" t="str">
        <f>"114020200403122722160441"</f>
        <v>114020200403122722160441</v>
      </c>
      <c r="C1572" s="7" t="s">
        <v>1555</v>
      </c>
      <c r="D1572" s="7" t="str">
        <f>"陈怡"</f>
        <v>陈怡</v>
      </c>
      <c r="E1572" s="7" t="str">
        <f t="shared" si="164"/>
        <v>女</v>
      </c>
      <c r="F1572" s="7" t="s">
        <v>1590</v>
      </c>
      <c r="G1572" s="7" t="s">
        <v>12</v>
      </c>
      <c r="H1572" s="7"/>
    </row>
    <row r="1573" s="3" customFormat="1" ht="14.25" customHeight="1" spans="1:8">
      <c r="A1573" s="7">
        <v>1570</v>
      </c>
      <c r="B1573" s="7" t="str">
        <f>"114020200403193158160535"</f>
        <v>114020200403193158160535</v>
      </c>
      <c r="C1573" s="7" t="s">
        <v>1555</v>
      </c>
      <c r="D1573" s="7" t="str">
        <f>"黎菲"</f>
        <v>黎菲</v>
      </c>
      <c r="E1573" s="7" t="str">
        <f t="shared" si="164"/>
        <v>女</v>
      </c>
      <c r="F1573" s="7" t="s">
        <v>1591</v>
      </c>
      <c r="G1573" s="7" t="s">
        <v>12</v>
      </c>
      <c r="H1573" s="7"/>
    </row>
    <row r="1574" s="3" customFormat="1" ht="14.25" customHeight="1" spans="1:8">
      <c r="A1574" s="7">
        <v>1571</v>
      </c>
      <c r="B1574" s="7" t="str">
        <f>"114020200404234812160700"</f>
        <v>114020200404234812160700</v>
      </c>
      <c r="C1574" s="7" t="s">
        <v>1555</v>
      </c>
      <c r="D1574" s="7" t="str">
        <f>"林丽祺"</f>
        <v>林丽祺</v>
      </c>
      <c r="E1574" s="7" t="str">
        <f t="shared" si="164"/>
        <v>女</v>
      </c>
      <c r="F1574" s="7" t="s">
        <v>1592</v>
      </c>
      <c r="G1574" s="7" t="s">
        <v>12</v>
      </c>
      <c r="H1574" s="7"/>
    </row>
    <row r="1575" s="3" customFormat="1" ht="14.25" customHeight="1" spans="1:8">
      <c r="A1575" s="7">
        <v>1572</v>
      </c>
      <c r="B1575" s="7" t="str">
        <f>"114020200405003415160704"</f>
        <v>114020200405003415160704</v>
      </c>
      <c r="C1575" s="7" t="s">
        <v>1555</v>
      </c>
      <c r="D1575" s="7" t="str">
        <f>"赵月风"</f>
        <v>赵月风</v>
      </c>
      <c r="E1575" s="7" t="str">
        <f t="shared" si="164"/>
        <v>女</v>
      </c>
      <c r="F1575" s="7" t="s">
        <v>1593</v>
      </c>
      <c r="G1575" s="7" t="s">
        <v>12</v>
      </c>
      <c r="H1575" s="7"/>
    </row>
    <row r="1576" s="3" customFormat="1" ht="14.25" customHeight="1" spans="1:8">
      <c r="A1576" s="7">
        <v>1573</v>
      </c>
      <c r="B1576" s="7" t="str">
        <f>"114020200405131706160826"</f>
        <v>114020200405131706160826</v>
      </c>
      <c r="C1576" s="7" t="s">
        <v>1555</v>
      </c>
      <c r="D1576" s="7" t="str">
        <f>"石挺婷"</f>
        <v>石挺婷</v>
      </c>
      <c r="E1576" s="7" t="str">
        <f t="shared" si="164"/>
        <v>女</v>
      </c>
      <c r="F1576" s="7" t="s">
        <v>1594</v>
      </c>
      <c r="G1576" s="7" t="s">
        <v>12</v>
      </c>
      <c r="H1576" s="7"/>
    </row>
    <row r="1577" s="3" customFormat="1" ht="14.25" customHeight="1" spans="1:8">
      <c r="A1577" s="7">
        <v>1574</v>
      </c>
      <c r="B1577" s="7" t="str">
        <f>"114020200405160701160869"</f>
        <v>114020200405160701160869</v>
      </c>
      <c r="C1577" s="7" t="s">
        <v>1555</v>
      </c>
      <c r="D1577" s="7" t="str">
        <f>"钟兴慧"</f>
        <v>钟兴慧</v>
      </c>
      <c r="E1577" s="7" t="str">
        <f t="shared" si="164"/>
        <v>女</v>
      </c>
      <c r="F1577" s="7" t="s">
        <v>1595</v>
      </c>
      <c r="G1577" s="7" t="s">
        <v>12</v>
      </c>
      <c r="H1577" s="7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中学教师（1574人）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Ywx</cp:lastModifiedBy>
  <dcterms:created xsi:type="dcterms:W3CDTF">2020-04-14T09:54:00Z</dcterms:created>
  <dcterms:modified xsi:type="dcterms:W3CDTF">2020-04-15T00:44:30Z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