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23400" windowHeight="9615" activeTab="0"/>
  </bookViews>
  <sheets>
    <sheet name="合格人员-海口市自然资源和规划局2019 年公开招聘下属事业单" sheetId="1" r:id="rId1"/>
  </sheets>
  <definedNames/>
  <calcPr fullCalcOnLoad="1"/>
</workbook>
</file>

<file path=xl/sharedStrings.xml><?xml version="1.0" encoding="utf-8"?>
<sst xmlns="http://schemas.openxmlformats.org/spreadsheetml/2006/main" count="670" uniqueCount="20">
  <si>
    <t>海口市自然资源和规划局2019年公开招聘下属事业单位工作人员资格初审合格人员名单</t>
  </si>
  <si>
    <t>序号</t>
  </si>
  <si>
    <t>报考号</t>
  </si>
  <si>
    <t>报考岗位</t>
  </si>
  <si>
    <t>姓名</t>
  </si>
  <si>
    <t>性别</t>
  </si>
  <si>
    <t>出生年月</t>
  </si>
  <si>
    <t>学历</t>
  </si>
  <si>
    <t>学位</t>
  </si>
  <si>
    <t>专业</t>
  </si>
  <si>
    <t>职称</t>
  </si>
  <si>
    <t>0101_技术岗位</t>
  </si>
  <si>
    <t>0501_管理岗位</t>
  </si>
  <si>
    <t>0102_管理岗位</t>
  </si>
  <si>
    <t>0302_技术岗位</t>
  </si>
  <si>
    <t>0301_管理岗位</t>
  </si>
  <si>
    <t>0201_技术岗位</t>
  </si>
  <si>
    <t>0202_技术岗位</t>
  </si>
  <si>
    <t>0502_技术岗位</t>
  </si>
  <si>
    <t>0401_管理岗位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</si>
</sst>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1"/>
  <sheetViews>
    <sheetView tabSelected="1" zoomScalePageLayoutView="0" workbookViewId="0" topLeftCell="A1">
      <selection activeCell="K49" sqref="K49"/>
    </sheetView>
  </sheetViews>
  <sheetFormatPr defaultColWidth="9.140625" defaultRowHeight="15"/>
  <cols>
    <col min="1" max="1" width="7.28125" style="2" customWidth="1"/>
    <col min="2" max="2" width="25.421875" style="2" customWidth="1"/>
    <col min="3" max="3" width="15.7109375" style="2" customWidth="1"/>
    <col min="4" max="4" width="9.57421875" style="2" customWidth="1"/>
    <col min="5" max="5" width="6.421875" style="2" customWidth="1"/>
    <col min="6" max="6" width="12.28125" style="2" customWidth="1"/>
    <col min="7" max="7" width="7.8515625" style="2" customWidth="1"/>
    <col min="8" max="8" width="7.421875" style="2" customWidth="1"/>
    <col min="9" max="9" width="17.7109375" style="2" customWidth="1"/>
    <col min="10" max="10" width="17.8515625" style="2" customWidth="1"/>
    <col min="11" max="16384" width="9.00390625" style="2" customWidth="1"/>
  </cols>
  <sheetData>
    <row r="1" spans="1:10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7" customHeight="1">
      <c r="A3" s="4">
        <v>1</v>
      </c>
      <c r="B3" s="4" t="str">
        <f>"225720191216090207223887"</f>
        <v>225720191216090207223887</v>
      </c>
      <c r="C3" s="4" t="s">
        <v>11</v>
      </c>
      <c r="D3" s="4" t="str">
        <f>"王绍传"</f>
        <v>王绍传</v>
      </c>
      <c r="E3" s="4" t="str">
        <f>"男"</f>
        <v>男</v>
      </c>
      <c r="F3" s="4" t="str">
        <f>"1986-08-20"</f>
        <v>1986-08-20</v>
      </c>
      <c r="G3" s="4" t="str">
        <f aca="true" t="shared" si="0" ref="G3:G26">"本科"</f>
        <v>本科</v>
      </c>
      <c r="H3" s="4" t="str">
        <f aca="true" t="shared" si="1" ref="H3:H20">"学士"</f>
        <v>学士</v>
      </c>
      <c r="I3" s="4" t="str">
        <f>"通信工程"</f>
        <v>通信工程</v>
      </c>
      <c r="J3" s="4" t="str">
        <f aca="true" t="shared" si="2" ref="J3:J8">"无"</f>
        <v>无</v>
      </c>
    </row>
    <row r="4" spans="1:10" ht="27" customHeight="1">
      <c r="A4" s="4">
        <v>2</v>
      </c>
      <c r="B4" s="4" t="str">
        <f>"225720191216090229223889"</f>
        <v>225720191216090229223889</v>
      </c>
      <c r="C4" s="4" t="s">
        <v>12</v>
      </c>
      <c r="D4" s="4" t="str">
        <f>"韦泽江"</f>
        <v>韦泽江</v>
      </c>
      <c r="E4" s="4" t="str">
        <f aca="true" t="shared" si="3" ref="E4:E12">"男"</f>
        <v>男</v>
      </c>
      <c r="F4" s="4" t="str">
        <f>"1995-01-07"</f>
        <v>1995-01-07</v>
      </c>
      <c r="G4" s="4" t="str">
        <f t="shared" si="0"/>
        <v>本科</v>
      </c>
      <c r="H4" s="4" t="str">
        <f t="shared" si="1"/>
        <v>学士</v>
      </c>
      <c r="I4" s="4" t="str">
        <f>"人文地理与城乡规划"</f>
        <v>人文地理与城乡规划</v>
      </c>
      <c r="J4" s="4" t="str">
        <f t="shared" si="2"/>
        <v>无</v>
      </c>
    </row>
    <row r="5" spans="1:10" ht="27" customHeight="1">
      <c r="A5" s="4">
        <v>3</v>
      </c>
      <c r="B5" s="4" t="str">
        <f>"225720191216090343223892"</f>
        <v>225720191216090343223892</v>
      </c>
      <c r="C5" s="4" t="s">
        <v>13</v>
      </c>
      <c r="D5" s="4" t="str">
        <f>"曾日花"</f>
        <v>曾日花</v>
      </c>
      <c r="E5" s="4" t="str">
        <f>"女"</f>
        <v>女</v>
      </c>
      <c r="F5" s="4" t="str">
        <f>"1988-10-16"</f>
        <v>1988-10-16</v>
      </c>
      <c r="G5" s="4" t="str">
        <f t="shared" si="0"/>
        <v>本科</v>
      </c>
      <c r="H5" s="4" t="str">
        <f t="shared" si="1"/>
        <v>学士</v>
      </c>
      <c r="I5" s="4" t="str">
        <f>"新闻学"</f>
        <v>新闻学</v>
      </c>
      <c r="J5" s="4" t="str">
        <f t="shared" si="2"/>
        <v>无</v>
      </c>
    </row>
    <row r="6" spans="1:10" ht="42.75" customHeight="1">
      <c r="A6" s="4">
        <v>4</v>
      </c>
      <c r="B6" s="4" t="str">
        <f>"225720191216090451223899"</f>
        <v>225720191216090451223899</v>
      </c>
      <c r="C6" s="4" t="s">
        <v>11</v>
      </c>
      <c r="D6" s="4" t="str">
        <f>"郭泽延"</f>
        <v>郭泽延</v>
      </c>
      <c r="E6" s="4" t="str">
        <f t="shared" si="3"/>
        <v>男</v>
      </c>
      <c r="F6" s="4" t="str">
        <f>"1986-09-14"</f>
        <v>1986-09-14</v>
      </c>
      <c r="G6" s="4" t="str">
        <f t="shared" si="0"/>
        <v>本科</v>
      </c>
      <c r="H6" s="4" t="str">
        <f t="shared" si="1"/>
        <v>学士</v>
      </c>
      <c r="I6" s="4" t="str">
        <f>"网络工程"</f>
        <v>网络工程</v>
      </c>
      <c r="J6" s="4" t="str">
        <f>"网络工程师（中级），信息系统管理师（高级）"</f>
        <v>网络工程师（中级），信息系统管理师（高级）</v>
      </c>
    </row>
    <row r="7" spans="1:10" ht="27" customHeight="1">
      <c r="A7" s="4">
        <v>5</v>
      </c>
      <c r="B7" s="4" t="str">
        <f>"225720191216090525223900"</f>
        <v>225720191216090525223900</v>
      </c>
      <c r="C7" s="4" t="s">
        <v>12</v>
      </c>
      <c r="D7" s="4" t="str">
        <f>"何琪"</f>
        <v>何琪</v>
      </c>
      <c r="E7" s="4" t="str">
        <f>"女"</f>
        <v>女</v>
      </c>
      <c r="F7" s="4" t="str">
        <f>"1988-03-11"</f>
        <v>1988-03-11</v>
      </c>
      <c r="G7" s="4" t="str">
        <f t="shared" si="0"/>
        <v>本科</v>
      </c>
      <c r="H7" s="4" t="str">
        <f t="shared" si="1"/>
        <v>学士</v>
      </c>
      <c r="I7" s="4" t="str">
        <f>"汉语言文学"</f>
        <v>汉语言文学</v>
      </c>
      <c r="J7" s="4" t="str">
        <f>"助理工程师"</f>
        <v>助理工程师</v>
      </c>
    </row>
    <row r="8" spans="1:10" ht="27" customHeight="1">
      <c r="A8" s="4">
        <v>6</v>
      </c>
      <c r="B8" s="4" t="str">
        <f>"225720191216090544223902"</f>
        <v>225720191216090544223902</v>
      </c>
      <c r="C8" s="4" t="s">
        <v>12</v>
      </c>
      <c r="D8" s="4" t="str">
        <f>"王妹"</f>
        <v>王妹</v>
      </c>
      <c r="E8" s="4" t="str">
        <f>"女"</f>
        <v>女</v>
      </c>
      <c r="F8" s="4" t="str">
        <f>"1994-06-15"</f>
        <v>1994-06-15</v>
      </c>
      <c r="G8" s="4" t="str">
        <f t="shared" si="0"/>
        <v>本科</v>
      </c>
      <c r="H8" s="4" t="str">
        <f t="shared" si="1"/>
        <v>学士</v>
      </c>
      <c r="I8" s="4" t="str">
        <f>"法学"</f>
        <v>法学</v>
      </c>
      <c r="J8" s="4" t="str">
        <f t="shared" si="2"/>
        <v>无</v>
      </c>
    </row>
    <row r="9" spans="1:10" ht="27" customHeight="1">
      <c r="A9" s="4">
        <v>7</v>
      </c>
      <c r="B9" s="4" t="str">
        <f>"225720191216090643223906"</f>
        <v>225720191216090643223906</v>
      </c>
      <c r="C9" s="4" t="s">
        <v>12</v>
      </c>
      <c r="D9" s="4" t="str">
        <f>"苏远鹏"</f>
        <v>苏远鹏</v>
      </c>
      <c r="E9" s="4" t="str">
        <f t="shared" si="3"/>
        <v>男</v>
      </c>
      <c r="F9" s="4" t="str">
        <f>"1989-01-16"</f>
        <v>1989-01-16</v>
      </c>
      <c r="G9" s="4" t="str">
        <f t="shared" si="0"/>
        <v>本科</v>
      </c>
      <c r="H9" s="4" t="str">
        <f t="shared" si="1"/>
        <v>学士</v>
      </c>
      <c r="I9" s="4" t="str">
        <f>"城市规划"</f>
        <v>城市规划</v>
      </c>
      <c r="J9" s="4" t="str">
        <f>"中级规划工程师"</f>
        <v>中级规划工程师</v>
      </c>
    </row>
    <row r="10" spans="1:10" ht="27" customHeight="1">
      <c r="A10" s="4">
        <v>8</v>
      </c>
      <c r="B10" s="4" t="str">
        <f>"225720191216090737223910"</f>
        <v>225720191216090737223910</v>
      </c>
      <c r="C10" s="4" t="s">
        <v>12</v>
      </c>
      <c r="D10" s="4" t="str">
        <f>"王端活"</f>
        <v>王端活</v>
      </c>
      <c r="E10" s="4" t="str">
        <f t="shared" si="3"/>
        <v>男</v>
      </c>
      <c r="F10" s="4" t="str">
        <f>"1991-03-28"</f>
        <v>1991-03-28</v>
      </c>
      <c r="G10" s="4" t="str">
        <f t="shared" si="0"/>
        <v>本科</v>
      </c>
      <c r="H10" s="4" t="str">
        <f t="shared" si="1"/>
        <v>学士</v>
      </c>
      <c r="I10" s="4" t="str">
        <f>"法学"</f>
        <v>法学</v>
      </c>
      <c r="J10" s="4" t="str">
        <f aca="true" t="shared" si="4" ref="J10:J15">"无"</f>
        <v>无</v>
      </c>
    </row>
    <row r="11" spans="1:10" ht="27" customHeight="1">
      <c r="A11" s="4">
        <v>9</v>
      </c>
      <c r="B11" s="4" t="str">
        <f>"225720191216090758223912"</f>
        <v>225720191216090758223912</v>
      </c>
      <c r="C11" s="4" t="s">
        <v>11</v>
      </c>
      <c r="D11" s="4" t="str">
        <f>"董兴顺"</f>
        <v>董兴顺</v>
      </c>
      <c r="E11" s="4" t="str">
        <f t="shared" si="3"/>
        <v>男</v>
      </c>
      <c r="F11" s="4" t="str">
        <f>"1996-10-29"</f>
        <v>1996-10-29</v>
      </c>
      <c r="G11" s="4" t="str">
        <f t="shared" si="0"/>
        <v>本科</v>
      </c>
      <c r="H11" s="4" t="str">
        <f t="shared" si="1"/>
        <v>学士</v>
      </c>
      <c r="I11" s="4" t="str">
        <f>"通信工程"</f>
        <v>通信工程</v>
      </c>
      <c r="J11" s="4" t="str">
        <f>"通信专业技术人员职业资格初级"</f>
        <v>通信专业技术人员职业资格初级</v>
      </c>
    </row>
    <row r="12" spans="1:10" ht="27" customHeight="1">
      <c r="A12" s="4">
        <v>10</v>
      </c>
      <c r="B12" s="4" t="str">
        <f>"225720191216090916223917"</f>
        <v>225720191216090916223917</v>
      </c>
      <c r="C12" s="4" t="s">
        <v>12</v>
      </c>
      <c r="D12" s="4" t="str">
        <f>"梁迪鹏"</f>
        <v>梁迪鹏</v>
      </c>
      <c r="E12" s="4" t="str">
        <f t="shared" si="3"/>
        <v>男</v>
      </c>
      <c r="F12" s="4" t="str">
        <f>"1994-12-09"</f>
        <v>1994-12-09</v>
      </c>
      <c r="G12" s="4" t="str">
        <f t="shared" si="0"/>
        <v>本科</v>
      </c>
      <c r="H12" s="4" t="str">
        <f t="shared" si="1"/>
        <v>学士</v>
      </c>
      <c r="I12" s="4" t="str">
        <f>"法学"</f>
        <v>法学</v>
      </c>
      <c r="J12" s="4" t="str">
        <f t="shared" si="4"/>
        <v>无</v>
      </c>
    </row>
    <row r="13" spans="1:10" ht="27" customHeight="1">
      <c r="A13" s="4">
        <v>11</v>
      </c>
      <c r="B13" s="4" t="str">
        <f>"225720191216090925223918"</f>
        <v>225720191216090925223918</v>
      </c>
      <c r="C13" s="4" t="s">
        <v>12</v>
      </c>
      <c r="D13" s="4" t="str">
        <f>"林瑞桃"</f>
        <v>林瑞桃</v>
      </c>
      <c r="E13" s="4" t="str">
        <f aca="true" t="shared" si="5" ref="E13:E22">"女"</f>
        <v>女</v>
      </c>
      <c r="F13" s="4" t="str">
        <f>"1995-03-14"</f>
        <v>1995-03-14</v>
      </c>
      <c r="G13" s="4" t="str">
        <f t="shared" si="0"/>
        <v>本科</v>
      </c>
      <c r="H13" s="4" t="str">
        <f t="shared" si="1"/>
        <v>学士</v>
      </c>
      <c r="I13" s="4" t="str">
        <f aca="true" t="shared" si="6" ref="I13:I18">"汉语言文学"</f>
        <v>汉语言文学</v>
      </c>
      <c r="J13" s="4" t="str">
        <f t="shared" si="4"/>
        <v>无</v>
      </c>
    </row>
    <row r="14" spans="1:10" ht="27" customHeight="1">
      <c r="A14" s="4">
        <v>12</v>
      </c>
      <c r="B14" s="4" t="str">
        <f>"225720191216091004223921"</f>
        <v>225720191216091004223921</v>
      </c>
      <c r="C14" s="4" t="s">
        <v>12</v>
      </c>
      <c r="D14" s="4" t="str">
        <f>"林浩翔"</f>
        <v>林浩翔</v>
      </c>
      <c r="E14" s="4" t="str">
        <f>"男"</f>
        <v>男</v>
      </c>
      <c r="F14" s="4" t="str">
        <f>"1995-07-15"</f>
        <v>1995-07-15</v>
      </c>
      <c r="G14" s="4" t="str">
        <f t="shared" si="0"/>
        <v>本科</v>
      </c>
      <c r="H14" s="4" t="str">
        <f t="shared" si="1"/>
        <v>学士</v>
      </c>
      <c r="I14" s="4" t="str">
        <f>"人文地理与城乡规划"</f>
        <v>人文地理与城乡规划</v>
      </c>
      <c r="J14" s="4" t="str">
        <f t="shared" si="4"/>
        <v>无</v>
      </c>
    </row>
    <row r="15" spans="1:10" ht="27" customHeight="1">
      <c r="A15" s="4">
        <v>13</v>
      </c>
      <c r="B15" s="4" t="str">
        <f>"225720191216091013223922"</f>
        <v>225720191216091013223922</v>
      </c>
      <c r="C15" s="4" t="s">
        <v>12</v>
      </c>
      <c r="D15" s="4" t="str">
        <f>"李妙"</f>
        <v>李妙</v>
      </c>
      <c r="E15" s="4" t="str">
        <f t="shared" si="5"/>
        <v>女</v>
      </c>
      <c r="F15" s="4" t="str">
        <f>"1993-03-28"</f>
        <v>1993-03-28</v>
      </c>
      <c r="G15" s="4" t="str">
        <f t="shared" si="0"/>
        <v>本科</v>
      </c>
      <c r="H15" s="4" t="str">
        <f t="shared" si="1"/>
        <v>学士</v>
      </c>
      <c r="I15" s="4" t="str">
        <f>"土地资源管理"</f>
        <v>土地资源管理</v>
      </c>
      <c r="J15" s="4" t="str">
        <f t="shared" si="4"/>
        <v>无</v>
      </c>
    </row>
    <row r="16" spans="1:10" ht="27" customHeight="1">
      <c r="A16" s="4">
        <v>14</v>
      </c>
      <c r="B16" s="4" t="str">
        <f>"225720191216091059223924"</f>
        <v>225720191216091059223924</v>
      </c>
      <c r="C16" s="4" t="s">
        <v>14</v>
      </c>
      <c r="D16" s="4" t="str">
        <f>"王盛兴"</f>
        <v>王盛兴</v>
      </c>
      <c r="E16" s="4" t="str">
        <f>"男"</f>
        <v>男</v>
      </c>
      <c r="F16" s="4" t="str">
        <f>"1990-05-22"</f>
        <v>1990-05-22</v>
      </c>
      <c r="G16" s="4" t="str">
        <f t="shared" si="0"/>
        <v>本科</v>
      </c>
      <c r="H16" s="4" t="str">
        <f t="shared" si="1"/>
        <v>学士</v>
      </c>
      <c r="I16" s="4" t="str">
        <f>"遥感科学与技术"</f>
        <v>遥感科学与技术</v>
      </c>
      <c r="J16" s="4" t="str">
        <f>"助理工程师"</f>
        <v>助理工程师</v>
      </c>
    </row>
    <row r="17" spans="1:10" ht="27" customHeight="1">
      <c r="A17" s="4">
        <v>15</v>
      </c>
      <c r="B17" s="4" t="str">
        <f>"225720191216091346223935"</f>
        <v>225720191216091346223935</v>
      </c>
      <c r="C17" s="4" t="s">
        <v>12</v>
      </c>
      <c r="D17" s="4" t="str">
        <f>"翁晓娟"</f>
        <v>翁晓娟</v>
      </c>
      <c r="E17" s="4" t="str">
        <f t="shared" si="5"/>
        <v>女</v>
      </c>
      <c r="F17" s="4" t="str">
        <f>"1990-07-04"</f>
        <v>1990-07-04</v>
      </c>
      <c r="G17" s="4" t="str">
        <f t="shared" si="0"/>
        <v>本科</v>
      </c>
      <c r="H17" s="4" t="str">
        <f t="shared" si="1"/>
        <v>学士</v>
      </c>
      <c r="I17" s="4" t="str">
        <f t="shared" si="6"/>
        <v>汉语言文学</v>
      </c>
      <c r="J17" s="4" t="str">
        <f aca="true" t="shared" si="7" ref="J17:J29">"无"</f>
        <v>无</v>
      </c>
    </row>
    <row r="18" spans="1:10" ht="27" customHeight="1">
      <c r="A18" s="4">
        <v>16</v>
      </c>
      <c r="B18" s="4" t="str">
        <f>"225720191216091347223936"</f>
        <v>225720191216091347223936</v>
      </c>
      <c r="C18" s="4" t="s">
        <v>12</v>
      </c>
      <c r="D18" s="4" t="str">
        <f>"郑倩钰"</f>
        <v>郑倩钰</v>
      </c>
      <c r="E18" s="4" t="str">
        <f t="shared" si="5"/>
        <v>女</v>
      </c>
      <c r="F18" s="4" t="str">
        <f>"1997-01-22"</f>
        <v>1997-01-22</v>
      </c>
      <c r="G18" s="4" t="str">
        <f t="shared" si="0"/>
        <v>本科</v>
      </c>
      <c r="H18" s="4" t="str">
        <f t="shared" si="1"/>
        <v>学士</v>
      </c>
      <c r="I18" s="4" t="str">
        <f t="shared" si="6"/>
        <v>汉语言文学</v>
      </c>
      <c r="J18" s="4" t="str">
        <f t="shared" si="7"/>
        <v>无</v>
      </c>
    </row>
    <row r="19" spans="1:10" ht="27" customHeight="1">
      <c r="A19" s="4">
        <v>17</v>
      </c>
      <c r="B19" s="4" t="str">
        <f>"225720191216091612223947"</f>
        <v>225720191216091612223947</v>
      </c>
      <c r="C19" s="4" t="s">
        <v>12</v>
      </c>
      <c r="D19" s="4" t="str">
        <f>"饶芳"</f>
        <v>饶芳</v>
      </c>
      <c r="E19" s="4" t="str">
        <f t="shared" si="5"/>
        <v>女</v>
      </c>
      <c r="F19" s="4" t="str">
        <f>"1993-12-16"</f>
        <v>1993-12-16</v>
      </c>
      <c r="G19" s="4" t="str">
        <f t="shared" si="0"/>
        <v>本科</v>
      </c>
      <c r="H19" s="4" t="str">
        <f t="shared" si="1"/>
        <v>学士</v>
      </c>
      <c r="I19" s="4" t="str">
        <f>"法学"</f>
        <v>法学</v>
      </c>
      <c r="J19" s="4" t="str">
        <f t="shared" si="7"/>
        <v>无</v>
      </c>
    </row>
    <row r="20" spans="1:10" ht="27" customHeight="1">
      <c r="A20" s="4">
        <v>18</v>
      </c>
      <c r="B20" s="4" t="str">
        <f>"225720191216091737223951"</f>
        <v>225720191216091737223951</v>
      </c>
      <c r="C20" s="4" t="s">
        <v>12</v>
      </c>
      <c r="D20" s="4" t="str">
        <f>"董淑心"</f>
        <v>董淑心</v>
      </c>
      <c r="E20" s="4" t="str">
        <f t="shared" si="5"/>
        <v>女</v>
      </c>
      <c r="F20" s="4" t="str">
        <f>"1995-01-11"</f>
        <v>1995-01-11</v>
      </c>
      <c r="G20" s="4" t="str">
        <f t="shared" si="0"/>
        <v>本科</v>
      </c>
      <c r="H20" s="4" t="str">
        <f t="shared" si="1"/>
        <v>学士</v>
      </c>
      <c r="I20" s="4" t="str">
        <f>"城乡规划"</f>
        <v>城乡规划</v>
      </c>
      <c r="J20" s="4" t="str">
        <f t="shared" si="7"/>
        <v>无</v>
      </c>
    </row>
    <row r="21" spans="1:10" ht="27" customHeight="1">
      <c r="A21" s="4">
        <v>19</v>
      </c>
      <c r="B21" s="4" t="str">
        <f>"225720191216091910223956"</f>
        <v>225720191216091910223956</v>
      </c>
      <c r="C21" s="4" t="s">
        <v>12</v>
      </c>
      <c r="D21" s="4" t="str">
        <f>"邵婷婷"</f>
        <v>邵婷婷</v>
      </c>
      <c r="E21" s="4" t="str">
        <f t="shared" si="5"/>
        <v>女</v>
      </c>
      <c r="F21" s="4" t="str">
        <f>"1996-03-05"</f>
        <v>1996-03-05</v>
      </c>
      <c r="G21" s="4" t="str">
        <f t="shared" si="0"/>
        <v>本科</v>
      </c>
      <c r="H21" s="4" t="str">
        <f>"无"</f>
        <v>无</v>
      </c>
      <c r="I21" s="4" t="str">
        <f>"人文地理与城乡规划"</f>
        <v>人文地理与城乡规划</v>
      </c>
      <c r="J21" s="4" t="str">
        <f t="shared" si="7"/>
        <v>无</v>
      </c>
    </row>
    <row r="22" spans="1:10" ht="27" customHeight="1">
      <c r="A22" s="4">
        <v>20</v>
      </c>
      <c r="B22" s="4" t="str">
        <f>"225720191216091940223958"</f>
        <v>225720191216091940223958</v>
      </c>
      <c r="C22" s="4" t="s">
        <v>15</v>
      </c>
      <c r="D22" s="4" t="str">
        <f>"刘青敏"</f>
        <v>刘青敏</v>
      </c>
      <c r="E22" s="4" t="str">
        <f t="shared" si="5"/>
        <v>女</v>
      </c>
      <c r="F22" s="4" t="str">
        <f>"1997-08-29"</f>
        <v>1997-08-29</v>
      </c>
      <c r="G22" s="4" t="str">
        <f t="shared" si="0"/>
        <v>本科</v>
      </c>
      <c r="H22" s="4" t="str">
        <f>"学士"</f>
        <v>学士</v>
      </c>
      <c r="I22" s="4" t="str">
        <f>"测绘工程"</f>
        <v>测绘工程</v>
      </c>
      <c r="J22" s="4" t="str">
        <f t="shared" si="7"/>
        <v>无</v>
      </c>
    </row>
    <row r="23" spans="1:10" ht="27" customHeight="1">
      <c r="A23" s="4">
        <v>21</v>
      </c>
      <c r="B23" s="4" t="str">
        <f>"225720191216092002223960"</f>
        <v>225720191216092002223960</v>
      </c>
      <c r="C23" s="4" t="s">
        <v>12</v>
      </c>
      <c r="D23" s="4" t="str">
        <f>"蔡於良"</f>
        <v>蔡於良</v>
      </c>
      <c r="E23" s="4" t="str">
        <f>"男"</f>
        <v>男</v>
      </c>
      <c r="F23" s="4" t="str">
        <f>"1993-12-05"</f>
        <v>1993-12-05</v>
      </c>
      <c r="G23" s="4" t="str">
        <f t="shared" si="0"/>
        <v>本科</v>
      </c>
      <c r="H23" s="4" t="str">
        <f>"学士"</f>
        <v>学士</v>
      </c>
      <c r="I23" s="4" t="str">
        <f>"汉语言文学"</f>
        <v>汉语言文学</v>
      </c>
      <c r="J23" s="4" t="str">
        <f t="shared" si="7"/>
        <v>无</v>
      </c>
    </row>
    <row r="24" spans="1:10" ht="27" customHeight="1">
      <c r="A24" s="4">
        <v>22</v>
      </c>
      <c r="B24" s="4" t="str">
        <f>"225720191216092126223962"</f>
        <v>225720191216092126223962</v>
      </c>
      <c r="C24" s="4" t="s">
        <v>13</v>
      </c>
      <c r="D24" s="4" t="str">
        <f>"陈坚"</f>
        <v>陈坚</v>
      </c>
      <c r="E24" s="4" t="str">
        <f aca="true" t="shared" si="8" ref="E24:E29">"女"</f>
        <v>女</v>
      </c>
      <c r="F24" s="4" t="str">
        <f>"1994-12-25"</f>
        <v>1994-12-25</v>
      </c>
      <c r="G24" s="4" t="str">
        <f t="shared" si="0"/>
        <v>本科</v>
      </c>
      <c r="H24" s="4" t="str">
        <f>"学士"</f>
        <v>学士</v>
      </c>
      <c r="I24" s="4" t="str">
        <f>"新闻学"</f>
        <v>新闻学</v>
      </c>
      <c r="J24" s="4" t="str">
        <f t="shared" si="7"/>
        <v>无</v>
      </c>
    </row>
    <row r="25" spans="1:10" ht="27" customHeight="1">
      <c r="A25" s="4">
        <v>23</v>
      </c>
      <c r="B25" s="4" t="str">
        <f>"225720191216092552223975"</f>
        <v>225720191216092552223975</v>
      </c>
      <c r="C25" s="4" t="s">
        <v>12</v>
      </c>
      <c r="D25" s="4" t="str">
        <f>"迟越男"</f>
        <v>迟越男</v>
      </c>
      <c r="E25" s="4" t="str">
        <f t="shared" si="8"/>
        <v>女</v>
      </c>
      <c r="F25" s="4" t="str">
        <f>"1993-02-21"</f>
        <v>1993-02-21</v>
      </c>
      <c r="G25" s="4" t="str">
        <f t="shared" si="0"/>
        <v>本科</v>
      </c>
      <c r="H25" s="4" t="str">
        <f>"学士"</f>
        <v>学士</v>
      </c>
      <c r="I25" s="4" t="str">
        <f>"汉语言文学"</f>
        <v>汉语言文学</v>
      </c>
      <c r="J25" s="4" t="str">
        <f t="shared" si="7"/>
        <v>无</v>
      </c>
    </row>
    <row r="26" spans="1:10" ht="27" customHeight="1">
      <c r="A26" s="4">
        <v>24</v>
      </c>
      <c r="B26" s="4" t="str">
        <f>"225720191216092608223976"</f>
        <v>225720191216092608223976</v>
      </c>
      <c r="C26" s="4" t="s">
        <v>16</v>
      </c>
      <c r="D26" s="4" t="str">
        <f>"李依纯"</f>
        <v>李依纯</v>
      </c>
      <c r="E26" s="4" t="str">
        <f t="shared" si="8"/>
        <v>女</v>
      </c>
      <c r="F26" s="4" t="str">
        <f>"1994-02-09"</f>
        <v>1994-02-09</v>
      </c>
      <c r="G26" s="4" t="str">
        <f t="shared" si="0"/>
        <v>本科</v>
      </c>
      <c r="H26" s="4" t="str">
        <f>"学士"</f>
        <v>学士</v>
      </c>
      <c r="I26" s="4" t="str">
        <f>"资源环境与城乡规划管理"</f>
        <v>资源环境与城乡规划管理</v>
      </c>
      <c r="J26" s="4" t="str">
        <f t="shared" si="7"/>
        <v>无</v>
      </c>
    </row>
    <row r="27" spans="1:10" ht="27" customHeight="1">
      <c r="A27" s="4">
        <v>25</v>
      </c>
      <c r="B27" s="4" t="str">
        <f>"225720191216092745223981"</f>
        <v>225720191216092745223981</v>
      </c>
      <c r="C27" s="4" t="s">
        <v>17</v>
      </c>
      <c r="D27" s="4" t="str">
        <f>"刘芝京"</f>
        <v>刘芝京</v>
      </c>
      <c r="E27" s="4" t="str">
        <f t="shared" si="8"/>
        <v>女</v>
      </c>
      <c r="F27" s="4" t="str">
        <f>"1987-12-05"</f>
        <v>1987-12-05</v>
      </c>
      <c r="G27" s="4" t="str">
        <f>"研究生"</f>
        <v>研究生</v>
      </c>
      <c r="H27" s="4" t="str">
        <f>"硕士"</f>
        <v>硕士</v>
      </c>
      <c r="I27" s="4" t="str">
        <f>"计算机应用技术"</f>
        <v>计算机应用技术</v>
      </c>
      <c r="J27" s="4" t="str">
        <f t="shared" si="7"/>
        <v>无</v>
      </c>
    </row>
    <row r="28" spans="1:10" ht="27" customHeight="1">
      <c r="A28" s="4">
        <v>26</v>
      </c>
      <c r="B28" s="4" t="str">
        <f>"225720191216093102223987"</f>
        <v>225720191216093102223987</v>
      </c>
      <c r="C28" s="4" t="s">
        <v>13</v>
      </c>
      <c r="D28" s="4" t="str">
        <f>"刘萍"</f>
        <v>刘萍</v>
      </c>
      <c r="E28" s="4" t="str">
        <f t="shared" si="8"/>
        <v>女</v>
      </c>
      <c r="F28" s="4" t="str">
        <f>"1988-10-01"</f>
        <v>1988-10-01</v>
      </c>
      <c r="G28" s="4" t="str">
        <f>"本科"</f>
        <v>本科</v>
      </c>
      <c r="H28" s="4" t="str">
        <f>"学士"</f>
        <v>学士</v>
      </c>
      <c r="I28" s="4" t="str">
        <f>"新闻学"</f>
        <v>新闻学</v>
      </c>
      <c r="J28" s="4" t="str">
        <f t="shared" si="7"/>
        <v>无</v>
      </c>
    </row>
    <row r="29" spans="1:10" ht="27" customHeight="1">
      <c r="A29" s="4">
        <v>27</v>
      </c>
      <c r="B29" s="4" t="str">
        <f>"225720191216093157223991"</f>
        <v>225720191216093157223991</v>
      </c>
      <c r="C29" s="4" t="s">
        <v>12</v>
      </c>
      <c r="D29" s="4" t="str">
        <f>"林嘉敏"</f>
        <v>林嘉敏</v>
      </c>
      <c r="E29" s="4" t="str">
        <f t="shared" si="8"/>
        <v>女</v>
      </c>
      <c r="F29" s="4" t="str">
        <f>"1996-05-15"</f>
        <v>1996-05-15</v>
      </c>
      <c r="G29" s="4" t="str">
        <f>"本科"</f>
        <v>本科</v>
      </c>
      <c r="H29" s="4" t="str">
        <f>"学士"</f>
        <v>学士</v>
      </c>
      <c r="I29" s="4" t="str">
        <f>"汉语言文学专业"</f>
        <v>汉语言文学专业</v>
      </c>
      <c r="J29" s="4" t="str">
        <f t="shared" si="7"/>
        <v>无</v>
      </c>
    </row>
    <row r="30" spans="1:10" ht="27" customHeight="1">
      <c r="A30" s="4">
        <v>28</v>
      </c>
      <c r="B30" s="4" t="str">
        <f>"225720191216093529224005"</f>
        <v>225720191216093529224005</v>
      </c>
      <c r="C30" s="4" t="s">
        <v>16</v>
      </c>
      <c r="D30" s="4" t="str">
        <f>"王台武"</f>
        <v>王台武</v>
      </c>
      <c r="E30" s="4" t="str">
        <f>"男"</f>
        <v>男</v>
      </c>
      <c r="F30" s="4" t="str">
        <f>"1985-07-07"</f>
        <v>1985-07-07</v>
      </c>
      <c r="G30" s="4" t="str">
        <f>"本科"</f>
        <v>本科</v>
      </c>
      <c r="H30" s="4" t="str">
        <f>"学士"</f>
        <v>学士</v>
      </c>
      <c r="I30" s="4" t="str">
        <f>"地理信息系统"</f>
        <v>地理信息系统</v>
      </c>
      <c r="J30" s="4" t="str">
        <f>"工程师"</f>
        <v>工程师</v>
      </c>
    </row>
    <row r="31" spans="1:10" ht="27" customHeight="1">
      <c r="A31" s="4">
        <v>29</v>
      </c>
      <c r="B31" s="4" t="str">
        <f>"225720191216094014224022"</f>
        <v>225720191216094014224022</v>
      </c>
      <c r="C31" s="4" t="s">
        <v>17</v>
      </c>
      <c r="D31" s="4" t="str">
        <f>"郑春"</f>
        <v>郑春</v>
      </c>
      <c r="E31" s="4" t="str">
        <f>"男"</f>
        <v>男</v>
      </c>
      <c r="F31" s="4" t="str">
        <f>"1986-10-12"</f>
        <v>1986-10-12</v>
      </c>
      <c r="G31" s="4" t="str">
        <f>"本科"</f>
        <v>本科</v>
      </c>
      <c r="H31" s="4" t="str">
        <f>"无"</f>
        <v>无</v>
      </c>
      <c r="I31" s="4" t="str">
        <f>"计算机科学与技术"</f>
        <v>计算机科学与技术</v>
      </c>
      <c r="J31" s="4" t="str">
        <f>"高级专员"</f>
        <v>高级专员</v>
      </c>
    </row>
    <row r="32" spans="1:10" ht="27" customHeight="1">
      <c r="A32" s="4">
        <v>30</v>
      </c>
      <c r="B32" s="4" t="str">
        <f>"225720191216094101224024"</f>
        <v>225720191216094101224024</v>
      </c>
      <c r="C32" s="4" t="s">
        <v>16</v>
      </c>
      <c r="D32" s="4" t="str">
        <f>"王樱桥"</f>
        <v>王樱桥</v>
      </c>
      <c r="E32" s="4" t="str">
        <f>"女"</f>
        <v>女</v>
      </c>
      <c r="F32" s="4" t="str">
        <f>"1993-01-25"</f>
        <v>1993-01-25</v>
      </c>
      <c r="G32" s="4" t="str">
        <f>"研究生"</f>
        <v>研究生</v>
      </c>
      <c r="H32" s="4" t="str">
        <f>"硕士"</f>
        <v>硕士</v>
      </c>
      <c r="I32" s="4" t="str">
        <f>"地理信息系统"</f>
        <v>地理信息系统</v>
      </c>
      <c r="J32" s="4" t="str">
        <f>"无"</f>
        <v>无</v>
      </c>
    </row>
    <row r="33" spans="1:10" ht="27" customHeight="1">
      <c r="A33" s="4">
        <v>31</v>
      </c>
      <c r="B33" s="4" t="str">
        <f>"225720191216094244224027"</f>
        <v>225720191216094244224027</v>
      </c>
      <c r="C33" s="4" t="s">
        <v>17</v>
      </c>
      <c r="D33" s="4" t="str">
        <f>"关舜聪"</f>
        <v>关舜聪</v>
      </c>
      <c r="E33" s="4" t="str">
        <f>"男"</f>
        <v>男</v>
      </c>
      <c r="F33" s="4" t="str">
        <f>"1984-07-12"</f>
        <v>1984-07-12</v>
      </c>
      <c r="G33" s="4" t="str">
        <f aca="true" t="shared" si="9" ref="G33:G85">"本科"</f>
        <v>本科</v>
      </c>
      <c r="H33" s="4" t="str">
        <f>"无"</f>
        <v>无</v>
      </c>
      <c r="I33" s="4" t="str">
        <f>"计算机科学与技术"</f>
        <v>计算机科学与技术</v>
      </c>
      <c r="J33" s="4" t="str">
        <f>"无"</f>
        <v>无</v>
      </c>
    </row>
    <row r="34" spans="1:10" ht="27" customHeight="1">
      <c r="A34" s="4">
        <v>32</v>
      </c>
      <c r="B34" s="4" t="str">
        <f>"225720191216094329224029"</f>
        <v>225720191216094329224029</v>
      </c>
      <c r="C34" s="4" t="s">
        <v>12</v>
      </c>
      <c r="D34" s="4" t="str">
        <f>"李德丽"</f>
        <v>李德丽</v>
      </c>
      <c r="E34" s="4" t="str">
        <f aca="true" t="shared" si="10" ref="E34:E40">"女"</f>
        <v>女</v>
      </c>
      <c r="F34" s="4" t="str">
        <f>"1994-10-02"</f>
        <v>1994-10-02</v>
      </c>
      <c r="G34" s="4" t="str">
        <f t="shared" si="9"/>
        <v>本科</v>
      </c>
      <c r="H34" s="4" t="str">
        <f aca="true" t="shared" si="11" ref="H34:H85">"学士"</f>
        <v>学士</v>
      </c>
      <c r="I34" s="4" t="str">
        <f>"人文地理与城乡规划"</f>
        <v>人文地理与城乡规划</v>
      </c>
      <c r="J34" s="4" t="str">
        <f>"无"</f>
        <v>无</v>
      </c>
    </row>
    <row r="35" spans="1:10" ht="27" customHeight="1">
      <c r="A35" s="4">
        <v>33</v>
      </c>
      <c r="B35" s="4" t="str">
        <f>"225720191216094436224033"</f>
        <v>225720191216094436224033</v>
      </c>
      <c r="C35" s="4" t="s">
        <v>12</v>
      </c>
      <c r="D35" s="4" t="str">
        <f>"陈永奇"</f>
        <v>陈永奇</v>
      </c>
      <c r="E35" s="4" t="str">
        <f>"男"</f>
        <v>男</v>
      </c>
      <c r="F35" s="4" t="str">
        <f>"1998-12-20"</f>
        <v>1998-12-20</v>
      </c>
      <c r="G35" s="4" t="str">
        <f t="shared" si="9"/>
        <v>本科</v>
      </c>
      <c r="H35" s="4" t="str">
        <f t="shared" si="11"/>
        <v>学士</v>
      </c>
      <c r="I35" s="4" t="str">
        <f>"法学"</f>
        <v>法学</v>
      </c>
      <c r="J35" s="4" t="str">
        <f>"无"</f>
        <v>无</v>
      </c>
    </row>
    <row r="36" spans="1:10" ht="27" customHeight="1">
      <c r="A36" s="4">
        <v>34</v>
      </c>
      <c r="B36" s="4" t="str">
        <f>"225720191216094606224039"</f>
        <v>225720191216094606224039</v>
      </c>
      <c r="C36" s="4" t="s">
        <v>12</v>
      </c>
      <c r="D36" s="4" t="str">
        <f>"黄聪天"</f>
        <v>黄聪天</v>
      </c>
      <c r="E36" s="4" t="str">
        <f>"男"</f>
        <v>男</v>
      </c>
      <c r="F36" s="4" t="str">
        <f>"1997-06-03"</f>
        <v>1997-06-03</v>
      </c>
      <c r="G36" s="4" t="str">
        <f t="shared" si="9"/>
        <v>本科</v>
      </c>
      <c r="H36" s="4" t="str">
        <f t="shared" si="11"/>
        <v>学士</v>
      </c>
      <c r="I36" s="4" t="str">
        <f>"法学专业"</f>
        <v>法学专业</v>
      </c>
      <c r="J36" s="4" t="str">
        <f>"无"</f>
        <v>无</v>
      </c>
    </row>
    <row r="37" spans="1:10" ht="27" customHeight="1">
      <c r="A37" s="4">
        <v>35</v>
      </c>
      <c r="B37" s="4" t="str">
        <f>"225720191216094623224040"</f>
        <v>225720191216094623224040</v>
      </c>
      <c r="C37" s="4" t="s">
        <v>15</v>
      </c>
      <c r="D37" s="4" t="str">
        <f>"周蔚蓝"</f>
        <v>周蔚蓝</v>
      </c>
      <c r="E37" s="4" t="str">
        <f>"男"</f>
        <v>男</v>
      </c>
      <c r="F37" s="4" t="str">
        <f>"1992-12-15"</f>
        <v>1992-12-15</v>
      </c>
      <c r="G37" s="4" t="str">
        <f t="shared" si="9"/>
        <v>本科</v>
      </c>
      <c r="H37" s="4" t="str">
        <f t="shared" si="11"/>
        <v>学士</v>
      </c>
      <c r="I37" s="4" t="str">
        <f>"土地资源管理"</f>
        <v>土地资源管理</v>
      </c>
      <c r="J37" s="4" t="str">
        <f>"助理工程师"</f>
        <v>助理工程师</v>
      </c>
    </row>
    <row r="38" spans="1:10" ht="27" customHeight="1">
      <c r="A38" s="4">
        <v>36</v>
      </c>
      <c r="B38" s="4" t="str">
        <f>"225720191216095035224056"</f>
        <v>225720191216095035224056</v>
      </c>
      <c r="C38" s="4" t="s">
        <v>11</v>
      </c>
      <c r="D38" s="4" t="str">
        <f>"陈润华"</f>
        <v>陈润华</v>
      </c>
      <c r="E38" s="4" t="str">
        <f t="shared" si="10"/>
        <v>女</v>
      </c>
      <c r="F38" s="4" t="str">
        <f>"1995-07-25"</f>
        <v>1995-07-25</v>
      </c>
      <c r="G38" s="4" t="str">
        <f t="shared" si="9"/>
        <v>本科</v>
      </c>
      <c r="H38" s="4" t="str">
        <f t="shared" si="11"/>
        <v>学士</v>
      </c>
      <c r="I38" s="4" t="str">
        <f>"计算机科学与技术"</f>
        <v>计算机科学与技术</v>
      </c>
      <c r="J38" s="4" t="str">
        <f>"无"</f>
        <v>无</v>
      </c>
    </row>
    <row r="39" spans="1:10" ht="27" customHeight="1">
      <c r="A39" s="4">
        <v>37</v>
      </c>
      <c r="B39" s="4" t="str">
        <f>"225720191216095106224058"</f>
        <v>225720191216095106224058</v>
      </c>
      <c r="C39" s="4" t="s">
        <v>12</v>
      </c>
      <c r="D39" s="4" t="str">
        <f>"李远飞"</f>
        <v>李远飞</v>
      </c>
      <c r="E39" s="4" t="str">
        <f t="shared" si="10"/>
        <v>女</v>
      </c>
      <c r="F39" s="4" t="str">
        <f>"1986-04-09"</f>
        <v>1986-04-09</v>
      </c>
      <c r="G39" s="4" t="str">
        <f t="shared" si="9"/>
        <v>本科</v>
      </c>
      <c r="H39" s="4" t="str">
        <f t="shared" si="11"/>
        <v>学士</v>
      </c>
      <c r="I39" s="4" t="str">
        <f>"法学、金融学"</f>
        <v>法学、金融学</v>
      </c>
      <c r="J39" s="4" t="str">
        <f>"审计师"</f>
        <v>审计师</v>
      </c>
    </row>
    <row r="40" spans="1:10" ht="27" customHeight="1">
      <c r="A40" s="4">
        <v>38</v>
      </c>
      <c r="B40" s="4" t="str">
        <f>"225720191216095326224069"</f>
        <v>225720191216095326224069</v>
      </c>
      <c r="C40" s="4" t="s">
        <v>17</v>
      </c>
      <c r="D40" s="4" t="str">
        <f>"符致慧"</f>
        <v>符致慧</v>
      </c>
      <c r="E40" s="4" t="str">
        <f t="shared" si="10"/>
        <v>女</v>
      </c>
      <c r="F40" s="4" t="str">
        <f>"1986-04-11"</f>
        <v>1986-04-11</v>
      </c>
      <c r="G40" s="4" t="str">
        <f t="shared" si="9"/>
        <v>本科</v>
      </c>
      <c r="H40" s="4" t="str">
        <f t="shared" si="11"/>
        <v>学士</v>
      </c>
      <c r="I40" s="4" t="str">
        <f>"计算机科学与技术"</f>
        <v>计算机科学与技术</v>
      </c>
      <c r="J40" s="4" t="str">
        <f>"助理工程师"</f>
        <v>助理工程师</v>
      </c>
    </row>
    <row r="41" spans="1:10" ht="27" customHeight="1">
      <c r="A41" s="4">
        <v>39</v>
      </c>
      <c r="B41" s="4" t="str">
        <f>"225720191216095801224085"</f>
        <v>225720191216095801224085</v>
      </c>
      <c r="C41" s="4" t="s">
        <v>11</v>
      </c>
      <c r="D41" s="4" t="str">
        <f>"邢益韬"</f>
        <v>邢益韬</v>
      </c>
      <c r="E41" s="4" t="str">
        <f>"男"</f>
        <v>男</v>
      </c>
      <c r="F41" s="4" t="str">
        <f>"1992-11-22"</f>
        <v>1992-11-22</v>
      </c>
      <c r="G41" s="4" t="str">
        <f t="shared" si="9"/>
        <v>本科</v>
      </c>
      <c r="H41" s="4" t="str">
        <f t="shared" si="11"/>
        <v>学士</v>
      </c>
      <c r="I41" s="4" t="str">
        <f>"通信工程"</f>
        <v>通信工程</v>
      </c>
      <c r="J41" s="4" t="str">
        <f>"无"</f>
        <v>无</v>
      </c>
    </row>
    <row r="42" spans="1:10" ht="27" customHeight="1">
      <c r="A42" s="4">
        <v>40</v>
      </c>
      <c r="B42" s="4" t="str">
        <f>"225720191216095909224087"</f>
        <v>225720191216095909224087</v>
      </c>
      <c r="C42" s="4" t="s">
        <v>12</v>
      </c>
      <c r="D42" s="4" t="str">
        <f>"陈小琴"</f>
        <v>陈小琴</v>
      </c>
      <c r="E42" s="4" t="str">
        <f aca="true" t="shared" si="12" ref="E42:E49">"女"</f>
        <v>女</v>
      </c>
      <c r="F42" s="4" t="str">
        <f>"1992-12-09"</f>
        <v>1992-12-09</v>
      </c>
      <c r="G42" s="4" t="str">
        <f t="shared" si="9"/>
        <v>本科</v>
      </c>
      <c r="H42" s="4" t="str">
        <f t="shared" si="11"/>
        <v>学士</v>
      </c>
      <c r="I42" s="4" t="str">
        <f aca="true" t="shared" si="13" ref="I42:I47">"汉语言文学"</f>
        <v>汉语言文学</v>
      </c>
      <c r="J42" s="4" t="str">
        <f>"无"</f>
        <v>无</v>
      </c>
    </row>
    <row r="43" spans="1:10" ht="27" customHeight="1">
      <c r="A43" s="4">
        <v>41</v>
      </c>
      <c r="B43" s="4" t="str">
        <f>"225720191216095930224090"</f>
        <v>225720191216095930224090</v>
      </c>
      <c r="C43" s="4" t="s">
        <v>18</v>
      </c>
      <c r="D43" s="4" t="str">
        <f>"朱宇婷"</f>
        <v>朱宇婷</v>
      </c>
      <c r="E43" s="4" t="str">
        <f t="shared" si="12"/>
        <v>女</v>
      </c>
      <c r="F43" s="4" t="str">
        <f>"1992-05-07"</f>
        <v>1992-05-07</v>
      </c>
      <c r="G43" s="4" t="str">
        <f t="shared" si="9"/>
        <v>本科</v>
      </c>
      <c r="H43" s="4" t="str">
        <f t="shared" si="11"/>
        <v>学士</v>
      </c>
      <c r="I43" s="4" t="str">
        <f>"会计学"</f>
        <v>会计学</v>
      </c>
      <c r="J43" s="4" t="str">
        <f>"初级会计师"</f>
        <v>初级会计师</v>
      </c>
    </row>
    <row r="44" spans="1:10" ht="27" customHeight="1">
      <c r="A44" s="4">
        <v>42</v>
      </c>
      <c r="B44" s="4" t="str">
        <f>"225720191216095959224091"</f>
        <v>225720191216095959224091</v>
      </c>
      <c r="C44" s="4" t="s">
        <v>17</v>
      </c>
      <c r="D44" s="4" t="str">
        <f>"冯推英"</f>
        <v>冯推英</v>
      </c>
      <c r="E44" s="4" t="str">
        <f>"男"</f>
        <v>男</v>
      </c>
      <c r="F44" s="4" t="str">
        <f>"1985-03-27"</f>
        <v>1985-03-27</v>
      </c>
      <c r="G44" s="4" t="str">
        <f t="shared" si="9"/>
        <v>本科</v>
      </c>
      <c r="H44" s="4" t="str">
        <f t="shared" si="11"/>
        <v>学士</v>
      </c>
      <c r="I44" s="4" t="str">
        <f>"计算机科学与技术"</f>
        <v>计算机科学与技术</v>
      </c>
      <c r="J44" s="4" t="str">
        <f aca="true" t="shared" si="14" ref="J44:J50">"无"</f>
        <v>无</v>
      </c>
    </row>
    <row r="45" spans="1:10" ht="27" customHeight="1">
      <c r="A45" s="4">
        <v>43</v>
      </c>
      <c r="B45" s="4" t="str">
        <f>"225720191216100254224100"</f>
        <v>225720191216100254224100</v>
      </c>
      <c r="C45" s="4" t="s">
        <v>16</v>
      </c>
      <c r="D45" s="4" t="str">
        <f>"曾燕升"</f>
        <v>曾燕升</v>
      </c>
      <c r="E45" s="4" t="str">
        <f t="shared" si="12"/>
        <v>女</v>
      </c>
      <c r="F45" s="4" t="str">
        <f>"1993-12-08"</f>
        <v>1993-12-08</v>
      </c>
      <c r="G45" s="4" t="str">
        <f t="shared" si="9"/>
        <v>本科</v>
      </c>
      <c r="H45" s="4" t="str">
        <f t="shared" si="11"/>
        <v>学士</v>
      </c>
      <c r="I45" s="4" t="str">
        <f>"资源环境与城乡规划管理"</f>
        <v>资源环境与城乡规划管理</v>
      </c>
      <c r="J45" s="4" t="str">
        <f t="shared" si="14"/>
        <v>无</v>
      </c>
    </row>
    <row r="46" spans="1:10" ht="27" customHeight="1">
      <c r="A46" s="4">
        <v>44</v>
      </c>
      <c r="B46" s="4" t="str">
        <f>"225720191216100331224102"</f>
        <v>225720191216100331224102</v>
      </c>
      <c r="C46" s="4" t="s">
        <v>12</v>
      </c>
      <c r="D46" s="4" t="str">
        <f>"莫海媛"</f>
        <v>莫海媛</v>
      </c>
      <c r="E46" s="4" t="str">
        <f t="shared" si="12"/>
        <v>女</v>
      </c>
      <c r="F46" s="4" t="str">
        <f>"1993-05-13"</f>
        <v>1993-05-13</v>
      </c>
      <c r="G46" s="4" t="str">
        <f t="shared" si="9"/>
        <v>本科</v>
      </c>
      <c r="H46" s="4" t="str">
        <f t="shared" si="11"/>
        <v>学士</v>
      </c>
      <c r="I46" s="4" t="str">
        <f t="shared" si="13"/>
        <v>汉语言文学</v>
      </c>
      <c r="J46" s="4" t="str">
        <f t="shared" si="14"/>
        <v>无</v>
      </c>
    </row>
    <row r="47" spans="1:10" ht="27" customHeight="1">
      <c r="A47" s="4">
        <v>45</v>
      </c>
      <c r="B47" s="4" t="str">
        <f>"225720191216100400224104"</f>
        <v>225720191216100400224104</v>
      </c>
      <c r="C47" s="4" t="s">
        <v>12</v>
      </c>
      <c r="D47" s="4" t="str">
        <f>"符丽丽"</f>
        <v>符丽丽</v>
      </c>
      <c r="E47" s="4" t="str">
        <f t="shared" si="12"/>
        <v>女</v>
      </c>
      <c r="F47" s="4" t="str">
        <f>"1990-10-07"</f>
        <v>1990-10-07</v>
      </c>
      <c r="G47" s="4" t="str">
        <f t="shared" si="9"/>
        <v>本科</v>
      </c>
      <c r="H47" s="4" t="str">
        <f t="shared" si="11"/>
        <v>学士</v>
      </c>
      <c r="I47" s="4" t="str">
        <f t="shared" si="13"/>
        <v>汉语言文学</v>
      </c>
      <c r="J47" s="4" t="str">
        <f t="shared" si="14"/>
        <v>无</v>
      </c>
    </row>
    <row r="48" spans="1:10" ht="27" customHeight="1">
      <c r="A48" s="4">
        <v>46</v>
      </c>
      <c r="B48" s="4" t="str">
        <f>"225720191216100824224121"</f>
        <v>225720191216100824224121</v>
      </c>
      <c r="C48" s="4" t="s">
        <v>18</v>
      </c>
      <c r="D48" s="4" t="str">
        <f>"谢亲娇"</f>
        <v>谢亲娇</v>
      </c>
      <c r="E48" s="4" t="str">
        <f t="shared" si="12"/>
        <v>女</v>
      </c>
      <c r="F48" s="4" t="str">
        <f>"1989-05-20"</f>
        <v>1989-05-20</v>
      </c>
      <c r="G48" s="4" t="str">
        <f t="shared" si="9"/>
        <v>本科</v>
      </c>
      <c r="H48" s="4" t="str">
        <f t="shared" si="11"/>
        <v>学士</v>
      </c>
      <c r="I48" s="4" t="str">
        <f>"会计学"</f>
        <v>会计学</v>
      </c>
      <c r="J48" s="4" t="str">
        <f t="shared" si="14"/>
        <v>无</v>
      </c>
    </row>
    <row r="49" spans="1:10" ht="27" customHeight="1">
      <c r="A49" s="4">
        <v>47</v>
      </c>
      <c r="B49" s="4" t="str">
        <f>"225720191216100929224126"</f>
        <v>225720191216100929224126</v>
      </c>
      <c r="C49" s="4" t="s">
        <v>11</v>
      </c>
      <c r="D49" s="4" t="str">
        <f>"罗欣欣"</f>
        <v>罗欣欣</v>
      </c>
      <c r="E49" s="4" t="str">
        <f t="shared" si="12"/>
        <v>女</v>
      </c>
      <c r="F49" s="4" t="str">
        <f>"1993-09-23"</f>
        <v>1993-09-23</v>
      </c>
      <c r="G49" s="4" t="str">
        <f t="shared" si="9"/>
        <v>本科</v>
      </c>
      <c r="H49" s="4" t="str">
        <f t="shared" si="11"/>
        <v>学士</v>
      </c>
      <c r="I49" s="4" t="str">
        <f>"通信工程"</f>
        <v>通信工程</v>
      </c>
      <c r="J49" s="4" t="str">
        <f t="shared" si="14"/>
        <v>无</v>
      </c>
    </row>
    <row r="50" spans="1:10" ht="27" customHeight="1">
      <c r="A50" s="4">
        <v>48</v>
      </c>
      <c r="B50" s="4" t="str">
        <f>"225720191216101239224132"</f>
        <v>225720191216101239224132</v>
      </c>
      <c r="C50" s="4" t="s">
        <v>13</v>
      </c>
      <c r="D50" s="4" t="str">
        <f>"陈大卫"</f>
        <v>陈大卫</v>
      </c>
      <c r="E50" s="4" t="str">
        <f>"男"</f>
        <v>男</v>
      </c>
      <c r="F50" s="4" t="str">
        <f>"1994-10-18"</f>
        <v>1994-10-18</v>
      </c>
      <c r="G50" s="4" t="str">
        <f t="shared" si="9"/>
        <v>本科</v>
      </c>
      <c r="H50" s="4" t="str">
        <f t="shared" si="11"/>
        <v>学士</v>
      </c>
      <c r="I50" s="4" t="str">
        <f>"新闻学"</f>
        <v>新闻学</v>
      </c>
      <c r="J50" s="4" t="str">
        <f t="shared" si="14"/>
        <v>无</v>
      </c>
    </row>
    <row r="51" spans="1:10" ht="27" customHeight="1">
      <c r="A51" s="4">
        <v>49</v>
      </c>
      <c r="B51" s="4" t="str">
        <f>"225720191216101326224136"</f>
        <v>225720191216101326224136</v>
      </c>
      <c r="C51" s="4" t="s">
        <v>16</v>
      </c>
      <c r="D51" s="4" t="str">
        <f>"符邦亮"</f>
        <v>符邦亮</v>
      </c>
      <c r="E51" s="4" t="str">
        <f>"男"</f>
        <v>男</v>
      </c>
      <c r="F51" s="4" t="str">
        <f>"1988-07-11"</f>
        <v>1988-07-11</v>
      </c>
      <c r="G51" s="4" t="str">
        <f t="shared" si="9"/>
        <v>本科</v>
      </c>
      <c r="H51" s="4" t="str">
        <f t="shared" si="11"/>
        <v>学士</v>
      </c>
      <c r="I51" s="4" t="str">
        <f>"地理信息系统"</f>
        <v>地理信息系统</v>
      </c>
      <c r="J51" s="4" t="str">
        <f>"篮球"</f>
        <v>篮球</v>
      </c>
    </row>
    <row r="52" spans="1:10" ht="27" customHeight="1">
      <c r="A52" s="4">
        <v>50</v>
      </c>
      <c r="B52" s="4" t="str">
        <f>"225720191216101402224138"</f>
        <v>225720191216101402224138</v>
      </c>
      <c r="C52" s="4" t="s">
        <v>12</v>
      </c>
      <c r="D52" s="4" t="str">
        <f>"陈欣"</f>
        <v>陈欣</v>
      </c>
      <c r="E52" s="4" t="str">
        <f>"女"</f>
        <v>女</v>
      </c>
      <c r="F52" s="4" t="str">
        <f>"1993-07-02"</f>
        <v>1993-07-02</v>
      </c>
      <c r="G52" s="4" t="str">
        <f t="shared" si="9"/>
        <v>本科</v>
      </c>
      <c r="H52" s="4" t="str">
        <f t="shared" si="11"/>
        <v>学士</v>
      </c>
      <c r="I52" s="4" t="str">
        <f>"汉语言文学"</f>
        <v>汉语言文学</v>
      </c>
      <c r="J52" s="4" t="str">
        <f aca="true" t="shared" si="15" ref="J52:J72">"无"</f>
        <v>无</v>
      </c>
    </row>
    <row r="53" spans="1:10" ht="27" customHeight="1">
      <c r="A53" s="4">
        <v>51</v>
      </c>
      <c r="B53" s="4" t="str">
        <f>"225720191216101911224154"</f>
        <v>225720191216101911224154</v>
      </c>
      <c r="C53" s="4" t="s">
        <v>12</v>
      </c>
      <c r="D53" s="4" t="str">
        <f>"吴佩婷"</f>
        <v>吴佩婷</v>
      </c>
      <c r="E53" s="4" t="str">
        <f>"女"</f>
        <v>女</v>
      </c>
      <c r="F53" s="4" t="str">
        <f>"1988-10-30"</f>
        <v>1988-10-30</v>
      </c>
      <c r="G53" s="4" t="str">
        <f t="shared" si="9"/>
        <v>本科</v>
      </c>
      <c r="H53" s="4" t="str">
        <f t="shared" si="11"/>
        <v>学士</v>
      </c>
      <c r="I53" s="4" t="str">
        <f>"汉语言文学专业"</f>
        <v>汉语言文学专业</v>
      </c>
      <c r="J53" s="4" t="str">
        <f t="shared" si="15"/>
        <v>无</v>
      </c>
    </row>
    <row r="54" spans="1:10" ht="27" customHeight="1">
      <c r="A54" s="4">
        <v>52</v>
      </c>
      <c r="B54" s="4" t="str">
        <f>"225720191216102348224173"</f>
        <v>225720191216102348224173</v>
      </c>
      <c r="C54" s="4" t="s">
        <v>12</v>
      </c>
      <c r="D54" s="4" t="str">
        <f>"庄丽倩"</f>
        <v>庄丽倩</v>
      </c>
      <c r="E54" s="4" t="str">
        <f>"女"</f>
        <v>女</v>
      </c>
      <c r="F54" s="4" t="str">
        <f>"1990-08-07"</f>
        <v>1990-08-07</v>
      </c>
      <c r="G54" s="4" t="str">
        <f t="shared" si="9"/>
        <v>本科</v>
      </c>
      <c r="H54" s="4" t="str">
        <f t="shared" si="11"/>
        <v>学士</v>
      </c>
      <c r="I54" s="4" t="str">
        <f>"法学"</f>
        <v>法学</v>
      </c>
      <c r="J54" s="4" t="str">
        <f t="shared" si="15"/>
        <v>无</v>
      </c>
    </row>
    <row r="55" spans="1:10" ht="27" customHeight="1">
      <c r="A55" s="4">
        <v>53</v>
      </c>
      <c r="B55" s="4" t="str">
        <f>"225720191216102430224179"</f>
        <v>225720191216102430224179</v>
      </c>
      <c r="C55" s="4" t="s">
        <v>12</v>
      </c>
      <c r="D55" s="4" t="str">
        <f>"戴佳萍"</f>
        <v>戴佳萍</v>
      </c>
      <c r="E55" s="4" t="str">
        <f>"女"</f>
        <v>女</v>
      </c>
      <c r="F55" s="4" t="str">
        <f>"1990-06-28"</f>
        <v>1990-06-28</v>
      </c>
      <c r="G55" s="4" t="str">
        <f t="shared" si="9"/>
        <v>本科</v>
      </c>
      <c r="H55" s="4" t="str">
        <f t="shared" si="11"/>
        <v>学士</v>
      </c>
      <c r="I55" s="4" t="str">
        <f>"法学"</f>
        <v>法学</v>
      </c>
      <c r="J55" s="4" t="str">
        <f t="shared" si="15"/>
        <v>无</v>
      </c>
    </row>
    <row r="56" spans="1:10" ht="27" customHeight="1">
      <c r="A56" s="4">
        <v>54</v>
      </c>
      <c r="B56" s="4" t="str">
        <f>"225720191216102431224180"</f>
        <v>225720191216102431224180</v>
      </c>
      <c r="C56" s="4" t="s">
        <v>12</v>
      </c>
      <c r="D56" s="4" t="str">
        <f>"彭诗琪"</f>
        <v>彭诗琪</v>
      </c>
      <c r="E56" s="4" t="str">
        <f>"女"</f>
        <v>女</v>
      </c>
      <c r="F56" s="4" t="str">
        <f>"1994-05-13"</f>
        <v>1994-05-13</v>
      </c>
      <c r="G56" s="4" t="str">
        <f t="shared" si="9"/>
        <v>本科</v>
      </c>
      <c r="H56" s="4" t="str">
        <f t="shared" si="11"/>
        <v>学士</v>
      </c>
      <c r="I56" s="4" t="str">
        <f>"汉语言文学"</f>
        <v>汉语言文学</v>
      </c>
      <c r="J56" s="4" t="str">
        <f t="shared" si="15"/>
        <v>无</v>
      </c>
    </row>
    <row r="57" spans="1:10" ht="27" customHeight="1">
      <c r="A57" s="4">
        <v>55</v>
      </c>
      <c r="B57" s="4" t="str">
        <f>"225720191216102651224190"</f>
        <v>225720191216102651224190</v>
      </c>
      <c r="C57" s="4" t="s">
        <v>12</v>
      </c>
      <c r="D57" s="4" t="str">
        <f>"王子铭"</f>
        <v>王子铭</v>
      </c>
      <c r="E57" s="4" t="str">
        <f aca="true" t="shared" si="16" ref="E57:E62">"男"</f>
        <v>男</v>
      </c>
      <c r="F57" s="4" t="str">
        <f>"1989-08-06"</f>
        <v>1989-08-06</v>
      </c>
      <c r="G57" s="4" t="str">
        <f t="shared" si="9"/>
        <v>本科</v>
      </c>
      <c r="H57" s="4" t="str">
        <f t="shared" si="11"/>
        <v>学士</v>
      </c>
      <c r="I57" s="4" t="str">
        <f>"法学"</f>
        <v>法学</v>
      </c>
      <c r="J57" s="4" t="str">
        <f t="shared" si="15"/>
        <v>无</v>
      </c>
    </row>
    <row r="58" spans="1:10" ht="27" customHeight="1">
      <c r="A58" s="4">
        <v>56</v>
      </c>
      <c r="B58" s="4" t="str">
        <f>"225720191216102704224191"</f>
        <v>225720191216102704224191</v>
      </c>
      <c r="C58" s="4" t="s">
        <v>11</v>
      </c>
      <c r="D58" s="4" t="str">
        <f>"林欣"</f>
        <v>林欣</v>
      </c>
      <c r="E58" s="4" t="str">
        <f aca="true" t="shared" si="17" ref="E58:E64">"女"</f>
        <v>女</v>
      </c>
      <c r="F58" s="4" t="str">
        <f>"1992-09-02"</f>
        <v>1992-09-02</v>
      </c>
      <c r="G58" s="4" t="str">
        <f t="shared" si="9"/>
        <v>本科</v>
      </c>
      <c r="H58" s="4" t="str">
        <f t="shared" si="11"/>
        <v>学士</v>
      </c>
      <c r="I58" s="4" t="str">
        <f>"计算机科学与技术"</f>
        <v>计算机科学与技术</v>
      </c>
      <c r="J58" s="4" t="str">
        <f t="shared" si="15"/>
        <v>无</v>
      </c>
    </row>
    <row r="59" spans="1:10" ht="27" customHeight="1">
      <c r="A59" s="4">
        <v>57</v>
      </c>
      <c r="B59" s="4" t="str">
        <f>"225720191216102747224197"</f>
        <v>225720191216102747224197</v>
      </c>
      <c r="C59" s="4" t="s">
        <v>12</v>
      </c>
      <c r="D59" s="4" t="str">
        <f>"李颖"</f>
        <v>李颖</v>
      </c>
      <c r="E59" s="4" t="str">
        <f t="shared" si="17"/>
        <v>女</v>
      </c>
      <c r="F59" s="4" t="str">
        <f>"1990-11-27"</f>
        <v>1990-11-27</v>
      </c>
      <c r="G59" s="4" t="str">
        <f t="shared" si="9"/>
        <v>本科</v>
      </c>
      <c r="H59" s="4" t="str">
        <f t="shared" si="11"/>
        <v>学士</v>
      </c>
      <c r="I59" s="4" t="str">
        <f>"汉语言文学"</f>
        <v>汉语言文学</v>
      </c>
      <c r="J59" s="4" t="str">
        <f t="shared" si="15"/>
        <v>无</v>
      </c>
    </row>
    <row r="60" spans="1:10" ht="27" customHeight="1">
      <c r="A60" s="4">
        <v>58</v>
      </c>
      <c r="B60" s="4" t="str">
        <f>"225720191216102924224202"</f>
        <v>225720191216102924224202</v>
      </c>
      <c r="C60" s="4" t="s">
        <v>12</v>
      </c>
      <c r="D60" s="4" t="str">
        <f>"黄名天"</f>
        <v>黄名天</v>
      </c>
      <c r="E60" s="4" t="str">
        <f t="shared" si="16"/>
        <v>男</v>
      </c>
      <c r="F60" s="4" t="str">
        <f>"1990-02-06"</f>
        <v>1990-02-06</v>
      </c>
      <c r="G60" s="4" t="str">
        <f t="shared" si="9"/>
        <v>本科</v>
      </c>
      <c r="H60" s="4" t="str">
        <f t="shared" si="11"/>
        <v>学士</v>
      </c>
      <c r="I60" s="4" t="str">
        <f>"法学"</f>
        <v>法学</v>
      </c>
      <c r="J60" s="4" t="str">
        <f t="shared" si="15"/>
        <v>无</v>
      </c>
    </row>
    <row r="61" spans="1:10" ht="27" customHeight="1">
      <c r="A61" s="4">
        <v>59</v>
      </c>
      <c r="B61" s="4" t="str">
        <f>"225720191216103019224203"</f>
        <v>225720191216103019224203</v>
      </c>
      <c r="C61" s="4" t="s">
        <v>16</v>
      </c>
      <c r="D61" s="4" t="str">
        <f>"张明国"</f>
        <v>张明国</v>
      </c>
      <c r="E61" s="4" t="str">
        <f t="shared" si="16"/>
        <v>男</v>
      </c>
      <c r="F61" s="4" t="str">
        <f>"1993-01-27"</f>
        <v>1993-01-27</v>
      </c>
      <c r="G61" s="4" t="str">
        <f t="shared" si="9"/>
        <v>本科</v>
      </c>
      <c r="H61" s="4" t="str">
        <f t="shared" si="11"/>
        <v>学士</v>
      </c>
      <c r="I61" s="4" t="str">
        <f>"资源环境与城乡规划管理"</f>
        <v>资源环境与城乡规划管理</v>
      </c>
      <c r="J61" s="4" t="str">
        <f t="shared" si="15"/>
        <v>无</v>
      </c>
    </row>
    <row r="62" spans="1:10" ht="27" customHeight="1">
      <c r="A62" s="4">
        <v>60</v>
      </c>
      <c r="B62" s="4" t="str">
        <f>"225720191216103202224215"</f>
        <v>225720191216103202224215</v>
      </c>
      <c r="C62" s="4" t="s">
        <v>15</v>
      </c>
      <c r="D62" s="4" t="str">
        <f>"王袁祥"</f>
        <v>王袁祥</v>
      </c>
      <c r="E62" s="4" t="str">
        <f t="shared" si="16"/>
        <v>男</v>
      </c>
      <c r="F62" s="4" t="str">
        <f>"1992-04-01"</f>
        <v>1992-04-01</v>
      </c>
      <c r="G62" s="4" t="str">
        <f t="shared" si="9"/>
        <v>本科</v>
      </c>
      <c r="H62" s="4" t="str">
        <f t="shared" si="11"/>
        <v>学士</v>
      </c>
      <c r="I62" s="4" t="str">
        <f>"测绘工程"</f>
        <v>测绘工程</v>
      </c>
      <c r="J62" s="4" t="str">
        <f t="shared" si="15"/>
        <v>无</v>
      </c>
    </row>
    <row r="63" spans="1:10" ht="27" customHeight="1">
      <c r="A63" s="4">
        <v>61</v>
      </c>
      <c r="B63" s="4" t="str">
        <f>"225720191216104141224238"</f>
        <v>225720191216104141224238</v>
      </c>
      <c r="C63" s="4" t="s">
        <v>12</v>
      </c>
      <c r="D63" s="4" t="str">
        <f>"梁淑勤"</f>
        <v>梁淑勤</v>
      </c>
      <c r="E63" s="4" t="str">
        <f t="shared" si="17"/>
        <v>女</v>
      </c>
      <c r="F63" s="4" t="str">
        <f>"1997-12-07"</f>
        <v>1997-12-07</v>
      </c>
      <c r="G63" s="4" t="str">
        <f t="shared" si="9"/>
        <v>本科</v>
      </c>
      <c r="H63" s="4" t="str">
        <f t="shared" si="11"/>
        <v>学士</v>
      </c>
      <c r="I63" s="4" t="str">
        <f>"法学"</f>
        <v>法学</v>
      </c>
      <c r="J63" s="4" t="str">
        <f t="shared" si="15"/>
        <v>无</v>
      </c>
    </row>
    <row r="64" spans="1:10" ht="27" customHeight="1">
      <c r="A64" s="4">
        <v>62</v>
      </c>
      <c r="B64" s="4" t="str">
        <f>"225720191216104146224239"</f>
        <v>225720191216104146224239</v>
      </c>
      <c r="C64" s="4" t="s">
        <v>12</v>
      </c>
      <c r="D64" s="4" t="str">
        <f>"文凤环"</f>
        <v>文凤环</v>
      </c>
      <c r="E64" s="4" t="str">
        <f t="shared" si="17"/>
        <v>女</v>
      </c>
      <c r="F64" s="4" t="str">
        <f>"1995-12-16"</f>
        <v>1995-12-16</v>
      </c>
      <c r="G64" s="4" t="str">
        <f t="shared" si="9"/>
        <v>本科</v>
      </c>
      <c r="H64" s="4" t="str">
        <f t="shared" si="11"/>
        <v>学士</v>
      </c>
      <c r="I64" s="4" t="str">
        <f>"法学专业"</f>
        <v>法学专业</v>
      </c>
      <c r="J64" s="4" t="str">
        <f t="shared" si="15"/>
        <v>无</v>
      </c>
    </row>
    <row r="65" spans="1:10" ht="27" customHeight="1">
      <c r="A65" s="4">
        <v>63</v>
      </c>
      <c r="B65" s="4" t="str">
        <f>"225720191216104200224241"</f>
        <v>225720191216104200224241</v>
      </c>
      <c r="C65" s="4" t="s">
        <v>11</v>
      </c>
      <c r="D65" s="4" t="str">
        <f>"王恒"</f>
        <v>王恒</v>
      </c>
      <c r="E65" s="4" t="str">
        <f>"男"</f>
        <v>男</v>
      </c>
      <c r="F65" s="4" t="str">
        <f>"1992-04-02"</f>
        <v>1992-04-02</v>
      </c>
      <c r="G65" s="4" t="str">
        <f t="shared" si="9"/>
        <v>本科</v>
      </c>
      <c r="H65" s="4" t="str">
        <f t="shared" si="11"/>
        <v>学士</v>
      </c>
      <c r="I65" s="4" t="str">
        <f>"通信工程"</f>
        <v>通信工程</v>
      </c>
      <c r="J65" s="4" t="str">
        <f t="shared" si="15"/>
        <v>无</v>
      </c>
    </row>
    <row r="66" spans="1:10" ht="27" customHeight="1">
      <c r="A66" s="4">
        <v>64</v>
      </c>
      <c r="B66" s="4" t="str">
        <f>"225720191216104258224247"</f>
        <v>225720191216104258224247</v>
      </c>
      <c r="C66" s="4" t="s">
        <v>19</v>
      </c>
      <c r="D66" s="4" t="str">
        <f>"邱世立"</f>
        <v>邱世立</v>
      </c>
      <c r="E66" s="4" t="str">
        <f>"男"</f>
        <v>男</v>
      </c>
      <c r="F66" s="4" t="str">
        <f>"1984-12-03"</f>
        <v>1984-12-03</v>
      </c>
      <c r="G66" s="4" t="str">
        <f t="shared" si="9"/>
        <v>本科</v>
      </c>
      <c r="H66" s="4" t="str">
        <f t="shared" si="11"/>
        <v>学士</v>
      </c>
      <c r="I66" s="4" t="str">
        <f>"信息管理与信息系统"</f>
        <v>信息管理与信息系统</v>
      </c>
      <c r="J66" s="4" t="str">
        <f t="shared" si="15"/>
        <v>无</v>
      </c>
    </row>
    <row r="67" spans="1:10" ht="27" customHeight="1">
      <c r="A67" s="4">
        <v>65</v>
      </c>
      <c r="B67" s="4" t="str">
        <f>"225720191216104303224248"</f>
        <v>225720191216104303224248</v>
      </c>
      <c r="C67" s="4" t="s">
        <v>12</v>
      </c>
      <c r="D67" s="4" t="str">
        <f>"李家博"</f>
        <v>李家博</v>
      </c>
      <c r="E67" s="4" t="str">
        <f>"男"</f>
        <v>男</v>
      </c>
      <c r="F67" s="4" t="str">
        <f>"1996-03-13"</f>
        <v>1996-03-13</v>
      </c>
      <c r="G67" s="4" t="str">
        <f t="shared" si="9"/>
        <v>本科</v>
      </c>
      <c r="H67" s="4" t="str">
        <f t="shared" si="11"/>
        <v>学士</v>
      </c>
      <c r="I67" s="4" t="str">
        <f>"人文地理与城乡规划"</f>
        <v>人文地理与城乡规划</v>
      </c>
      <c r="J67" s="4" t="str">
        <f t="shared" si="15"/>
        <v>无</v>
      </c>
    </row>
    <row r="68" spans="1:10" ht="27" customHeight="1">
      <c r="A68" s="4">
        <v>66</v>
      </c>
      <c r="B68" s="4" t="str">
        <f>"225720191216104625224257"</f>
        <v>225720191216104625224257</v>
      </c>
      <c r="C68" s="4" t="s">
        <v>12</v>
      </c>
      <c r="D68" s="4" t="str">
        <f>"刘发明"</f>
        <v>刘发明</v>
      </c>
      <c r="E68" s="4" t="str">
        <f>"男"</f>
        <v>男</v>
      </c>
      <c r="F68" s="4" t="str">
        <f>"1994-07-15"</f>
        <v>1994-07-15</v>
      </c>
      <c r="G68" s="4" t="str">
        <f t="shared" si="9"/>
        <v>本科</v>
      </c>
      <c r="H68" s="4" t="str">
        <f t="shared" si="11"/>
        <v>学士</v>
      </c>
      <c r="I68" s="4" t="str">
        <f>"汉语言文学"</f>
        <v>汉语言文学</v>
      </c>
      <c r="J68" s="4" t="str">
        <f t="shared" si="15"/>
        <v>无</v>
      </c>
    </row>
    <row r="69" spans="1:10" ht="27" customHeight="1">
      <c r="A69" s="4">
        <v>67</v>
      </c>
      <c r="B69" s="4" t="str">
        <f>"225720191216104932224264"</f>
        <v>225720191216104932224264</v>
      </c>
      <c r="C69" s="4" t="s">
        <v>12</v>
      </c>
      <c r="D69" s="4" t="str">
        <f>"韩伯珊"</f>
        <v>韩伯珊</v>
      </c>
      <c r="E69" s="4" t="str">
        <f aca="true" t="shared" si="18" ref="E69:E74">"女"</f>
        <v>女</v>
      </c>
      <c r="F69" s="4" t="str">
        <f>"1995-04-25"</f>
        <v>1995-04-25</v>
      </c>
      <c r="G69" s="4" t="str">
        <f t="shared" si="9"/>
        <v>本科</v>
      </c>
      <c r="H69" s="4" t="str">
        <f t="shared" si="11"/>
        <v>学士</v>
      </c>
      <c r="I69" s="4" t="str">
        <f>"土地资源管理"</f>
        <v>土地资源管理</v>
      </c>
      <c r="J69" s="4" t="str">
        <f t="shared" si="15"/>
        <v>无</v>
      </c>
    </row>
    <row r="70" spans="1:10" ht="27" customHeight="1">
      <c r="A70" s="4">
        <v>68</v>
      </c>
      <c r="B70" s="4" t="str">
        <f>"225720191216104934224265"</f>
        <v>225720191216104934224265</v>
      </c>
      <c r="C70" s="4" t="s">
        <v>12</v>
      </c>
      <c r="D70" s="4" t="str">
        <f>"王兴鹏"</f>
        <v>王兴鹏</v>
      </c>
      <c r="E70" s="4" t="str">
        <f>"男"</f>
        <v>男</v>
      </c>
      <c r="F70" s="4" t="str">
        <f>"1989-01-13"</f>
        <v>1989-01-13</v>
      </c>
      <c r="G70" s="4" t="str">
        <f t="shared" si="9"/>
        <v>本科</v>
      </c>
      <c r="H70" s="4" t="str">
        <f t="shared" si="11"/>
        <v>学士</v>
      </c>
      <c r="I70" s="4" t="str">
        <f>"汉语言文学专业"</f>
        <v>汉语言文学专业</v>
      </c>
      <c r="J70" s="4" t="str">
        <f t="shared" si="15"/>
        <v>无</v>
      </c>
    </row>
    <row r="71" spans="1:10" ht="27" customHeight="1">
      <c r="A71" s="4">
        <v>69</v>
      </c>
      <c r="B71" s="4" t="str">
        <f>"225720191216104958224266"</f>
        <v>225720191216104958224266</v>
      </c>
      <c r="C71" s="4" t="s">
        <v>12</v>
      </c>
      <c r="D71" s="4" t="str">
        <f>"钟昌利"</f>
        <v>钟昌利</v>
      </c>
      <c r="E71" s="4" t="str">
        <f>"男"</f>
        <v>男</v>
      </c>
      <c r="F71" s="4" t="str">
        <f>"1994-08-18"</f>
        <v>1994-08-18</v>
      </c>
      <c r="G71" s="4" t="str">
        <f t="shared" si="9"/>
        <v>本科</v>
      </c>
      <c r="H71" s="4" t="str">
        <f t="shared" si="11"/>
        <v>学士</v>
      </c>
      <c r="I71" s="4" t="str">
        <f>"城乡规划"</f>
        <v>城乡规划</v>
      </c>
      <c r="J71" s="4" t="str">
        <f t="shared" si="15"/>
        <v>无</v>
      </c>
    </row>
    <row r="72" spans="1:10" ht="27" customHeight="1">
      <c r="A72" s="4">
        <v>70</v>
      </c>
      <c r="B72" s="4" t="str">
        <f>"225720191216105205224278"</f>
        <v>225720191216105205224278</v>
      </c>
      <c r="C72" s="4" t="s">
        <v>12</v>
      </c>
      <c r="D72" s="4" t="str">
        <f>"梁诗琪"</f>
        <v>梁诗琪</v>
      </c>
      <c r="E72" s="4" t="str">
        <f t="shared" si="18"/>
        <v>女</v>
      </c>
      <c r="F72" s="4" t="str">
        <f>"1997-10-18"</f>
        <v>1997-10-18</v>
      </c>
      <c r="G72" s="4" t="str">
        <f t="shared" si="9"/>
        <v>本科</v>
      </c>
      <c r="H72" s="4" t="str">
        <f t="shared" si="11"/>
        <v>学士</v>
      </c>
      <c r="I72" s="4" t="str">
        <f>"汉语言文学"</f>
        <v>汉语言文学</v>
      </c>
      <c r="J72" s="4" t="str">
        <f t="shared" si="15"/>
        <v>无</v>
      </c>
    </row>
    <row r="73" spans="1:10" ht="27" customHeight="1">
      <c r="A73" s="4">
        <v>71</v>
      </c>
      <c r="B73" s="4" t="str">
        <f>"225720191216105240224281"</f>
        <v>225720191216105240224281</v>
      </c>
      <c r="C73" s="4" t="s">
        <v>11</v>
      </c>
      <c r="D73" s="4" t="str">
        <f>"吴传铭"</f>
        <v>吴传铭</v>
      </c>
      <c r="E73" s="4" t="str">
        <f>"男"</f>
        <v>男</v>
      </c>
      <c r="F73" s="4" t="str">
        <f>"1985-06-21"</f>
        <v>1985-06-21</v>
      </c>
      <c r="G73" s="4" t="str">
        <f t="shared" si="9"/>
        <v>本科</v>
      </c>
      <c r="H73" s="4" t="str">
        <f t="shared" si="11"/>
        <v>学士</v>
      </c>
      <c r="I73" s="4" t="str">
        <f>"通信工程"</f>
        <v>通信工程</v>
      </c>
      <c r="J73" s="4" t="str">
        <f>"计算机科学与技术专业助教"</f>
        <v>计算机科学与技术专业助教</v>
      </c>
    </row>
    <row r="74" spans="1:10" ht="27" customHeight="1">
      <c r="A74" s="4">
        <v>72</v>
      </c>
      <c r="B74" s="4" t="str">
        <f>"225720191216105639224291"</f>
        <v>225720191216105639224291</v>
      </c>
      <c r="C74" s="4" t="s">
        <v>12</v>
      </c>
      <c r="D74" s="4" t="str">
        <f>"林道娇"</f>
        <v>林道娇</v>
      </c>
      <c r="E74" s="4" t="str">
        <f t="shared" si="18"/>
        <v>女</v>
      </c>
      <c r="F74" s="4" t="str">
        <f>"1991-01-06"</f>
        <v>1991-01-06</v>
      </c>
      <c r="G74" s="4" t="str">
        <f t="shared" si="9"/>
        <v>本科</v>
      </c>
      <c r="H74" s="4" t="str">
        <f t="shared" si="11"/>
        <v>学士</v>
      </c>
      <c r="I74" s="4" t="str">
        <f>"汉语言文学专业"</f>
        <v>汉语言文学专业</v>
      </c>
      <c r="J74" s="4" t="str">
        <f aca="true" t="shared" si="19" ref="J74:J79">"无"</f>
        <v>无</v>
      </c>
    </row>
    <row r="75" spans="1:10" ht="27" customHeight="1">
      <c r="A75" s="4">
        <v>73</v>
      </c>
      <c r="B75" s="4" t="str">
        <f>"225720191216105742224293"</f>
        <v>225720191216105742224293</v>
      </c>
      <c r="C75" s="4" t="s">
        <v>12</v>
      </c>
      <c r="D75" s="4" t="str">
        <f>"罗捷"</f>
        <v>罗捷</v>
      </c>
      <c r="E75" s="4" t="str">
        <f aca="true" t="shared" si="20" ref="E75:E80">"男"</f>
        <v>男</v>
      </c>
      <c r="F75" s="4" t="str">
        <f>"1991-11-20"</f>
        <v>1991-11-20</v>
      </c>
      <c r="G75" s="4" t="str">
        <f t="shared" si="9"/>
        <v>本科</v>
      </c>
      <c r="H75" s="4" t="str">
        <f t="shared" si="11"/>
        <v>学士</v>
      </c>
      <c r="I75" s="4" t="str">
        <f>"城市规划"</f>
        <v>城市规划</v>
      </c>
      <c r="J75" s="4" t="str">
        <f t="shared" si="19"/>
        <v>无</v>
      </c>
    </row>
    <row r="76" spans="1:10" ht="27" customHeight="1">
      <c r="A76" s="4">
        <v>74</v>
      </c>
      <c r="B76" s="4" t="str">
        <f>"225720191216105833224299"</f>
        <v>225720191216105833224299</v>
      </c>
      <c r="C76" s="4" t="s">
        <v>12</v>
      </c>
      <c r="D76" s="4" t="str">
        <f>"梁湘菲"</f>
        <v>梁湘菲</v>
      </c>
      <c r="E76" s="4" t="str">
        <f>"女"</f>
        <v>女</v>
      </c>
      <c r="F76" s="4" t="str">
        <f>"1994-12-22"</f>
        <v>1994-12-22</v>
      </c>
      <c r="G76" s="4" t="str">
        <f t="shared" si="9"/>
        <v>本科</v>
      </c>
      <c r="H76" s="4" t="str">
        <f t="shared" si="11"/>
        <v>学士</v>
      </c>
      <c r="I76" s="4" t="str">
        <f>"法学"</f>
        <v>法学</v>
      </c>
      <c r="J76" s="4" t="str">
        <f>"临聘人员"</f>
        <v>临聘人员</v>
      </c>
    </row>
    <row r="77" spans="1:10" ht="27" customHeight="1">
      <c r="A77" s="4">
        <v>75</v>
      </c>
      <c r="B77" s="4" t="str">
        <f>"225720191216105834224300"</f>
        <v>225720191216105834224300</v>
      </c>
      <c r="C77" s="4" t="s">
        <v>12</v>
      </c>
      <c r="D77" s="4" t="str">
        <f>"吴泽廷"</f>
        <v>吴泽廷</v>
      </c>
      <c r="E77" s="4" t="str">
        <f t="shared" si="20"/>
        <v>男</v>
      </c>
      <c r="F77" s="4" t="str">
        <f>"1992-11-13"</f>
        <v>1992-11-13</v>
      </c>
      <c r="G77" s="4" t="str">
        <f t="shared" si="9"/>
        <v>本科</v>
      </c>
      <c r="H77" s="4" t="str">
        <f t="shared" si="11"/>
        <v>学士</v>
      </c>
      <c r="I77" s="4" t="str">
        <f>"城市规划"</f>
        <v>城市规划</v>
      </c>
      <c r="J77" s="4" t="str">
        <f t="shared" si="19"/>
        <v>无</v>
      </c>
    </row>
    <row r="78" spans="1:10" ht="27" customHeight="1">
      <c r="A78" s="4">
        <v>76</v>
      </c>
      <c r="B78" s="4" t="str">
        <f>"225720191216105938224302"</f>
        <v>225720191216105938224302</v>
      </c>
      <c r="C78" s="4" t="s">
        <v>11</v>
      </c>
      <c r="D78" s="4" t="str">
        <f>"曾祥程"</f>
        <v>曾祥程</v>
      </c>
      <c r="E78" s="4" t="str">
        <f t="shared" si="20"/>
        <v>男</v>
      </c>
      <c r="F78" s="4" t="str">
        <f>"1995-04-05"</f>
        <v>1995-04-05</v>
      </c>
      <c r="G78" s="4" t="str">
        <f t="shared" si="9"/>
        <v>本科</v>
      </c>
      <c r="H78" s="4" t="str">
        <f t="shared" si="11"/>
        <v>学士</v>
      </c>
      <c r="I78" s="4" t="str">
        <f>"计算机科学与技术"</f>
        <v>计算机科学与技术</v>
      </c>
      <c r="J78" s="4" t="str">
        <f t="shared" si="19"/>
        <v>无</v>
      </c>
    </row>
    <row r="79" spans="1:10" ht="27" customHeight="1">
      <c r="A79" s="4">
        <v>77</v>
      </c>
      <c r="B79" s="4" t="str">
        <f>"225720191216110018224306"</f>
        <v>225720191216110018224306</v>
      </c>
      <c r="C79" s="4" t="s">
        <v>11</v>
      </c>
      <c r="D79" s="4" t="str">
        <f>"邢维文"</f>
        <v>邢维文</v>
      </c>
      <c r="E79" s="4" t="str">
        <f t="shared" si="20"/>
        <v>男</v>
      </c>
      <c r="F79" s="4" t="str">
        <f>"1997-09-24"</f>
        <v>1997-09-24</v>
      </c>
      <c r="G79" s="4" t="str">
        <f t="shared" si="9"/>
        <v>本科</v>
      </c>
      <c r="H79" s="4" t="str">
        <f t="shared" si="11"/>
        <v>学士</v>
      </c>
      <c r="I79" s="4" t="str">
        <f>"通信工程"</f>
        <v>通信工程</v>
      </c>
      <c r="J79" s="4" t="str">
        <f t="shared" si="19"/>
        <v>无</v>
      </c>
    </row>
    <row r="80" spans="1:10" ht="27" customHeight="1">
      <c r="A80" s="4">
        <v>78</v>
      </c>
      <c r="B80" s="4" t="str">
        <f>"225720191216110706224319"</f>
        <v>225720191216110706224319</v>
      </c>
      <c r="C80" s="4" t="s">
        <v>11</v>
      </c>
      <c r="D80" s="4" t="str">
        <f>"陈旭华"</f>
        <v>陈旭华</v>
      </c>
      <c r="E80" s="4" t="str">
        <f t="shared" si="20"/>
        <v>男</v>
      </c>
      <c r="F80" s="4" t="str">
        <f>"1996-06-23"</f>
        <v>1996-06-23</v>
      </c>
      <c r="G80" s="4" t="str">
        <f t="shared" si="9"/>
        <v>本科</v>
      </c>
      <c r="H80" s="4" t="str">
        <f t="shared" si="11"/>
        <v>学士</v>
      </c>
      <c r="I80" s="4" t="str">
        <f>"计算机科学与技术"</f>
        <v>计算机科学与技术</v>
      </c>
      <c r="J80" s="4" t="str">
        <f>"信息系统管理工程师"</f>
        <v>信息系统管理工程师</v>
      </c>
    </row>
    <row r="81" spans="1:10" ht="27" customHeight="1">
      <c r="A81" s="4">
        <v>79</v>
      </c>
      <c r="B81" s="4" t="str">
        <f>"225720191216110746224321"</f>
        <v>225720191216110746224321</v>
      </c>
      <c r="C81" s="4" t="s">
        <v>12</v>
      </c>
      <c r="D81" s="4" t="str">
        <f>"邓金雪"</f>
        <v>邓金雪</v>
      </c>
      <c r="E81" s="4" t="str">
        <f>"女"</f>
        <v>女</v>
      </c>
      <c r="F81" s="4" t="str">
        <f>"1992-10-11"</f>
        <v>1992-10-11</v>
      </c>
      <c r="G81" s="4" t="str">
        <f t="shared" si="9"/>
        <v>本科</v>
      </c>
      <c r="H81" s="4" t="str">
        <f t="shared" si="11"/>
        <v>学士</v>
      </c>
      <c r="I81" s="4" t="str">
        <f>"汉语言文学"</f>
        <v>汉语言文学</v>
      </c>
      <c r="J81" s="4" t="str">
        <f aca="true" t="shared" si="21" ref="J81:J89">"无"</f>
        <v>无</v>
      </c>
    </row>
    <row r="82" spans="1:10" ht="27" customHeight="1">
      <c r="A82" s="4">
        <v>80</v>
      </c>
      <c r="B82" s="4" t="str">
        <f>"225720191216111049224327"</f>
        <v>225720191216111049224327</v>
      </c>
      <c r="C82" s="4" t="s">
        <v>16</v>
      </c>
      <c r="D82" s="4" t="str">
        <f>"曾钰"</f>
        <v>曾钰</v>
      </c>
      <c r="E82" s="4" t="str">
        <f>"女"</f>
        <v>女</v>
      </c>
      <c r="F82" s="4" t="str">
        <f>"1991-10-12"</f>
        <v>1991-10-12</v>
      </c>
      <c r="G82" s="4" t="str">
        <f t="shared" si="9"/>
        <v>本科</v>
      </c>
      <c r="H82" s="4" t="str">
        <f t="shared" si="11"/>
        <v>学士</v>
      </c>
      <c r="I82" s="4" t="str">
        <f>"资源环境与城乡规划管理"</f>
        <v>资源环境与城乡规划管理</v>
      </c>
      <c r="J82" s="4" t="str">
        <f t="shared" si="21"/>
        <v>无</v>
      </c>
    </row>
    <row r="83" spans="1:10" ht="27" customHeight="1">
      <c r="A83" s="4">
        <v>81</v>
      </c>
      <c r="B83" s="4" t="str">
        <f>"225720191216112334224347"</f>
        <v>225720191216112334224347</v>
      </c>
      <c r="C83" s="4" t="s">
        <v>11</v>
      </c>
      <c r="D83" s="4" t="str">
        <f>"王国庆"</f>
        <v>王国庆</v>
      </c>
      <c r="E83" s="4" t="str">
        <f>"男"</f>
        <v>男</v>
      </c>
      <c r="F83" s="4" t="str">
        <f>"1987-09-07"</f>
        <v>1987-09-07</v>
      </c>
      <c r="G83" s="4" t="str">
        <f t="shared" si="9"/>
        <v>本科</v>
      </c>
      <c r="H83" s="4" t="str">
        <f t="shared" si="11"/>
        <v>学士</v>
      </c>
      <c r="I83" s="4" t="str">
        <f>"网络工程"</f>
        <v>网络工程</v>
      </c>
      <c r="J83" s="4" t="str">
        <f>"网络工程师"</f>
        <v>网络工程师</v>
      </c>
    </row>
    <row r="84" spans="1:10" ht="27" customHeight="1">
      <c r="A84" s="4">
        <v>82</v>
      </c>
      <c r="B84" s="4" t="str">
        <f>"225720191216112409224349"</f>
        <v>225720191216112409224349</v>
      </c>
      <c r="C84" s="4" t="s">
        <v>12</v>
      </c>
      <c r="D84" s="4" t="str">
        <f>"陈人榜"</f>
        <v>陈人榜</v>
      </c>
      <c r="E84" s="4" t="str">
        <f>"男"</f>
        <v>男</v>
      </c>
      <c r="F84" s="4" t="str">
        <f>"1997-08-01"</f>
        <v>1997-08-01</v>
      </c>
      <c r="G84" s="4" t="str">
        <f t="shared" si="9"/>
        <v>本科</v>
      </c>
      <c r="H84" s="4" t="str">
        <f t="shared" si="11"/>
        <v>学士</v>
      </c>
      <c r="I84" s="4" t="str">
        <f>"法学"</f>
        <v>法学</v>
      </c>
      <c r="J84" s="4" t="str">
        <f t="shared" si="21"/>
        <v>无</v>
      </c>
    </row>
    <row r="85" spans="1:10" ht="27" customHeight="1">
      <c r="A85" s="4">
        <v>83</v>
      </c>
      <c r="B85" s="4" t="str">
        <f>"225720191216112723224358"</f>
        <v>225720191216112723224358</v>
      </c>
      <c r="C85" s="4" t="s">
        <v>12</v>
      </c>
      <c r="D85" s="4" t="str">
        <f>"李爱和"</f>
        <v>李爱和</v>
      </c>
      <c r="E85" s="4" t="str">
        <f>"女"</f>
        <v>女</v>
      </c>
      <c r="F85" s="4" t="str">
        <f>"1992-03-15"</f>
        <v>1992-03-15</v>
      </c>
      <c r="G85" s="4" t="str">
        <f t="shared" si="9"/>
        <v>本科</v>
      </c>
      <c r="H85" s="4" t="str">
        <f t="shared" si="11"/>
        <v>学士</v>
      </c>
      <c r="I85" s="4" t="str">
        <f>"汉语言文学"</f>
        <v>汉语言文学</v>
      </c>
      <c r="J85" s="4" t="str">
        <f t="shared" si="21"/>
        <v>无</v>
      </c>
    </row>
    <row r="86" spans="1:10" ht="27" customHeight="1">
      <c r="A86" s="4">
        <v>84</v>
      </c>
      <c r="B86" s="4" t="str">
        <f>"225720191216112754224359"</f>
        <v>225720191216112754224359</v>
      </c>
      <c r="C86" s="4" t="s">
        <v>11</v>
      </c>
      <c r="D86" s="4" t="str">
        <f>"冯斯详"</f>
        <v>冯斯详</v>
      </c>
      <c r="E86" s="4" t="str">
        <f>"男"</f>
        <v>男</v>
      </c>
      <c r="F86" s="4" t="str">
        <f>"1995-01-01"</f>
        <v>1995-01-01</v>
      </c>
      <c r="G86" s="4" t="str">
        <f>"研究生"</f>
        <v>研究生</v>
      </c>
      <c r="H86" s="4" t="str">
        <f>"硕士"</f>
        <v>硕士</v>
      </c>
      <c r="I86" s="4" t="str">
        <f>"计算机科学与技术"</f>
        <v>计算机科学与技术</v>
      </c>
      <c r="J86" s="4" t="str">
        <f t="shared" si="21"/>
        <v>无</v>
      </c>
    </row>
    <row r="87" spans="1:10" ht="27" customHeight="1">
      <c r="A87" s="4">
        <v>85</v>
      </c>
      <c r="B87" s="4" t="str">
        <f>"225720191216113056224365"</f>
        <v>225720191216113056224365</v>
      </c>
      <c r="C87" s="4" t="s">
        <v>12</v>
      </c>
      <c r="D87" s="4" t="str">
        <f>"王瑞欣"</f>
        <v>王瑞欣</v>
      </c>
      <c r="E87" s="4" t="str">
        <f aca="true" t="shared" si="22" ref="E87:E92">"女"</f>
        <v>女</v>
      </c>
      <c r="F87" s="4" t="str">
        <f>"1997-02-21"</f>
        <v>1997-02-21</v>
      </c>
      <c r="G87" s="4" t="str">
        <f aca="true" t="shared" si="23" ref="G87:G150">"本科"</f>
        <v>本科</v>
      </c>
      <c r="H87" s="4" t="str">
        <f aca="true" t="shared" si="24" ref="H87:H108">"学士"</f>
        <v>学士</v>
      </c>
      <c r="I87" s="4" t="str">
        <f>"法学"</f>
        <v>法学</v>
      </c>
      <c r="J87" s="4" t="str">
        <f t="shared" si="21"/>
        <v>无</v>
      </c>
    </row>
    <row r="88" spans="1:10" ht="27" customHeight="1">
      <c r="A88" s="4">
        <v>86</v>
      </c>
      <c r="B88" s="4" t="str">
        <f>"225720191216113115224367"</f>
        <v>225720191216113115224367</v>
      </c>
      <c r="C88" s="4" t="s">
        <v>12</v>
      </c>
      <c r="D88" s="4" t="str">
        <f>"陈南南"</f>
        <v>陈南南</v>
      </c>
      <c r="E88" s="4" t="str">
        <f t="shared" si="22"/>
        <v>女</v>
      </c>
      <c r="F88" s="4" t="str">
        <f>"1993-08-16"</f>
        <v>1993-08-16</v>
      </c>
      <c r="G88" s="4" t="str">
        <f t="shared" si="23"/>
        <v>本科</v>
      </c>
      <c r="H88" s="4" t="str">
        <f t="shared" si="24"/>
        <v>学士</v>
      </c>
      <c r="I88" s="4" t="str">
        <f>"汉语言文学"</f>
        <v>汉语言文学</v>
      </c>
      <c r="J88" s="4" t="str">
        <f t="shared" si="21"/>
        <v>无</v>
      </c>
    </row>
    <row r="89" spans="1:10" ht="27" customHeight="1">
      <c r="A89" s="4">
        <v>87</v>
      </c>
      <c r="B89" s="4" t="str">
        <f>"225720191216113126224368"</f>
        <v>225720191216113126224368</v>
      </c>
      <c r="C89" s="4" t="s">
        <v>11</v>
      </c>
      <c r="D89" s="4" t="str">
        <f>"邓志威"</f>
        <v>邓志威</v>
      </c>
      <c r="E89" s="4" t="str">
        <f>"男"</f>
        <v>男</v>
      </c>
      <c r="F89" s="4" t="str">
        <f>"1997-06-01"</f>
        <v>1997-06-01</v>
      </c>
      <c r="G89" s="4" t="str">
        <f t="shared" si="23"/>
        <v>本科</v>
      </c>
      <c r="H89" s="4" t="str">
        <f t="shared" si="24"/>
        <v>学士</v>
      </c>
      <c r="I89" s="4" t="str">
        <f>"通信工程"</f>
        <v>通信工程</v>
      </c>
      <c r="J89" s="4" t="str">
        <f t="shared" si="21"/>
        <v>无</v>
      </c>
    </row>
    <row r="90" spans="1:10" ht="27" customHeight="1">
      <c r="A90" s="4">
        <v>88</v>
      </c>
      <c r="B90" s="4" t="str">
        <f>"225720191216113401224370"</f>
        <v>225720191216113401224370</v>
      </c>
      <c r="C90" s="4" t="s">
        <v>11</v>
      </c>
      <c r="D90" s="4" t="str">
        <f>"吴壮"</f>
        <v>吴壮</v>
      </c>
      <c r="E90" s="4" t="str">
        <f>"男"</f>
        <v>男</v>
      </c>
      <c r="F90" s="4" t="str">
        <f>"1988-03-30"</f>
        <v>1988-03-30</v>
      </c>
      <c r="G90" s="4" t="str">
        <f t="shared" si="23"/>
        <v>本科</v>
      </c>
      <c r="H90" s="4" t="str">
        <f t="shared" si="24"/>
        <v>学士</v>
      </c>
      <c r="I90" s="4" t="str">
        <f aca="true" t="shared" si="25" ref="I90:I95">"计算机科学与技术"</f>
        <v>计算机科学与技术</v>
      </c>
      <c r="J90" s="4" t="str">
        <f>"网络工程师（中级）"</f>
        <v>网络工程师（中级）</v>
      </c>
    </row>
    <row r="91" spans="1:10" ht="27" customHeight="1">
      <c r="A91" s="4">
        <v>89</v>
      </c>
      <c r="B91" s="4" t="str">
        <f>"225720191216113422224371"</f>
        <v>225720191216113422224371</v>
      </c>
      <c r="C91" s="4" t="s">
        <v>12</v>
      </c>
      <c r="D91" s="4" t="str">
        <f>"谢晓纯"</f>
        <v>谢晓纯</v>
      </c>
      <c r="E91" s="4" t="str">
        <f t="shared" si="22"/>
        <v>女</v>
      </c>
      <c r="F91" s="4" t="str">
        <f>"1990-08-01"</f>
        <v>1990-08-01</v>
      </c>
      <c r="G91" s="4" t="str">
        <f t="shared" si="23"/>
        <v>本科</v>
      </c>
      <c r="H91" s="4" t="str">
        <f t="shared" si="24"/>
        <v>学士</v>
      </c>
      <c r="I91" s="4" t="str">
        <f>"城市规划"</f>
        <v>城市规划</v>
      </c>
      <c r="J91" s="4" t="str">
        <f aca="true" t="shared" si="26" ref="J91:J96">"无"</f>
        <v>无</v>
      </c>
    </row>
    <row r="92" spans="1:10" ht="27" customHeight="1">
      <c r="A92" s="4">
        <v>90</v>
      </c>
      <c r="B92" s="4" t="str">
        <f>"225720191216113802224378"</f>
        <v>225720191216113802224378</v>
      </c>
      <c r="C92" s="4" t="s">
        <v>12</v>
      </c>
      <c r="D92" s="4" t="str">
        <f>"任可"</f>
        <v>任可</v>
      </c>
      <c r="E92" s="4" t="str">
        <f t="shared" si="22"/>
        <v>女</v>
      </c>
      <c r="F92" s="4" t="str">
        <f>"1995-05-19"</f>
        <v>1995-05-19</v>
      </c>
      <c r="G92" s="4" t="str">
        <f t="shared" si="23"/>
        <v>本科</v>
      </c>
      <c r="H92" s="4" t="str">
        <f t="shared" si="24"/>
        <v>学士</v>
      </c>
      <c r="I92" s="4" t="str">
        <f>"汉语言文学"</f>
        <v>汉语言文学</v>
      </c>
      <c r="J92" s="4" t="str">
        <f t="shared" si="26"/>
        <v>无</v>
      </c>
    </row>
    <row r="93" spans="1:10" ht="27" customHeight="1">
      <c r="A93" s="4">
        <v>91</v>
      </c>
      <c r="B93" s="4" t="str">
        <f>"225720191216114212224385"</f>
        <v>225720191216114212224385</v>
      </c>
      <c r="C93" s="4" t="s">
        <v>17</v>
      </c>
      <c r="D93" s="4" t="str">
        <f>"劳宝凯"</f>
        <v>劳宝凯</v>
      </c>
      <c r="E93" s="4" t="str">
        <f>"男"</f>
        <v>男</v>
      </c>
      <c r="F93" s="4" t="str">
        <f>"1990-07-02"</f>
        <v>1990-07-02</v>
      </c>
      <c r="G93" s="4" t="str">
        <f t="shared" si="23"/>
        <v>本科</v>
      </c>
      <c r="H93" s="4" t="str">
        <f t="shared" si="24"/>
        <v>学士</v>
      </c>
      <c r="I93" s="4" t="str">
        <f t="shared" si="25"/>
        <v>计算机科学与技术</v>
      </c>
      <c r="J93" s="4" t="str">
        <f t="shared" si="26"/>
        <v>无</v>
      </c>
    </row>
    <row r="94" spans="1:10" ht="27" customHeight="1">
      <c r="A94" s="4">
        <v>92</v>
      </c>
      <c r="B94" s="4" t="str">
        <f>"225720191216114425224388"</f>
        <v>225720191216114425224388</v>
      </c>
      <c r="C94" s="4" t="s">
        <v>11</v>
      </c>
      <c r="D94" s="4" t="str">
        <f>"王海婷"</f>
        <v>王海婷</v>
      </c>
      <c r="E94" s="4" t="str">
        <f aca="true" t="shared" si="27" ref="E94:E100">"女"</f>
        <v>女</v>
      </c>
      <c r="F94" s="4" t="str">
        <f>"1992-03-27"</f>
        <v>1992-03-27</v>
      </c>
      <c r="G94" s="4" t="str">
        <f t="shared" si="23"/>
        <v>本科</v>
      </c>
      <c r="H94" s="4" t="str">
        <f t="shared" si="24"/>
        <v>学士</v>
      </c>
      <c r="I94" s="4" t="str">
        <f>"通信工程"</f>
        <v>通信工程</v>
      </c>
      <c r="J94" s="4" t="str">
        <f t="shared" si="26"/>
        <v>无</v>
      </c>
    </row>
    <row r="95" spans="1:10" ht="27" customHeight="1">
      <c r="A95" s="4">
        <v>93</v>
      </c>
      <c r="B95" s="4" t="str">
        <f>"225720191216114758224392"</f>
        <v>225720191216114758224392</v>
      </c>
      <c r="C95" s="4" t="s">
        <v>11</v>
      </c>
      <c r="D95" s="4" t="str">
        <f>"王咨凯"</f>
        <v>王咨凯</v>
      </c>
      <c r="E95" s="4" t="str">
        <f>"男"</f>
        <v>男</v>
      </c>
      <c r="F95" s="4" t="str">
        <f>"1996-12-13"</f>
        <v>1996-12-13</v>
      </c>
      <c r="G95" s="4" t="str">
        <f t="shared" si="23"/>
        <v>本科</v>
      </c>
      <c r="H95" s="4" t="str">
        <f t="shared" si="24"/>
        <v>学士</v>
      </c>
      <c r="I95" s="4" t="str">
        <f t="shared" si="25"/>
        <v>计算机科学与技术</v>
      </c>
      <c r="J95" s="4" t="str">
        <f t="shared" si="26"/>
        <v>无</v>
      </c>
    </row>
    <row r="96" spans="1:10" ht="27" customHeight="1">
      <c r="A96" s="4">
        <v>94</v>
      </c>
      <c r="B96" s="4" t="str">
        <f>"225720191216115050224395"</f>
        <v>225720191216115050224395</v>
      </c>
      <c r="C96" s="4" t="s">
        <v>11</v>
      </c>
      <c r="D96" s="4" t="str">
        <f>"吴乾超"</f>
        <v>吴乾超</v>
      </c>
      <c r="E96" s="4" t="str">
        <f>"男"</f>
        <v>男</v>
      </c>
      <c r="F96" s="4" t="str">
        <f>"1994-09-19"</f>
        <v>1994-09-19</v>
      </c>
      <c r="G96" s="4" t="str">
        <f t="shared" si="23"/>
        <v>本科</v>
      </c>
      <c r="H96" s="4" t="str">
        <f t="shared" si="24"/>
        <v>学士</v>
      </c>
      <c r="I96" s="4" t="str">
        <f>"通信工程"</f>
        <v>通信工程</v>
      </c>
      <c r="J96" s="4" t="str">
        <f t="shared" si="26"/>
        <v>无</v>
      </c>
    </row>
    <row r="97" spans="1:10" ht="27" customHeight="1">
      <c r="A97" s="4">
        <v>95</v>
      </c>
      <c r="B97" s="4" t="str">
        <f>"225720191216115232224399"</f>
        <v>225720191216115232224399</v>
      </c>
      <c r="C97" s="4" t="s">
        <v>12</v>
      </c>
      <c r="D97" s="4" t="str">
        <f>"张琳珩"</f>
        <v>张琳珩</v>
      </c>
      <c r="E97" s="4" t="str">
        <f>"男"</f>
        <v>男</v>
      </c>
      <c r="F97" s="4" t="str">
        <f>"1992-02-07"</f>
        <v>1992-02-07</v>
      </c>
      <c r="G97" s="4" t="str">
        <f t="shared" si="23"/>
        <v>本科</v>
      </c>
      <c r="H97" s="4" t="str">
        <f t="shared" si="24"/>
        <v>学士</v>
      </c>
      <c r="I97" s="4" t="str">
        <f>"法学专业"</f>
        <v>法学专业</v>
      </c>
      <c r="J97" s="4" t="str">
        <f>"商务"</f>
        <v>商务</v>
      </c>
    </row>
    <row r="98" spans="1:10" ht="27" customHeight="1">
      <c r="A98" s="4">
        <v>96</v>
      </c>
      <c r="B98" s="4" t="str">
        <f>"225720191216115404224402"</f>
        <v>225720191216115404224402</v>
      </c>
      <c r="C98" s="4" t="s">
        <v>12</v>
      </c>
      <c r="D98" s="4" t="str">
        <f>"贺怡然"</f>
        <v>贺怡然</v>
      </c>
      <c r="E98" s="4" t="str">
        <f t="shared" si="27"/>
        <v>女</v>
      </c>
      <c r="F98" s="4" t="str">
        <f>"1994-12-30"</f>
        <v>1994-12-30</v>
      </c>
      <c r="G98" s="4" t="str">
        <f t="shared" si="23"/>
        <v>本科</v>
      </c>
      <c r="H98" s="4" t="str">
        <f t="shared" si="24"/>
        <v>学士</v>
      </c>
      <c r="I98" s="4" t="str">
        <f>"汉语言文学"</f>
        <v>汉语言文学</v>
      </c>
      <c r="J98" s="4" t="str">
        <f aca="true" t="shared" si="28" ref="J98:J110">"无"</f>
        <v>无</v>
      </c>
    </row>
    <row r="99" spans="1:10" ht="27" customHeight="1">
      <c r="A99" s="4">
        <v>97</v>
      </c>
      <c r="B99" s="4" t="str">
        <f>"225720191216120340224420"</f>
        <v>225720191216120340224420</v>
      </c>
      <c r="C99" s="4" t="s">
        <v>12</v>
      </c>
      <c r="D99" s="4" t="str">
        <f>"林之雯"</f>
        <v>林之雯</v>
      </c>
      <c r="E99" s="4" t="str">
        <f t="shared" si="27"/>
        <v>女</v>
      </c>
      <c r="F99" s="4" t="str">
        <f>"1997-08-25"</f>
        <v>1997-08-25</v>
      </c>
      <c r="G99" s="4" t="str">
        <f t="shared" si="23"/>
        <v>本科</v>
      </c>
      <c r="H99" s="4" t="str">
        <f t="shared" si="24"/>
        <v>学士</v>
      </c>
      <c r="I99" s="4" t="str">
        <f>"汉语言文学专业"</f>
        <v>汉语言文学专业</v>
      </c>
      <c r="J99" s="4" t="str">
        <f t="shared" si="28"/>
        <v>无</v>
      </c>
    </row>
    <row r="100" spans="1:10" ht="27" customHeight="1">
      <c r="A100" s="4">
        <v>98</v>
      </c>
      <c r="B100" s="4" t="str">
        <f>"225720191216121116224424"</f>
        <v>225720191216121116224424</v>
      </c>
      <c r="C100" s="4" t="s">
        <v>16</v>
      </c>
      <c r="D100" s="4" t="str">
        <f>"庄慧"</f>
        <v>庄慧</v>
      </c>
      <c r="E100" s="4" t="str">
        <f t="shared" si="27"/>
        <v>女</v>
      </c>
      <c r="F100" s="4" t="str">
        <f>"1990-11-09"</f>
        <v>1990-11-09</v>
      </c>
      <c r="G100" s="4" t="str">
        <f t="shared" si="23"/>
        <v>本科</v>
      </c>
      <c r="H100" s="4" t="str">
        <f t="shared" si="24"/>
        <v>学士</v>
      </c>
      <c r="I100" s="4" t="str">
        <f>"资源环境与城乡规划管理"</f>
        <v>资源环境与城乡规划管理</v>
      </c>
      <c r="J100" s="4" t="str">
        <f>"地球物理勘查助理工程师"</f>
        <v>地球物理勘查助理工程师</v>
      </c>
    </row>
    <row r="101" spans="1:10" ht="27" customHeight="1">
      <c r="A101" s="4">
        <v>99</v>
      </c>
      <c r="B101" s="4" t="str">
        <f>"225720191216121338224430"</f>
        <v>225720191216121338224430</v>
      </c>
      <c r="C101" s="4" t="s">
        <v>12</v>
      </c>
      <c r="D101" s="4" t="str">
        <f>"郑馨鹏"</f>
        <v>郑馨鹏</v>
      </c>
      <c r="E101" s="4" t="str">
        <f>"男"</f>
        <v>男</v>
      </c>
      <c r="F101" s="4" t="str">
        <f>"1992-08-16"</f>
        <v>1992-08-16</v>
      </c>
      <c r="G101" s="4" t="str">
        <f t="shared" si="23"/>
        <v>本科</v>
      </c>
      <c r="H101" s="4" t="str">
        <f t="shared" si="24"/>
        <v>学士</v>
      </c>
      <c r="I101" s="4" t="str">
        <f>"城市规划"</f>
        <v>城市规划</v>
      </c>
      <c r="J101" s="4" t="str">
        <f t="shared" si="28"/>
        <v>无</v>
      </c>
    </row>
    <row r="102" spans="1:10" ht="27" customHeight="1">
      <c r="A102" s="4">
        <v>100</v>
      </c>
      <c r="B102" s="4" t="str">
        <f>"225720191216121434224432"</f>
        <v>225720191216121434224432</v>
      </c>
      <c r="C102" s="4" t="s">
        <v>12</v>
      </c>
      <c r="D102" s="4" t="str">
        <f>"许译元"</f>
        <v>许译元</v>
      </c>
      <c r="E102" s="4" t="str">
        <f>"女"</f>
        <v>女</v>
      </c>
      <c r="F102" s="4" t="str">
        <f>"1997-10-24"</f>
        <v>1997-10-24</v>
      </c>
      <c r="G102" s="4" t="str">
        <f t="shared" si="23"/>
        <v>本科</v>
      </c>
      <c r="H102" s="4" t="str">
        <f t="shared" si="24"/>
        <v>学士</v>
      </c>
      <c r="I102" s="4" t="str">
        <f>"法学"</f>
        <v>法学</v>
      </c>
      <c r="J102" s="4" t="str">
        <f t="shared" si="28"/>
        <v>无</v>
      </c>
    </row>
    <row r="103" spans="1:10" ht="27" customHeight="1">
      <c r="A103" s="4">
        <v>101</v>
      </c>
      <c r="B103" s="4" t="str">
        <f>"225720191216123145224456"</f>
        <v>225720191216123145224456</v>
      </c>
      <c r="C103" s="4" t="s">
        <v>12</v>
      </c>
      <c r="D103" s="4" t="str">
        <f>"吴文章"</f>
        <v>吴文章</v>
      </c>
      <c r="E103" s="4" t="str">
        <f>"男"</f>
        <v>男</v>
      </c>
      <c r="F103" s="4" t="str">
        <f>"1995-06-07"</f>
        <v>1995-06-07</v>
      </c>
      <c r="G103" s="4" t="str">
        <f t="shared" si="23"/>
        <v>本科</v>
      </c>
      <c r="H103" s="4" t="str">
        <f t="shared" si="24"/>
        <v>学士</v>
      </c>
      <c r="I103" s="4" t="str">
        <f>"法学"</f>
        <v>法学</v>
      </c>
      <c r="J103" s="4" t="str">
        <f t="shared" si="28"/>
        <v>无</v>
      </c>
    </row>
    <row r="104" spans="1:10" ht="27" customHeight="1">
      <c r="A104" s="4">
        <v>102</v>
      </c>
      <c r="B104" s="4" t="str">
        <f>"225720191216125015224483"</f>
        <v>225720191216125015224483</v>
      </c>
      <c r="C104" s="4" t="s">
        <v>12</v>
      </c>
      <c r="D104" s="4" t="str">
        <f>"符善庆"</f>
        <v>符善庆</v>
      </c>
      <c r="E104" s="4" t="str">
        <f>"女"</f>
        <v>女</v>
      </c>
      <c r="F104" s="4" t="str">
        <f>"1994-10-20"</f>
        <v>1994-10-20</v>
      </c>
      <c r="G104" s="4" t="str">
        <f t="shared" si="23"/>
        <v>本科</v>
      </c>
      <c r="H104" s="4" t="str">
        <f t="shared" si="24"/>
        <v>学士</v>
      </c>
      <c r="I104" s="4" t="str">
        <f>"人文地理与城乡规划"</f>
        <v>人文地理与城乡规划</v>
      </c>
      <c r="J104" s="4" t="str">
        <f t="shared" si="28"/>
        <v>无</v>
      </c>
    </row>
    <row r="105" spans="1:10" ht="27" customHeight="1">
      <c r="A105" s="4">
        <v>103</v>
      </c>
      <c r="B105" s="4" t="str">
        <f>"225720191216125053224484"</f>
        <v>225720191216125053224484</v>
      </c>
      <c r="C105" s="4" t="s">
        <v>12</v>
      </c>
      <c r="D105" s="4" t="str">
        <f>"张天成"</f>
        <v>张天成</v>
      </c>
      <c r="E105" s="4" t="str">
        <f>"男"</f>
        <v>男</v>
      </c>
      <c r="F105" s="4" t="str">
        <f>"1997-06-27"</f>
        <v>1997-06-27</v>
      </c>
      <c r="G105" s="4" t="str">
        <f t="shared" si="23"/>
        <v>本科</v>
      </c>
      <c r="H105" s="4" t="str">
        <f t="shared" si="24"/>
        <v>学士</v>
      </c>
      <c r="I105" s="4" t="str">
        <f>"土地资源管理"</f>
        <v>土地资源管理</v>
      </c>
      <c r="J105" s="4" t="str">
        <f t="shared" si="28"/>
        <v>无</v>
      </c>
    </row>
    <row r="106" spans="1:10" ht="27" customHeight="1">
      <c r="A106" s="4">
        <v>104</v>
      </c>
      <c r="B106" s="4" t="str">
        <f>"225720191216125321224488"</f>
        <v>225720191216125321224488</v>
      </c>
      <c r="C106" s="4" t="s">
        <v>12</v>
      </c>
      <c r="D106" s="4" t="str">
        <f>"陈莹"</f>
        <v>陈莹</v>
      </c>
      <c r="E106" s="4" t="str">
        <f>"女"</f>
        <v>女</v>
      </c>
      <c r="F106" s="4" t="str">
        <f>"1989-12-08"</f>
        <v>1989-12-08</v>
      </c>
      <c r="G106" s="4" t="str">
        <f t="shared" si="23"/>
        <v>本科</v>
      </c>
      <c r="H106" s="4" t="str">
        <f t="shared" si="24"/>
        <v>学士</v>
      </c>
      <c r="I106" s="4" t="str">
        <f>"法学专业"</f>
        <v>法学专业</v>
      </c>
      <c r="J106" s="4" t="str">
        <f t="shared" si="28"/>
        <v>无</v>
      </c>
    </row>
    <row r="107" spans="1:10" ht="27" customHeight="1">
      <c r="A107" s="4">
        <v>105</v>
      </c>
      <c r="B107" s="4" t="str">
        <f>"225720191216125447224489"</f>
        <v>225720191216125447224489</v>
      </c>
      <c r="C107" s="4" t="s">
        <v>12</v>
      </c>
      <c r="D107" s="4" t="str">
        <f>"周会人"</f>
        <v>周会人</v>
      </c>
      <c r="E107" s="4" t="str">
        <f>"男"</f>
        <v>男</v>
      </c>
      <c r="F107" s="4" t="str">
        <f>"1994-06-11"</f>
        <v>1994-06-11</v>
      </c>
      <c r="G107" s="4" t="str">
        <f t="shared" si="23"/>
        <v>本科</v>
      </c>
      <c r="H107" s="4" t="str">
        <f t="shared" si="24"/>
        <v>学士</v>
      </c>
      <c r="I107" s="4" t="str">
        <f>"城乡规划（景观设计师）"</f>
        <v>城乡规划（景观设计师）</v>
      </c>
      <c r="J107" s="4" t="str">
        <f t="shared" si="28"/>
        <v>无</v>
      </c>
    </row>
    <row r="108" spans="1:10" ht="27" customHeight="1">
      <c r="A108" s="4">
        <v>106</v>
      </c>
      <c r="B108" s="4" t="str">
        <f>"225720191216130149224497"</f>
        <v>225720191216130149224497</v>
      </c>
      <c r="C108" s="4" t="s">
        <v>12</v>
      </c>
      <c r="D108" s="4" t="str">
        <f>"陈雅思"</f>
        <v>陈雅思</v>
      </c>
      <c r="E108" s="4" t="str">
        <f>"女"</f>
        <v>女</v>
      </c>
      <c r="F108" s="4" t="str">
        <f>"1991-11-09"</f>
        <v>1991-11-09</v>
      </c>
      <c r="G108" s="4" t="str">
        <f t="shared" si="23"/>
        <v>本科</v>
      </c>
      <c r="H108" s="4" t="str">
        <f t="shared" si="24"/>
        <v>学士</v>
      </c>
      <c r="I108" s="4" t="str">
        <f>"法学"</f>
        <v>法学</v>
      </c>
      <c r="J108" s="4" t="str">
        <f t="shared" si="28"/>
        <v>无</v>
      </c>
    </row>
    <row r="109" spans="1:10" ht="27" customHeight="1">
      <c r="A109" s="4">
        <v>107</v>
      </c>
      <c r="B109" s="4" t="str">
        <f>"225720191216131224224514"</f>
        <v>225720191216131224224514</v>
      </c>
      <c r="C109" s="4" t="s">
        <v>11</v>
      </c>
      <c r="D109" s="4" t="str">
        <f>"王燕玲"</f>
        <v>王燕玲</v>
      </c>
      <c r="E109" s="4" t="str">
        <f>"女"</f>
        <v>女</v>
      </c>
      <c r="F109" s="4" t="str">
        <f>"1995-01-19"</f>
        <v>1995-01-19</v>
      </c>
      <c r="G109" s="4" t="str">
        <f t="shared" si="23"/>
        <v>本科</v>
      </c>
      <c r="H109" s="4" t="str">
        <f>"无"</f>
        <v>无</v>
      </c>
      <c r="I109" s="4" t="str">
        <f>"通信工程"</f>
        <v>通信工程</v>
      </c>
      <c r="J109" s="4" t="str">
        <f t="shared" si="28"/>
        <v>无</v>
      </c>
    </row>
    <row r="110" spans="1:10" ht="27" customHeight="1">
      <c r="A110" s="4">
        <v>108</v>
      </c>
      <c r="B110" s="4" t="str">
        <f>"225720191216132252224522"</f>
        <v>225720191216132252224522</v>
      </c>
      <c r="C110" s="4" t="s">
        <v>12</v>
      </c>
      <c r="D110" s="4" t="str">
        <f>"余玉梅"</f>
        <v>余玉梅</v>
      </c>
      <c r="E110" s="4" t="str">
        <f>"女"</f>
        <v>女</v>
      </c>
      <c r="F110" s="4" t="str">
        <f>"1991-01-17"</f>
        <v>1991-01-17</v>
      </c>
      <c r="G110" s="4" t="str">
        <f t="shared" si="23"/>
        <v>本科</v>
      </c>
      <c r="H110" s="4" t="str">
        <f aca="true" t="shared" si="29" ref="H110:H132">"学士"</f>
        <v>学士</v>
      </c>
      <c r="I110" s="4" t="str">
        <f>"法学"</f>
        <v>法学</v>
      </c>
      <c r="J110" s="4" t="str">
        <f t="shared" si="28"/>
        <v>无</v>
      </c>
    </row>
    <row r="111" spans="1:10" ht="27" customHeight="1">
      <c r="A111" s="4">
        <v>109</v>
      </c>
      <c r="B111" s="4" t="str">
        <f>"225720191216132258224523"</f>
        <v>225720191216132258224523</v>
      </c>
      <c r="C111" s="4" t="s">
        <v>14</v>
      </c>
      <c r="D111" s="4" t="str">
        <f>"黄秋影"</f>
        <v>黄秋影</v>
      </c>
      <c r="E111" s="4" t="str">
        <f>"女"</f>
        <v>女</v>
      </c>
      <c r="F111" s="4" t="str">
        <f>"1985-10-30"</f>
        <v>1985-10-30</v>
      </c>
      <c r="G111" s="4" t="str">
        <f t="shared" si="23"/>
        <v>本科</v>
      </c>
      <c r="H111" s="4" t="str">
        <f t="shared" si="29"/>
        <v>学士</v>
      </c>
      <c r="I111" s="4" t="str">
        <f>"遥感科学与技术"</f>
        <v>遥感科学与技术</v>
      </c>
      <c r="J111" s="4" t="str">
        <f>"工程师"</f>
        <v>工程师</v>
      </c>
    </row>
    <row r="112" spans="1:10" ht="27" customHeight="1">
      <c r="A112" s="4">
        <v>110</v>
      </c>
      <c r="B112" s="4" t="str">
        <f>"225720191216135405224562"</f>
        <v>225720191216135405224562</v>
      </c>
      <c r="C112" s="4" t="s">
        <v>15</v>
      </c>
      <c r="D112" s="4" t="str">
        <f>"苏迈"</f>
        <v>苏迈</v>
      </c>
      <c r="E112" s="4" t="str">
        <f>"男"</f>
        <v>男</v>
      </c>
      <c r="F112" s="4" t="str">
        <f>"1994-11-08"</f>
        <v>1994-11-08</v>
      </c>
      <c r="G112" s="4" t="str">
        <f t="shared" si="23"/>
        <v>本科</v>
      </c>
      <c r="H112" s="4" t="str">
        <f t="shared" si="29"/>
        <v>学士</v>
      </c>
      <c r="I112" s="4" t="str">
        <f>"土地资源管理"</f>
        <v>土地资源管理</v>
      </c>
      <c r="J112" s="4" t="str">
        <f>"无"</f>
        <v>无</v>
      </c>
    </row>
    <row r="113" spans="1:10" ht="27" customHeight="1">
      <c r="A113" s="4">
        <v>111</v>
      </c>
      <c r="B113" s="4" t="str">
        <f>"225720191216135513224568"</f>
        <v>225720191216135513224568</v>
      </c>
      <c r="C113" s="4" t="s">
        <v>12</v>
      </c>
      <c r="D113" s="4" t="str">
        <f>"岳釜平"</f>
        <v>岳釜平</v>
      </c>
      <c r="E113" s="4" t="str">
        <f>"男"</f>
        <v>男</v>
      </c>
      <c r="F113" s="4" t="str">
        <f>"1984-01-05"</f>
        <v>1984-01-05</v>
      </c>
      <c r="G113" s="4" t="str">
        <f t="shared" si="23"/>
        <v>本科</v>
      </c>
      <c r="H113" s="4" t="str">
        <f t="shared" si="29"/>
        <v>学士</v>
      </c>
      <c r="I113" s="4" t="str">
        <f>"汉语言文学"</f>
        <v>汉语言文学</v>
      </c>
      <c r="J113" s="4" t="str">
        <f>"无"</f>
        <v>无</v>
      </c>
    </row>
    <row r="114" spans="1:10" ht="27" customHeight="1">
      <c r="A114" s="4">
        <v>112</v>
      </c>
      <c r="B114" s="4" t="str">
        <f>"225720191216140700224577"</f>
        <v>225720191216140700224577</v>
      </c>
      <c r="C114" s="4" t="s">
        <v>12</v>
      </c>
      <c r="D114" s="4" t="str">
        <f>"刘爱建"</f>
        <v>刘爱建</v>
      </c>
      <c r="E114" s="4" t="str">
        <f>"男"</f>
        <v>男</v>
      </c>
      <c r="F114" s="4" t="str">
        <f>"1994-01-02"</f>
        <v>1994-01-02</v>
      </c>
      <c r="G114" s="4" t="str">
        <f t="shared" si="23"/>
        <v>本科</v>
      </c>
      <c r="H114" s="4" t="str">
        <f t="shared" si="29"/>
        <v>学士</v>
      </c>
      <c r="I114" s="4" t="str">
        <f>"法学"</f>
        <v>法学</v>
      </c>
      <c r="J114" s="4" t="str">
        <f>"无"</f>
        <v>无</v>
      </c>
    </row>
    <row r="115" spans="1:10" ht="27" customHeight="1">
      <c r="A115" s="4">
        <v>113</v>
      </c>
      <c r="B115" s="4" t="str">
        <f>"225720191216140910224583"</f>
        <v>225720191216140910224583</v>
      </c>
      <c r="C115" s="4" t="s">
        <v>17</v>
      </c>
      <c r="D115" s="4" t="str">
        <f>"许燕芬"</f>
        <v>许燕芬</v>
      </c>
      <c r="E115" s="4" t="str">
        <f aca="true" t="shared" si="30" ref="E115:E120">"女"</f>
        <v>女</v>
      </c>
      <c r="F115" s="4" t="str">
        <f>"1995-03-23"</f>
        <v>1995-03-23</v>
      </c>
      <c r="G115" s="4" t="str">
        <f t="shared" si="23"/>
        <v>本科</v>
      </c>
      <c r="H115" s="4" t="str">
        <f t="shared" si="29"/>
        <v>学士</v>
      </c>
      <c r="I115" s="4" t="str">
        <f>"计算机科学与技术"</f>
        <v>计算机科学与技术</v>
      </c>
      <c r="J115" s="4" t="str">
        <f>"无"</f>
        <v>无</v>
      </c>
    </row>
    <row r="116" spans="1:10" ht="27" customHeight="1">
      <c r="A116" s="4">
        <v>114</v>
      </c>
      <c r="B116" s="4" t="str">
        <f>"225720191216141124224587"</f>
        <v>225720191216141124224587</v>
      </c>
      <c r="C116" s="4" t="s">
        <v>12</v>
      </c>
      <c r="D116" s="4" t="str">
        <f>"郑惠"</f>
        <v>郑惠</v>
      </c>
      <c r="E116" s="4" t="str">
        <f t="shared" si="30"/>
        <v>女</v>
      </c>
      <c r="F116" s="4" t="str">
        <f>"1996-09-06"</f>
        <v>1996-09-06</v>
      </c>
      <c r="G116" s="4" t="str">
        <f t="shared" si="23"/>
        <v>本科</v>
      </c>
      <c r="H116" s="4" t="str">
        <f t="shared" si="29"/>
        <v>学士</v>
      </c>
      <c r="I116" s="4" t="str">
        <f>"汉语言文学专业"</f>
        <v>汉语言文学专业</v>
      </c>
      <c r="J116" s="4" t="str">
        <f>"无"</f>
        <v>无</v>
      </c>
    </row>
    <row r="117" spans="1:10" ht="27" customHeight="1">
      <c r="A117" s="4">
        <v>115</v>
      </c>
      <c r="B117" s="4" t="str">
        <f>"225720191216141338224591"</f>
        <v>225720191216141338224591</v>
      </c>
      <c r="C117" s="4" t="s">
        <v>12</v>
      </c>
      <c r="D117" s="4" t="str">
        <f>"李叶"</f>
        <v>李叶</v>
      </c>
      <c r="E117" s="4" t="str">
        <f t="shared" si="30"/>
        <v>女</v>
      </c>
      <c r="F117" s="4" t="str">
        <f>"1994-11-19"</f>
        <v>1994-11-19</v>
      </c>
      <c r="G117" s="4" t="str">
        <f t="shared" si="23"/>
        <v>本科</v>
      </c>
      <c r="H117" s="4" t="str">
        <f t="shared" si="29"/>
        <v>学士</v>
      </c>
      <c r="I117" s="4" t="str">
        <f>"汉语言文学"</f>
        <v>汉语言文学</v>
      </c>
      <c r="J117" s="4" t="str">
        <f>"市场专员"</f>
        <v>市场专员</v>
      </c>
    </row>
    <row r="118" spans="1:10" ht="27" customHeight="1">
      <c r="A118" s="4">
        <v>116</v>
      </c>
      <c r="B118" s="4" t="str">
        <f>"225720191216141950224599"</f>
        <v>225720191216141950224599</v>
      </c>
      <c r="C118" s="4" t="s">
        <v>13</v>
      </c>
      <c r="D118" s="4" t="str">
        <f>"高燕"</f>
        <v>高燕</v>
      </c>
      <c r="E118" s="4" t="str">
        <f t="shared" si="30"/>
        <v>女</v>
      </c>
      <c r="F118" s="4" t="str">
        <f>"1992-09-20"</f>
        <v>1992-09-20</v>
      </c>
      <c r="G118" s="4" t="str">
        <f t="shared" si="23"/>
        <v>本科</v>
      </c>
      <c r="H118" s="4" t="str">
        <f t="shared" si="29"/>
        <v>学士</v>
      </c>
      <c r="I118" s="4" t="str">
        <f>"新闻学"</f>
        <v>新闻学</v>
      </c>
      <c r="J118" s="4" t="str">
        <f>"网络文编"</f>
        <v>网络文编</v>
      </c>
    </row>
    <row r="119" spans="1:10" ht="27" customHeight="1">
      <c r="A119" s="4">
        <v>117</v>
      </c>
      <c r="B119" s="4" t="str">
        <f>"225720191216142025224600"</f>
        <v>225720191216142025224600</v>
      </c>
      <c r="C119" s="4" t="s">
        <v>16</v>
      </c>
      <c r="D119" s="4" t="str">
        <f>"陈惠音"</f>
        <v>陈惠音</v>
      </c>
      <c r="E119" s="4" t="str">
        <f t="shared" si="30"/>
        <v>女</v>
      </c>
      <c r="F119" s="4" t="str">
        <f>"1991-10-04"</f>
        <v>1991-10-04</v>
      </c>
      <c r="G119" s="4" t="str">
        <f t="shared" si="23"/>
        <v>本科</v>
      </c>
      <c r="H119" s="4" t="str">
        <f t="shared" si="29"/>
        <v>学士</v>
      </c>
      <c r="I119" s="4" t="str">
        <f>"地理信息系统"</f>
        <v>地理信息系统</v>
      </c>
      <c r="J119" s="4" t="str">
        <f>"初级工程师"</f>
        <v>初级工程师</v>
      </c>
    </row>
    <row r="120" spans="1:10" ht="27" customHeight="1">
      <c r="A120" s="4">
        <v>118</v>
      </c>
      <c r="B120" s="4" t="str">
        <f>"225720191216142105224601"</f>
        <v>225720191216142105224601</v>
      </c>
      <c r="C120" s="4" t="s">
        <v>17</v>
      </c>
      <c r="D120" s="4" t="str">
        <f>"邓雪银"</f>
        <v>邓雪银</v>
      </c>
      <c r="E120" s="4" t="str">
        <f t="shared" si="30"/>
        <v>女</v>
      </c>
      <c r="F120" s="4" t="str">
        <f>"1993-10-19"</f>
        <v>1993-10-19</v>
      </c>
      <c r="G120" s="4" t="str">
        <f t="shared" si="23"/>
        <v>本科</v>
      </c>
      <c r="H120" s="4" t="str">
        <f t="shared" si="29"/>
        <v>学士</v>
      </c>
      <c r="I120" s="4" t="str">
        <f>"计算机科学与技术"</f>
        <v>计算机科学与技术</v>
      </c>
      <c r="J120" s="4" t="str">
        <f>"助理工程师"</f>
        <v>助理工程师</v>
      </c>
    </row>
    <row r="121" spans="1:10" ht="27" customHeight="1">
      <c r="A121" s="4">
        <v>119</v>
      </c>
      <c r="B121" s="4" t="str">
        <f>"225720191216142425224603"</f>
        <v>225720191216142425224603</v>
      </c>
      <c r="C121" s="4" t="s">
        <v>11</v>
      </c>
      <c r="D121" s="4" t="str">
        <f>"周萃诗"</f>
        <v>周萃诗</v>
      </c>
      <c r="E121" s="4" t="str">
        <f>"男"</f>
        <v>男</v>
      </c>
      <c r="F121" s="4" t="str">
        <f>"1995-10-05"</f>
        <v>1995-10-05</v>
      </c>
      <c r="G121" s="4" t="str">
        <f t="shared" si="23"/>
        <v>本科</v>
      </c>
      <c r="H121" s="4" t="str">
        <f t="shared" si="29"/>
        <v>学士</v>
      </c>
      <c r="I121" s="4" t="str">
        <f>"计算机科学与技术"</f>
        <v>计算机科学与技术</v>
      </c>
      <c r="J121" s="4" t="str">
        <f>"无"</f>
        <v>无</v>
      </c>
    </row>
    <row r="122" spans="1:10" ht="27" customHeight="1">
      <c r="A122" s="4">
        <v>120</v>
      </c>
      <c r="B122" s="4" t="str">
        <f>"225720191216144237224623"</f>
        <v>225720191216144237224623</v>
      </c>
      <c r="C122" s="4" t="s">
        <v>12</v>
      </c>
      <c r="D122" s="4" t="str">
        <f>"梁家欣"</f>
        <v>梁家欣</v>
      </c>
      <c r="E122" s="4" t="str">
        <f aca="true" t="shared" si="31" ref="E122:E128">"女"</f>
        <v>女</v>
      </c>
      <c r="F122" s="4" t="str">
        <f>"1996-02-23"</f>
        <v>1996-02-23</v>
      </c>
      <c r="G122" s="4" t="str">
        <f t="shared" si="23"/>
        <v>本科</v>
      </c>
      <c r="H122" s="4" t="str">
        <f t="shared" si="29"/>
        <v>学士</v>
      </c>
      <c r="I122" s="4" t="str">
        <f>"人文地理与城乡规划"</f>
        <v>人文地理与城乡规划</v>
      </c>
      <c r="J122" s="4" t="str">
        <f>"无"</f>
        <v>无</v>
      </c>
    </row>
    <row r="123" spans="1:10" ht="27" customHeight="1">
      <c r="A123" s="4">
        <v>121</v>
      </c>
      <c r="B123" s="4" t="str">
        <f>"225720191216144322224625"</f>
        <v>225720191216144322224625</v>
      </c>
      <c r="C123" s="4" t="s">
        <v>12</v>
      </c>
      <c r="D123" s="4" t="str">
        <f>"蒙仙飞"</f>
        <v>蒙仙飞</v>
      </c>
      <c r="E123" s="4" t="str">
        <f t="shared" si="31"/>
        <v>女</v>
      </c>
      <c r="F123" s="4" t="str">
        <f>"1996-08-25"</f>
        <v>1996-08-25</v>
      </c>
      <c r="G123" s="4" t="str">
        <f t="shared" si="23"/>
        <v>本科</v>
      </c>
      <c r="H123" s="4" t="str">
        <f t="shared" si="29"/>
        <v>学士</v>
      </c>
      <c r="I123" s="4" t="str">
        <f>"法学"</f>
        <v>法学</v>
      </c>
      <c r="J123" s="4" t="str">
        <f>"无"</f>
        <v>无</v>
      </c>
    </row>
    <row r="124" spans="1:10" ht="27" customHeight="1">
      <c r="A124" s="4">
        <v>122</v>
      </c>
      <c r="B124" s="4" t="str">
        <f>"225720191216144711224630"</f>
        <v>225720191216144711224630</v>
      </c>
      <c r="C124" s="4" t="s">
        <v>12</v>
      </c>
      <c r="D124" s="4" t="str">
        <f>"符健荣"</f>
        <v>符健荣</v>
      </c>
      <c r="E124" s="4" t="str">
        <f>"男"</f>
        <v>男</v>
      </c>
      <c r="F124" s="4" t="str">
        <f>"1996-05-07"</f>
        <v>1996-05-07</v>
      </c>
      <c r="G124" s="4" t="str">
        <f t="shared" si="23"/>
        <v>本科</v>
      </c>
      <c r="H124" s="4" t="str">
        <f t="shared" si="29"/>
        <v>学士</v>
      </c>
      <c r="I124" s="4" t="str">
        <f>"人文地理与城乡规划"</f>
        <v>人文地理与城乡规划</v>
      </c>
      <c r="J124" s="4" t="str">
        <f>"无"</f>
        <v>无</v>
      </c>
    </row>
    <row r="125" spans="1:10" ht="27" customHeight="1">
      <c r="A125" s="4">
        <v>123</v>
      </c>
      <c r="B125" s="4" t="str">
        <f>"225720191216144915224634"</f>
        <v>225720191216144915224634</v>
      </c>
      <c r="C125" s="4" t="s">
        <v>18</v>
      </c>
      <c r="D125" s="4" t="str">
        <f>"韦燕"</f>
        <v>韦燕</v>
      </c>
      <c r="E125" s="4" t="str">
        <f t="shared" si="31"/>
        <v>女</v>
      </c>
      <c r="F125" s="4" t="str">
        <f>"1992-06-19"</f>
        <v>1992-06-19</v>
      </c>
      <c r="G125" s="4" t="str">
        <f t="shared" si="23"/>
        <v>本科</v>
      </c>
      <c r="H125" s="4" t="str">
        <f t="shared" si="29"/>
        <v>学士</v>
      </c>
      <c r="I125" s="4" t="str">
        <f>"会计学"</f>
        <v>会计学</v>
      </c>
      <c r="J125" s="4" t="str">
        <f>"助理会计师"</f>
        <v>助理会计师</v>
      </c>
    </row>
    <row r="126" spans="1:10" ht="27" customHeight="1">
      <c r="A126" s="4">
        <v>124</v>
      </c>
      <c r="B126" s="4" t="str">
        <f>"225720191216144939224635"</f>
        <v>225720191216144939224635</v>
      </c>
      <c r="C126" s="4" t="s">
        <v>12</v>
      </c>
      <c r="D126" s="4" t="str">
        <f>"甘露"</f>
        <v>甘露</v>
      </c>
      <c r="E126" s="4" t="str">
        <f t="shared" si="31"/>
        <v>女</v>
      </c>
      <c r="F126" s="4" t="str">
        <f>"1996-10-20"</f>
        <v>1996-10-20</v>
      </c>
      <c r="G126" s="4" t="str">
        <f t="shared" si="23"/>
        <v>本科</v>
      </c>
      <c r="H126" s="4" t="str">
        <f t="shared" si="29"/>
        <v>学士</v>
      </c>
      <c r="I126" s="4" t="str">
        <f>"汉语言文学"</f>
        <v>汉语言文学</v>
      </c>
      <c r="J126" s="4" t="str">
        <f aca="true" t="shared" si="32" ref="J126:J134">"无"</f>
        <v>无</v>
      </c>
    </row>
    <row r="127" spans="1:10" ht="27" customHeight="1">
      <c r="A127" s="4">
        <v>125</v>
      </c>
      <c r="B127" s="4" t="str">
        <f>"225720191216145754224649"</f>
        <v>225720191216145754224649</v>
      </c>
      <c r="C127" s="4" t="s">
        <v>12</v>
      </c>
      <c r="D127" s="4" t="str">
        <f>"吕姗轩"</f>
        <v>吕姗轩</v>
      </c>
      <c r="E127" s="4" t="str">
        <f t="shared" si="31"/>
        <v>女</v>
      </c>
      <c r="F127" s="4" t="str">
        <f>"1992-10-26"</f>
        <v>1992-10-26</v>
      </c>
      <c r="G127" s="4" t="str">
        <f t="shared" si="23"/>
        <v>本科</v>
      </c>
      <c r="H127" s="4" t="str">
        <f t="shared" si="29"/>
        <v>学士</v>
      </c>
      <c r="I127" s="4" t="str">
        <f>"土地资源管理"</f>
        <v>土地资源管理</v>
      </c>
      <c r="J127" s="4" t="str">
        <f t="shared" si="32"/>
        <v>无</v>
      </c>
    </row>
    <row r="128" spans="1:10" ht="27" customHeight="1">
      <c r="A128" s="4">
        <v>126</v>
      </c>
      <c r="B128" s="4" t="str">
        <f>"225720191216150124224651"</f>
        <v>225720191216150124224651</v>
      </c>
      <c r="C128" s="4" t="s">
        <v>12</v>
      </c>
      <c r="D128" s="4" t="str">
        <f>"陈月文"</f>
        <v>陈月文</v>
      </c>
      <c r="E128" s="4" t="str">
        <f t="shared" si="31"/>
        <v>女</v>
      </c>
      <c r="F128" s="4" t="str">
        <f>"1991-03-31"</f>
        <v>1991-03-31</v>
      </c>
      <c r="G128" s="4" t="str">
        <f t="shared" si="23"/>
        <v>本科</v>
      </c>
      <c r="H128" s="4" t="str">
        <f t="shared" si="29"/>
        <v>学士</v>
      </c>
      <c r="I128" s="4" t="str">
        <f>"法学专业"</f>
        <v>法学专业</v>
      </c>
      <c r="J128" s="4" t="str">
        <f t="shared" si="32"/>
        <v>无</v>
      </c>
    </row>
    <row r="129" spans="1:10" ht="27" customHeight="1">
      <c r="A129" s="4">
        <v>127</v>
      </c>
      <c r="B129" s="4" t="str">
        <f>"225720191216150349224657"</f>
        <v>225720191216150349224657</v>
      </c>
      <c r="C129" s="4" t="s">
        <v>12</v>
      </c>
      <c r="D129" s="4" t="str">
        <f>"郭泽锦"</f>
        <v>郭泽锦</v>
      </c>
      <c r="E129" s="4" t="str">
        <f>"男"</f>
        <v>男</v>
      </c>
      <c r="F129" s="4" t="str">
        <f>"1996-10-18"</f>
        <v>1996-10-18</v>
      </c>
      <c r="G129" s="4" t="str">
        <f t="shared" si="23"/>
        <v>本科</v>
      </c>
      <c r="H129" s="4" t="str">
        <f t="shared" si="29"/>
        <v>学士</v>
      </c>
      <c r="I129" s="4" t="str">
        <f>"汉语言文学"</f>
        <v>汉语言文学</v>
      </c>
      <c r="J129" s="4" t="str">
        <f t="shared" si="32"/>
        <v>无</v>
      </c>
    </row>
    <row r="130" spans="1:10" ht="27" customHeight="1">
      <c r="A130" s="4">
        <v>128</v>
      </c>
      <c r="B130" s="4" t="str">
        <f>"225720191216151623224685"</f>
        <v>225720191216151623224685</v>
      </c>
      <c r="C130" s="4" t="s">
        <v>15</v>
      </c>
      <c r="D130" s="4" t="str">
        <f>"王月照"</f>
        <v>王月照</v>
      </c>
      <c r="E130" s="4" t="str">
        <f>"男"</f>
        <v>男</v>
      </c>
      <c r="F130" s="4" t="str">
        <f>"1995-05-28"</f>
        <v>1995-05-28</v>
      </c>
      <c r="G130" s="4" t="str">
        <f t="shared" si="23"/>
        <v>本科</v>
      </c>
      <c r="H130" s="4" t="str">
        <f t="shared" si="29"/>
        <v>学士</v>
      </c>
      <c r="I130" s="4" t="str">
        <f>"测绘工程"</f>
        <v>测绘工程</v>
      </c>
      <c r="J130" s="4" t="str">
        <f t="shared" si="32"/>
        <v>无</v>
      </c>
    </row>
    <row r="131" spans="1:10" ht="27" customHeight="1">
      <c r="A131" s="4">
        <v>129</v>
      </c>
      <c r="B131" s="4" t="str">
        <f>"225720191216151733224688"</f>
        <v>225720191216151733224688</v>
      </c>
      <c r="C131" s="4" t="s">
        <v>12</v>
      </c>
      <c r="D131" s="4" t="str">
        <f>"李威"</f>
        <v>李威</v>
      </c>
      <c r="E131" s="4" t="str">
        <f>"男"</f>
        <v>男</v>
      </c>
      <c r="F131" s="4" t="str">
        <f>"1995-02-11"</f>
        <v>1995-02-11</v>
      </c>
      <c r="G131" s="4" t="str">
        <f t="shared" si="23"/>
        <v>本科</v>
      </c>
      <c r="H131" s="4" t="str">
        <f t="shared" si="29"/>
        <v>学士</v>
      </c>
      <c r="I131" s="4" t="str">
        <f>"汉语言文学（高级文员方向）"</f>
        <v>汉语言文学（高级文员方向）</v>
      </c>
      <c r="J131" s="4" t="str">
        <f t="shared" si="32"/>
        <v>无</v>
      </c>
    </row>
    <row r="132" spans="1:10" ht="27" customHeight="1">
      <c r="A132" s="4">
        <v>130</v>
      </c>
      <c r="B132" s="4" t="str">
        <f>"225720191216152000224695"</f>
        <v>225720191216152000224695</v>
      </c>
      <c r="C132" s="4" t="s">
        <v>12</v>
      </c>
      <c r="D132" s="4" t="str">
        <f>"黄家丽"</f>
        <v>黄家丽</v>
      </c>
      <c r="E132" s="4" t="str">
        <f aca="true" t="shared" si="33" ref="E132:E141">"女"</f>
        <v>女</v>
      </c>
      <c r="F132" s="4" t="str">
        <f>"1996-11-18"</f>
        <v>1996-11-18</v>
      </c>
      <c r="G132" s="4" t="str">
        <f t="shared" si="23"/>
        <v>本科</v>
      </c>
      <c r="H132" s="4" t="str">
        <f t="shared" si="29"/>
        <v>学士</v>
      </c>
      <c r="I132" s="4" t="str">
        <f>"法学"</f>
        <v>法学</v>
      </c>
      <c r="J132" s="4" t="str">
        <f t="shared" si="32"/>
        <v>无</v>
      </c>
    </row>
    <row r="133" spans="1:10" ht="27" customHeight="1">
      <c r="A133" s="4">
        <v>131</v>
      </c>
      <c r="B133" s="4" t="str">
        <f>"225720191216152056224697"</f>
        <v>225720191216152056224697</v>
      </c>
      <c r="C133" s="4" t="s">
        <v>12</v>
      </c>
      <c r="D133" s="4" t="str">
        <f>"杜宗雨"</f>
        <v>杜宗雨</v>
      </c>
      <c r="E133" s="4" t="str">
        <f>"男"</f>
        <v>男</v>
      </c>
      <c r="F133" s="4" t="str">
        <f>"1996-04-28"</f>
        <v>1996-04-28</v>
      </c>
      <c r="G133" s="4" t="str">
        <f t="shared" si="23"/>
        <v>本科</v>
      </c>
      <c r="H133" s="4" t="str">
        <f>"无"</f>
        <v>无</v>
      </c>
      <c r="I133" s="4" t="str">
        <f>"城乡规划（景观设计师）"</f>
        <v>城乡规划（景观设计师）</v>
      </c>
      <c r="J133" s="4" t="str">
        <f t="shared" si="32"/>
        <v>无</v>
      </c>
    </row>
    <row r="134" spans="1:10" ht="27" customHeight="1">
      <c r="A134" s="4">
        <v>132</v>
      </c>
      <c r="B134" s="4" t="str">
        <f>"225720191216152757224712"</f>
        <v>225720191216152757224712</v>
      </c>
      <c r="C134" s="4" t="s">
        <v>12</v>
      </c>
      <c r="D134" s="4" t="str">
        <f>"丁紫欣"</f>
        <v>丁紫欣</v>
      </c>
      <c r="E134" s="4" t="str">
        <f t="shared" si="33"/>
        <v>女</v>
      </c>
      <c r="F134" s="4" t="str">
        <f>"1992-06-16"</f>
        <v>1992-06-16</v>
      </c>
      <c r="G134" s="4" t="str">
        <f t="shared" si="23"/>
        <v>本科</v>
      </c>
      <c r="H134" s="4" t="str">
        <f aca="true" t="shared" si="34" ref="H134:H151">"学士"</f>
        <v>学士</v>
      </c>
      <c r="I134" s="4" t="str">
        <f aca="true" t="shared" si="35" ref="I134:I139">"汉语言文学"</f>
        <v>汉语言文学</v>
      </c>
      <c r="J134" s="4" t="str">
        <f t="shared" si="32"/>
        <v>无</v>
      </c>
    </row>
    <row r="135" spans="1:10" ht="27" customHeight="1">
      <c r="A135" s="4">
        <v>133</v>
      </c>
      <c r="B135" s="4" t="str">
        <f>"225720191216153149224721"</f>
        <v>225720191216153149224721</v>
      </c>
      <c r="C135" s="4" t="s">
        <v>11</v>
      </c>
      <c r="D135" s="4" t="str">
        <f>"王康润"</f>
        <v>王康润</v>
      </c>
      <c r="E135" s="4" t="str">
        <f>"男"</f>
        <v>男</v>
      </c>
      <c r="F135" s="4" t="str">
        <f>"1989-12-24"</f>
        <v>1989-12-24</v>
      </c>
      <c r="G135" s="4" t="str">
        <f t="shared" si="23"/>
        <v>本科</v>
      </c>
      <c r="H135" s="4" t="str">
        <f t="shared" si="34"/>
        <v>学士</v>
      </c>
      <c r="I135" s="4" t="str">
        <f>"车辆工程"</f>
        <v>车辆工程</v>
      </c>
      <c r="J135" s="4" t="str">
        <f>"中级网络工程师"</f>
        <v>中级网络工程师</v>
      </c>
    </row>
    <row r="136" spans="1:10" ht="27" customHeight="1">
      <c r="A136" s="4">
        <v>134</v>
      </c>
      <c r="B136" s="4" t="str">
        <f>"225720191216153424224727"</f>
        <v>225720191216153424224727</v>
      </c>
      <c r="C136" s="4" t="s">
        <v>11</v>
      </c>
      <c r="D136" s="4" t="str">
        <f>"蒙清华"</f>
        <v>蒙清华</v>
      </c>
      <c r="E136" s="4" t="str">
        <f t="shared" si="33"/>
        <v>女</v>
      </c>
      <c r="F136" s="4" t="str">
        <f>"1996-03-10"</f>
        <v>1996-03-10</v>
      </c>
      <c r="G136" s="4" t="str">
        <f t="shared" si="23"/>
        <v>本科</v>
      </c>
      <c r="H136" s="4" t="str">
        <f t="shared" si="34"/>
        <v>学士</v>
      </c>
      <c r="I136" s="4" t="str">
        <f>"通信工程"</f>
        <v>通信工程</v>
      </c>
      <c r="J136" s="4" t="str">
        <f>"未婚"</f>
        <v>未婚</v>
      </c>
    </row>
    <row r="137" spans="1:10" ht="27" customHeight="1">
      <c r="A137" s="4">
        <v>135</v>
      </c>
      <c r="B137" s="4" t="str">
        <f>"225720191216153830224732"</f>
        <v>225720191216153830224732</v>
      </c>
      <c r="C137" s="4" t="s">
        <v>12</v>
      </c>
      <c r="D137" s="4" t="str">
        <f>"李梦怡"</f>
        <v>李梦怡</v>
      </c>
      <c r="E137" s="4" t="str">
        <f t="shared" si="33"/>
        <v>女</v>
      </c>
      <c r="F137" s="4" t="str">
        <f>"1996-03-29"</f>
        <v>1996-03-29</v>
      </c>
      <c r="G137" s="4" t="str">
        <f t="shared" si="23"/>
        <v>本科</v>
      </c>
      <c r="H137" s="4" t="str">
        <f t="shared" si="34"/>
        <v>学士</v>
      </c>
      <c r="I137" s="4" t="str">
        <f t="shared" si="35"/>
        <v>汉语言文学</v>
      </c>
      <c r="J137" s="4" t="str">
        <f aca="true" t="shared" si="36" ref="J137:J142">"无"</f>
        <v>无</v>
      </c>
    </row>
    <row r="138" spans="1:10" ht="27" customHeight="1">
      <c r="A138" s="4">
        <v>136</v>
      </c>
      <c r="B138" s="4" t="str">
        <f>"225720191216154113224737"</f>
        <v>225720191216154113224737</v>
      </c>
      <c r="C138" s="4" t="s">
        <v>12</v>
      </c>
      <c r="D138" s="4" t="str">
        <f>"曾珊珊"</f>
        <v>曾珊珊</v>
      </c>
      <c r="E138" s="4" t="str">
        <f t="shared" si="33"/>
        <v>女</v>
      </c>
      <c r="F138" s="4" t="str">
        <f>"1994-06-16"</f>
        <v>1994-06-16</v>
      </c>
      <c r="G138" s="4" t="str">
        <f t="shared" si="23"/>
        <v>本科</v>
      </c>
      <c r="H138" s="4" t="str">
        <f t="shared" si="34"/>
        <v>学士</v>
      </c>
      <c r="I138" s="4" t="str">
        <f t="shared" si="35"/>
        <v>汉语言文学</v>
      </c>
      <c r="J138" s="4" t="str">
        <f t="shared" si="36"/>
        <v>无</v>
      </c>
    </row>
    <row r="139" spans="1:10" ht="27" customHeight="1">
      <c r="A139" s="4">
        <v>137</v>
      </c>
      <c r="B139" s="4" t="str">
        <f>"225720191216154205224738"</f>
        <v>225720191216154205224738</v>
      </c>
      <c r="C139" s="4" t="s">
        <v>12</v>
      </c>
      <c r="D139" s="4" t="str">
        <f>"蔡燕玲"</f>
        <v>蔡燕玲</v>
      </c>
      <c r="E139" s="4" t="str">
        <f t="shared" si="33"/>
        <v>女</v>
      </c>
      <c r="F139" s="4" t="str">
        <f>"1990-01-16"</f>
        <v>1990-01-16</v>
      </c>
      <c r="G139" s="4" t="str">
        <f t="shared" si="23"/>
        <v>本科</v>
      </c>
      <c r="H139" s="4" t="str">
        <f t="shared" si="34"/>
        <v>学士</v>
      </c>
      <c r="I139" s="4" t="str">
        <f t="shared" si="35"/>
        <v>汉语言文学</v>
      </c>
      <c r="J139" s="4" t="str">
        <f t="shared" si="36"/>
        <v>无</v>
      </c>
    </row>
    <row r="140" spans="1:10" ht="27" customHeight="1">
      <c r="A140" s="4">
        <v>138</v>
      </c>
      <c r="B140" s="4" t="str">
        <f>"225720191216154301224739"</f>
        <v>225720191216154301224739</v>
      </c>
      <c r="C140" s="4" t="s">
        <v>15</v>
      </c>
      <c r="D140" s="4" t="str">
        <f>"王雨虹"</f>
        <v>王雨虹</v>
      </c>
      <c r="E140" s="4" t="str">
        <f t="shared" si="33"/>
        <v>女</v>
      </c>
      <c r="F140" s="4" t="str">
        <f>"1992-03-07"</f>
        <v>1992-03-07</v>
      </c>
      <c r="G140" s="4" t="str">
        <f t="shared" si="23"/>
        <v>本科</v>
      </c>
      <c r="H140" s="4" t="str">
        <f t="shared" si="34"/>
        <v>学士</v>
      </c>
      <c r="I140" s="4" t="str">
        <f>"土地资源管理"</f>
        <v>土地资源管理</v>
      </c>
      <c r="J140" s="4" t="str">
        <f t="shared" si="36"/>
        <v>无</v>
      </c>
    </row>
    <row r="141" spans="1:10" ht="27" customHeight="1">
      <c r="A141" s="4">
        <v>139</v>
      </c>
      <c r="B141" s="4" t="str">
        <f>"225720191216154521224746"</f>
        <v>225720191216154521224746</v>
      </c>
      <c r="C141" s="4" t="s">
        <v>11</v>
      </c>
      <c r="D141" s="4" t="str">
        <f>"吴丽珍"</f>
        <v>吴丽珍</v>
      </c>
      <c r="E141" s="4" t="str">
        <f t="shared" si="33"/>
        <v>女</v>
      </c>
      <c r="F141" s="4" t="str">
        <f>"1993-01-19"</f>
        <v>1993-01-19</v>
      </c>
      <c r="G141" s="4" t="str">
        <f t="shared" si="23"/>
        <v>本科</v>
      </c>
      <c r="H141" s="4" t="str">
        <f t="shared" si="34"/>
        <v>学士</v>
      </c>
      <c r="I141" s="4" t="str">
        <f>"通信工程"</f>
        <v>通信工程</v>
      </c>
      <c r="J141" s="4" t="str">
        <f t="shared" si="36"/>
        <v>无</v>
      </c>
    </row>
    <row r="142" spans="1:10" ht="27" customHeight="1">
      <c r="A142" s="4">
        <v>140</v>
      </c>
      <c r="B142" s="4" t="str">
        <f>"225720191216154551224747"</f>
        <v>225720191216154551224747</v>
      </c>
      <c r="C142" s="4" t="s">
        <v>16</v>
      </c>
      <c r="D142" s="4" t="str">
        <f>"钱光耀"</f>
        <v>钱光耀</v>
      </c>
      <c r="E142" s="4" t="str">
        <f>"男"</f>
        <v>男</v>
      </c>
      <c r="F142" s="4" t="str">
        <f>"1988-04-04"</f>
        <v>1988-04-04</v>
      </c>
      <c r="G142" s="4" t="str">
        <f t="shared" si="23"/>
        <v>本科</v>
      </c>
      <c r="H142" s="4" t="str">
        <f t="shared" si="34"/>
        <v>学士</v>
      </c>
      <c r="I142" s="4" t="str">
        <f>"地理信息系统"</f>
        <v>地理信息系统</v>
      </c>
      <c r="J142" s="4" t="str">
        <f t="shared" si="36"/>
        <v>无</v>
      </c>
    </row>
    <row r="143" spans="1:10" ht="27" customHeight="1">
      <c r="A143" s="4">
        <v>141</v>
      </c>
      <c r="B143" s="4" t="str">
        <f>"225720191216154700224751"</f>
        <v>225720191216154700224751</v>
      </c>
      <c r="C143" s="4" t="s">
        <v>16</v>
      </c>
      <c r="D143" s="4" t="str">
        <f>"唐婷婷"</f>
        <v>唐婷婷</v>
      </c>
      <c r="E143" s="4" t="str">
        <f aca="true" t="shared" si="37" ref="E143:E149">"女"</f>
        <v>女</v>
      </c>
      <c r="F143" s="4" t="str">
        <f>"1986-11-12"</f>
        <v>1986-11-12</v>
      </c>
      <c r="G143" s="4" t="str">
        <f t="shared" si="23"/>
        <v>本科</v>
      </c>
      <c r="H143" s="4" t="str">
        <f t="shared" si="34"/>
        <v>学士</v>
      </c>
      <c r="I143" s="4" t="str">
        <f>"地理信息系统"</f>
        <v>地理信息系统</v>
      </c>
      <c r="J143" s="4" t="str">
        <f>"助理工程师"</f>
        <v>助理工程师</v>
      </c>
    </row>
    <row r="144" spans="1:10" ht="27" customHeight="1">
      <c r="A144" s="4">
        <v>142</v>
      </c>
      <c r="B144" s="4" t="str">
        <f>"225720191216155145224762"</f>
        <v>225720191216155145224762</v>
      </c>
      <c r="C144" s="4" t="s">
        <v>17</v>
      </c>
      <c r="D144" s="4" t="str">
        <f>"吴婷"</f>
        <v>吴婷</v>
      </c>
      <c r="E144" s="4" t="str">
        <f t="shared" si="37"/>
        <v>女</v>
      </c>
      <c r="F144" s="4" t="str">
        <f>"1989-07-08"</f>
        <v>1989-07-08</v>
      </c>
      <c r="G144" s="4" t="str">
        <f t="shared" si="23"/>
        <v>本科</v>
      </c>
      <c r="H144" s="4" t="str">
        <f t="shared" si="34"/>
        <v>学士</v>
      </c>
      <c r="I144" s="4" t="str">
        <f>"计算机科学与技术"</f>
        <v>计算机科学与技术</v>
      </c>
      <c r="J144" s="4" t="str">
        <f>"高级"</f>
        <v>高级</v>
      </c>
    </row>
    <row r="145" spans="1:10" ht="27" customHeight="1">
      <c r="A145" s="4">
        <v>143</v>
      </c>
      <c r="B145" s="4" t="str">
        <f>"225720191216155312224768"</f>
        <v>225720191216155312224768</v>
      </c>
      <c r="C145" s="4" t="s">
        <v>12</v>
      </c>
      <c r="D145" s="4" t="str">
        <f>"朱文骏"</f>
        <v>朱文骏</v>
      </c>
      <c r="E145" s="4" t="str">
        <f>"男"</f>
        <v>男</v>
      </c>
      <c r="F145" s="4" t="str">
        <f>"1995-11-27"</f>
        <v>1995-11-27</v>
      </c>
      <c r="G145" s="4" t="str">
        <f t="shared" si="23"/>
        <v>本科</v>
      </c>
      <c r="H145" s="4" t="str">
        <f t="shared" si="34"/>
        <v>学士</v>
      </c>
      <c r="I145" s="4" t="str">
        <f>"土地资源管理"</f>
        <v>土地资源管理</v>
      </c>
      <c r="J145" s="4" t="str">
        <f>"无"</f>
        <v>无</v>
      </c>
    </row>
    <row r="146" spans="1:10" ht="27" customHeight="1">
      <c r="A146" s="4">
        <v>144</v>
      </c>
      <c r="B146" s="4" t="str">
        <f>"225720191216155341224769"</f>
        <v>225720191216155341224769</v>
      </c>
      <c r="C146" s="4" t="s">
        <v>12</v>
      </c>
      <c r="D146" s="4" t="str">
        <f>"黎慧岭"</f>
        <v>黎慧岭</v>
      </c>
      <c r="E146" s="4" t="str">
        <f t="shared" si="37"/>
        <v>女</v>
      </c>
      <c r="F146" s="4" t="str">
        <f>"1996-12-22"</f>
        <v>1996-12-22</v>
      </c>
      <c r="G146" s="4" t="str">
        <f t="shared" si="23"/>
        <v>本科</v>
      </c>
      <c r="H146" s="4" t="str">
        <f t="shared" si="34"/>
        <v>学士</v>
      </c>
      <c r="I146" s="4" t="str">
        <f>"法学"</f>
        <v>法学</v>
      </c>
      <c r="J146" s="4" t="str">
        <f>"无"</f>
        <v>无</v>
      </c>
    </row>
    <row r="147" spans="1:10" ht="27" customHeight="1">
      <c r="A147" s="4">
        <v>145</v>
      </c>
      <c r="B147" s="4" t="str">
        <f>"225720191216155912224776"</f>
        <v>225720191216155912224776</v>
      </c>
      <c r="C147" s="4" t="s">
        <v>18</v>
      </c>
      <c r="D147" s="4" t="str">
        <f>"李振颖"</f>
        <v>李振颖</v>
      </c>
      <c r="E147" s="4" t="str">
        <f t="shared" si="37"/>
        <v>女</v>
      </c>
      <c r="F147" s="4" t="str">
        <f>"1995-05-19"</f>
        <v>1995-05-19</v>
      </c>
      <c r="G147" s="4" t="str">
        <f t="shared" si="23"/>
        <v>本科</v>
      </c>
      <c r="H147" s="4" t="str">
        <f t="shared" si="34"/>
        <v>学士</v>
      </c>
      <c r="I147" s="4" t="str">
        <f>"财务管理"</f>
        <v>财务管理</v>
      </c>
      <c r="J147" s="4" t="str">
        <f>"初级会计职称"</f>
        <v>初级会计职称</v>
      </c>
    </row>
    <row r="148" spans="1:10" ht="27" customHeight="1">
      <c r="A148" s="4">
        <v>146</v>
      </c>
      <c r="B148" s="4" t="str">
        <f>"225720191216155921224777"</f>
        <v>225720191216155921224777</v>
      </c>
      <c r="C148" s="4" t="s">
        <v>18</v>
      </c>
      <c r="D148" s="4" t="str">
        <f>"赖欣欣"</f>
        <v>赖欣欣</v>
      </c>
      <c r="E148" s="4" t="str">
        <f t="shared" si="37"/>
        <v>女</v>
      </c>
      <c r="F148" s="4" t="str">
        <f>"1994-05-01"</f>
        <v>1994-05-01</v>
      </c>
      <c r="G148" s="4" t="str">
        <f t="shared" si="23"/>
        <v>本科</v>
      </c>
      <c r="H148" s="4" t="str">
        <f t="shared" si="34"/>
        <v>学士</v>
      </c>
      <c r="I148" s="4" t="str">
        <f>"会计学"</f>
        <v>会计学</v>
      </c>
      <c r="J148" s="4" t="str">
        <f>"初级会计职称"</f>
        <v>初级会计职称</v>
      </c>
    </row>
    <row r="149" spans="1:10" ht="27" customHeight="1">
      <c r="A149" s="4">
        <v>147</v>
      </c>
      <c r="B149" s="4" t="str">
        <f>"225720191216160026224779"</f>
        <v>225720191216160026224779</v>
      </c>
      <c r="C149" s="4" t="s">
        <v>12</v>
      </c>
      <c r="D149" s="4" t="str">
        <f>"肖雅文"</f>
        <v>肖雅文</v>
      </c>
      <c r="E149" s="4" t="str">
        <f t="shared" si="37"/>
        <v>女</v>
      </c>
      <c r="F149" s="4" t="str">
        <f>"1994-08-25"</f>
        <v>1994-08-25</v>
      </c>
      <c r="G149" s="4" t="str">
        <f t="shared" si="23"/>
        <v>本科</v>
      </c>
      <c r="H149" s="4" t="str">
        <f t="shared" si="34"/>
        <v>学士</v>
      </c>
      <c r="I149" s="4" t="str">
        <f>"土地资源管理"</f>
        <v>土地资源管理</v>
      </c>
      <c r="J149" s="4" t="str">
        <f>"无"</f>
        <v>无</v>
      </c>
    </row>
    <row r="150" spans="1:10" ht="27" customHeight="1">
      <c r="A150" s="4">
        <v>148</v>
      </c>
      <c r="B150" s="4" t="str">
        <f>"225720191216160532224791"</f>
        <v>225720191216160532224791</v>
      </c>
      <c r="C150" s="4" t="s">
        <v>16</v>
      </c>
      <c r="D150" s="4" t="str">
        <f>"王腾川"</f>
        <v>王腾川</v>
      </c>
      <c r="E150" s="4" t="str">
        <f>"男"</f>
        <v>男</v>
      </c>
      <c r="F150" s="4" t="str">
        <f>"1990-03-05"</f>
        <v>1990-03-05</v>
      </c>
      <c r="G150" s="4" t="str">
        <f t="shared" si="23"/>
        <v>本科</v>
      </c>
      <c r="H150" s="4" t="str">
        <f t="shared" si="34"/>
        <v>学士</v>
      </c>
      <c r="I150" s="4" t="str">
        <f>"地理信息系统"</f>
        <v>地理信息系统</v>
      </c>
      <c r="J150" s="4" t="str">
        <f>"助理工程师"</f>
        <v>助理工程师</v>
      </c>
    </row>
    <row r="151" spans="1:10" ht="27" customHeight="1">
      <c r="A151" s="4">
        <v>149</v>
      </c>
      <c r="B151" s="4" t="str">
        <f>"225720191216160610224794"</f>
        <v>225720191216160610224794</v>
      </c>
      <c r="C151" s="4" t="s">
        <v>12</v>
      </c>
      <c r="D151" s="4" t="str">
        <f>"江丹虹"</f>
        <v>江丹虹</v>
      </c>
      <c r="E151" s="4" t="str">
        <f>"女"</f>
        <v>女</v>
      </c>
      <c r="F151" s="4" t="str">
        <f>"1994-01-05"</f>
        <v>1994-01-05</v>
      </c>
      <c r="G151" s="4" t="str">
        <f aca="true" t="shared" si="38" ref="G151:G170">"本科"</f>
        <v>本科</v>
      </c>
      <c r="H151" s="4" t="str">
        <f t="shared" si="34"/>
        <v>学士</v>
      </c>
      <c r="I151" s="4" t="str">
        <f>"城市规划"</f>
        <v>城市规划</v>
      </c>
      <c r="J151" s="4" t="str">
        <f>"助理工程师、初级房地产经济师"</f>
        <v>助理工程师、初级房地产经济师</v>
      </c>
    </row>
    <row r="152" spans="1:10" ht="27" customHeight="1">
      <c r="A152" s="4">
        <v>150</v>
      </c>
      <c r="B152" s="4" t="str">
        <f>"225720191216160935224799"</f>
        <v>225720191216160935224799</v>
      </c>
      <c r="C152" s="4" t="s">
        <v>15</v>
      </c>
      <c r="D152" s="4" t="str">
        <f>"简小妹"</f>
        <v>简小妹</v>
      </c>
      <c r="E152" s="4" t="str">
        <f>"女"</f>
        <v>女</v>
      </c>
      <c r="F152" s="4" t="str">
        <f>"1993-03-20"</f>
        <v>1993-03-20</v>
      </c>
      <c r="G152" s="4" t="str">
        <f>"研究生"</f>
        <v>研究生</v>
      </c>
      <c r="H152" s="4" t="str">
        <f>"硕士"</f>
        <v>硕士</v>
      </c>
      <c r="I152" s="4" t="str">
        <f>"土地资源管理"</f>
        <v>土地资源管理</v>
      </c>
      <c r="J152" s="4" t="str">
        <f>"无"</f>
        <v>无</v>
      </c>
    </row>
    <row r="153" spans="1:10" ht="27" customHeight="1">
      <c r="A153" s="4">
        <v>151</v>
      </c>
      <c r="B153" s="4" t="str">
        <f>"225720191216161126224803"</f>
        <v>225720191216161126224803</v>
      </c>
      <c r="C153" s="4" t="s">
        <v>16</v>
      </c>
      <c r="D153" s="4" t="str">
        <f>"李小群"</f>
        <v>李小群</v>
      </c>
      <c r="E153" s="4" t="str">
        <f>"男"</f>
        <v>男</v>
      </c>
      <c r="F153" s="4" t="str">
        <f>"1990-09-04"</f>
        <v>1990-09-04</v>
      </c>
      <c r="G153" s="4" t="str">
        <f t="shared" si="38"/>
        <v>本科</v>
      </c>
      <c r="H153" s="4" t="str">
        <f>"学士"</f>
        <v>学士</v>
      </c>
      <c r="I153" s="4" t="str">
        <f>"地理信息系统"</f>
        <v>地理信息系统</v>
      </c>
      <c r="J153" s="4" t="str">
        <f>"测绘助理工程师"</f>
        <v>测绘助理工程师</v>
      </c>
    </row>
    <row r="154" spans="1:10" ht="27" customHeight="1">
      <c r="A154" s="4">
        <v>152</v>
      </c>
      <c r="B154" s="4" t="str">
        <f>"225720191216161159224804"</f>
        <v>225720191216161159224804</v>
      </c>
      <c r="C154" s="4" t="s">
        <v>11</v>
      </c>
      <c r="D154" s="4" t="str">
        <f>"黄香演"</f>
        <v>黄香演</v>
      </c>
      <c r="E154" s="4" t="str">
        <f>"男"</f>
        <v>男</v>
      </c>
      <c r="F154" s="4" t="str">
        <f>"1995-07-10"</f>
        <v>1995-07-10</v>
      </c>
      <c r="G154" s="4" t="str">
        <f t="shared" si="38"/>
        <v>本科</v>
      </c>
      <c r="H154" s="4" t="str">
        <f>"学士"</f>
        <v>学士</v>
      </c>
      <c r="I154" s="4" t="str">
        <f>"通信工程"</f>
        <v>通信工程</v>
      </c>
      <c r="J154" s="4" t="str">
        <f>"无"</f>
        <v>无</v>
      </c>
    </row>
    <row r="155" spans="1:10" ht="27" customHeight="1">
      <c r="A155" s="4">
        <v>153</v>
      </c>
      <c r="B155" s="4" t="str">
        <f>"225720191216161308224806"</f>
        <v>225720191216161308224806</v>
      </c>
      <c r="C155" s="4" t="s">
        <v>18</v>
      </c>
      <c r="D155" s="4" t="str">
        <f>"苏琳洁"</f>
        <v>苏琳洁</v>
      </c>
      <c r="E155" s="4" t="str">
        <f>"女"</f>
        <v>女</v>
      </c>
      <c r="F155" s="4" t="str">
        <f>"1991-10-10"</f>
        <v>1991-10-10</v>
      </c>
      <c r="G155" s="4" t="str">
        <f t="shared" si="38"/>
        <v>本科</v>
      </c>
      <c r="H155" s="4" t="str">
        <f>"学士"</f>
        <v>学士</v>
      </c>
      <c r="I155" s="4" t="str">
        <f>"财务管理"</f>
        <v>财务管理</v>
      </c>
      <c r="J155" s="4" t="str">
        <f>"中级会计职称"</f>
        <v>中级会计职称</v>
      </c>
    </row>
    <row r="156" spans="1:10" ht="27" customHeight="1">
      <c r="A156" s="4">
        <v>154</v>
      </c>
      <c r="B156" s="4" t="str">
        <f>"225720191216161909224813"</f>
        <v>225720191216161909224813</v>
      </c>
      <c r="C156" s="4" t="s">
        <v>12</v>
      </c>
      <c r="D156" s="4" t="str">
        <f>"冯匡崎"</f>
        <v>冯匡崎</v>
      </c>
      <c r="E156" s="4" t="str">
        <f>"男"</f>
        <v>男</v>
      </c>
      <c r="F156" s="4" t="str">
        <f>"1989-04-25"</f>
        <v>1989-04-25</v>
      </c>
      <c r="G156" s="4" t="str">
        <f t="shared" si="38"/>
        <v>本科</v>
      </c>
      <c r="H156" s="4" t="str">
        <f>"学士"</f>
        <v>学士</v>
      </c>
      <c r="I156" s="4" t="str">
        <f>"汉语言文学"</f>
        <v>汉语言文学</v>
      </c>
      <c r="J156" s="4" t="str">
        <f>"无"</f>
        <v>无</v>
      </c>
    </row>
    <row r="157" spans="1:10" ht="27" customHeight="1">
      <c r="A157" s="4">
        <v>155</v>
      </c>
      <c r="B157" s="4" t="str">
        <f>"225720191216162036224817"</f>
        <v>225720191216162036224817</v>
      </c>
      <c r="C157" s="4" t="s">
        <v>15</v>
      </c>
      <c r="D157" s="4" t="str">
        <f>"何廉斌"</f>
        <v>何廉斌</v>
      </c>
      <c r="E157" s="4" t="str">
        <f>"男"</f>
        <v>男</v>
      </c>
      <c r="F157" s="4" t="str">
        <f>"1995-11-29"</f>
        <v>1995-11-29</v>
      </c>
      <c r="G157" s="4" t="str">
        <f t="shared" si="38"/>
        <v>本科</v>
      </c>
      <c r="H157" s="4" t="str">
        <f>"学士"</f>
        <v>学士</v>
      </c>
      <c r="I157" s="4" t="str">
        <f>"土地资源管理"</f>
        <v>土地资源管理</v>
      </c>
      <c r="J157" s="4" t="str">
        <f>"地图制图员四级"</f>
        <v>地图制图员四级</v>
      </c>
    </row>
    <row r="158" spans="1:10" ht="27" customHeight="1">
      <c r="A158" s="4">
        <v>156</v>
      </c>
      <c r="B158" s="4" t="str">
        <f>"225720191216162041224818"</f>
        <v>225720191216162041224818</v>
      </c>
      <c r="C158" s="4" t="s">
        <v>12</v>
      </c>
      <c r="D158" s="4" t="str">
        <f>"吴育锋"</f>
        <v>吴育锋</v>
      </c>
      <c r="E158" s="4" t="str">
        <f>"男"</f>
        <v>男</v>
      </c>
      <c r="F158" s="4" t="str">
        <f>"1994-11-19"</f>
        <v>1994-11-19</v>
      </c>
      <c r="G158" s="4" t="str">
        <f t="shared" si="38"/>
        <v>本科</v>
      </c>
      <c r="H158" s="4" t="str">
        <f>"无"</f>
        <v>无</v>
      </c>
      <c r="I158" s="4" t="str">
        <f>"汉语言文学"</f>
        <v>汉语言文学</v>
      </c>
      <c r="J158" s="4" t="str">
        <f>"协管员 劳务派遣"</f>
        <v>协管员 劳务派遣</v>
      </c>
    </row>
    <row r="159" spans="1:10" ht="27" customHeight="1">
      <c r="A159" s="4">
        <v>157</v>
      </c>
      <c r="B159" s="4" t="str">
        <f>"225720191216162335224825"</f>
        <v>225720191216162335224825</v>
      </c>
      <c r="C159" s="4" t="s">
        <v>16</v>
      </c>
      <c r="D159" s="4" t="str">
        <f>"辛小润"</f>
        <v>辛小润</v>
      </c>
      <c r="E159" s="4" t="str">
        <f>"男"</f>
        <v>男</v>
      </c>
      <c r="F159" s="4" t="str">
        <f>"1984-08-28"</f>
        <v>1984-08-28</v>
      </c>
      <c r="G159" s="4" t="str">
        <f t="shared" si="38"/>
        <v>本科</v>
      </c>
      <c r="H159" s="4" t="str">
        <f aca="true" t="shared" si="39" ref="H159:H170">"学士"</f>
        <v>学士</v>
      </c>
      <c r="I159" s="4" t="str">
        <f>"资源环境与城乡规划管理"</f>
        <v>资源环境与城乡规划管理</v>
      </c>
      <c r="J159" s="4" t="str">
        <f>"助理工程师"</f>
        <v>助理工程师</v>
      </c>
    </row>
    <row r="160" spans="1:10" ht="27" customHeight="1">
      <c r="A160" s="4">
        <v>158</v>
      </c>
      <c r="B160" s="4" t="str">
        <f>"225720191216162554224830"</f>
        <v>225720191216162554224830</v>
      </c>
      <c r="C160" s="4" t="s">
        <v>14</v>
      </c>
      <c r="D160" s="4" t="str">
        <f>"符俊辰"</f>
        <v>符俊辰</v>
      </c>
      <c r="E160" s="4" t="str">
        <f>"女"</f>
        <v>女</v>
      </c>
      <c r="F160" s="4" t="str">
        <f>"1992-08-06"</f>
        <v>1992-08-06</v>
      </c>
      <c r="G160" s="4" t="str">
        <f t="shared" si="38"/>
        <v>本科</v>
      </c>
      <c r="H160" s="4" t="str">
        <f t="shared" si="39"/>
        <v>学士</v>
      </c>
      <c r="I160" s="4" t="str">
        <f>"遥感科学与技术"</f>
        <v>遥感科学与技术</v>
      </c>
      <c r="J160" s="4" t="str">
        <f>"助理工程师"</f>
        <v>助理工程师</v>
      </c>
    </row>
    <row r="161" spans="1:10" ht="27" customHeight="1">
      <c r="A161" s="4">
        <v>159</v>
      </c>
      <c r="B161" s="4" t="str">
        <f>"225720191216162559224831"</f>
        <v>225720191216162559224831</v>
      </c>
      <c r="C161" s="4" t="s">
        <v>16</v>
      </c>
      <c r="D161" s="4" t="str">
        <f>"符小倩"</f>
        <v>符小倩</v>
      </c>
      <c r="E161" s="4" t="str">
        <f>"女"</f>
        <v>女</v>
      </c>
      <c r="F161" s="4" t="str">
        <f>"1993-06-16"</f>
        <v>1993-06-16</v>
      </c>
      <c r="G161" s="4" t="str">
        <f t="shared" si="38"/>
        <v>本科</v>
      </c>
      <c r="H161" s="4" t="str">
        <f t="shared" si="39"/>
        <v>学士</v>
      </c>
      <c r="I161" s="4" t="str">
        <f>"资源环境与城乡规划管理"</f>
        <v>资源环境与城乡规划管理</v>
      </c>
      <c r="J161" s="4" t="str">
        <f>"项目经理"</f>
        <v>项目经理</v>
      </c>
    </row>
    <row r="162" spans="1:10" ht="27" customHeight="1">
      <c r="A162" s="4">
        <v>160</v>
      </c>
      <c r="B162" s="4" t="str">
        <f>"225720191216162600224832"</f>
        <v>225720191216162600224832</v>
      </c>
      <c r="C162" s="4" t="s">
        <v>12</v>
      </c>
      <c r="D162" s="4" t="str">
        <f>"符雅乾"</f>
        <v>符雅乾</v>
      </c>
      <c r="E162" s="4" t="str">
        <f>"女"</f>
        <v>女</v>
      </c>
      <c r="F162" s="4" t="str">
        <f>"1994-10-31"</f>
        <v>1994-10-31</v>
      </c>
      <c r="G162" s="4" t="str">
        <f t="shared" si="38"/>
        <v>本科</v>
      </c>
      <c r="H162" s="4" t="str">
        <f t="shared" si="39"/>
        <v>学士</v>
      </c>
      <c r="I162" s="4" t="str">
        <f>"土地资源管理"</f>
        <v>土地资源管理</v>
      </c>
      <c r="J162" s="4" t="str">
        <f>"无"</f>
        <v>无</v>
      </c>
    </row>
    <row r="163" spans="1:10" ht="27" customHeight="1">
      <c r="A163" s="4">
        <v>161</v>
      </c>
      <c r="B163" s="4" t="str">
        <f>"225720191216162601224833"</f>
        <v>225720191216162601224833</v>
      </c>
      <c r="C163" s="4" t="s">
        <v>13</v>
      </c>
      <c r="D163" s="4" t="str">
        <f>"杨育菁"</f>
        <v>杨育菁</v>
      </c>
      <c r="E163" s="4" t="str">
        <f>"女"</f>
        <v>女</v>
      </c>
      <c r="F163" s="4" t="str">
        <f>"1995-05-18"</f>
        <v>1995-05-18</v>
      </c>
      <c r="G163" s="4" t="str">
        <f t="shared" si="38"/>
        <v>本科</v>
      </c>
      <c r="H163" s="4" t="str">
        <f t="shared" si="39"/>
        <v>学士</v>
      </c>
      <c r="I163" s="4" t="str">
        <f>"新闻学"</f>
        <v>新闻学</v>
      </c>
      <c r="J163" s="4" t="str">
        <f>"无"</f>
        <v>无</v>
      </c>
    </row>
    <row r="164" spans="1:10" ht="27" customHeight="1">
      <c r="A164" s="4">
        <v>162</v>
      </c>
      <c r="B164" s="4" t="str">
        <f>"225720191216162651224834"</f>
        <v>225720191216162651224834</v>
      </c>
      <c r="C164" s="4" t="s">
        <v>11</v>
      </c>
      <c r="D164" s="4" t="str">
        <f>"林志广"</f>
        <v>林志广</v>
      </c>
      <c r="E164" s="4" t="str">
        <f>"男"</f>
        <v>男</v>
      </c>
      <c r="F164" s="4" t="str">
        <f>"1990-11-10"</f>
        <v>1990-11-10</v>
      </c>
      <c r="G164" s="4" t="str">
        <f t="shared" si="38"/>
        <v>本科</v>
      </c>
      <c r="H164" s="4" t="str">
        <f t="shared" si="39"/>
        <v>学士</v>
      </c>
      <c r="I164" s="4" t="str">
        <f>"通信工程"</f>
        <v>通信工程</v>
      </c>
      <c r="J164" s="4" t="str">
        <f>"无"</f>
        <v>无</v>
      </c>
    </row>
    <row r="165" spans="1:10" ht="27" customHeight="1">
      <c r="A165" s="4">
        <v>163</v>
      </c>
      <c r="B165" s="4" t="str">
        <f>"225720191216163350224846"</f>
        <v>225720191216163350224846</v>
      </c>
      <c r="C165" s="4" t="s">
        <v>16</v>
      </c>
      <c r="D165" s="4" t="str">
        <f>"侯雯雯"</f>
        <v>侯雯雯</v>
      </c>
      <c r="E165" s="4" t="str">
        <f aca="true" t="shared" si="40" ref="E165:E172">"女"</f>
        <v>女</v>
      </c>
      <c r="F165" s="4" t="str">
        <f>"1989-08-20"</f>
        <v>1989-08-20</v>
      </c>
      <c r="G165" s="4" t="str">
        <f t="shared" si="38"/>
        <v>本科</v>
      </c>
      <c r="H165" s="4" t="str">
        <f t="shared" si="39"/>
        <v>学士</v>
      </c>
      <c r="I165" s="4" t="str">
        <f>"资源环境与城乡规划管理"</f>
        <v>资源环境与城乡规划管理</v>
      </c>
      <c r="J165" s="4" t="str">
        <f>"助理工程师"</f>
        <v>助理工程师</v>
      </c>
    </row>
    <row r="166" spans="1:10" ht="27" customHeight="1">
      <c r="A166" s="4">
        <v>164</v>
      </c>
      <c r="B166" s="4" t="str">
        <f>"225720191216163831224856"</f>
        <v>225720191216163831224856</v>
      </c>
      <c r="C166" s="4" t="s">
        <v>12</v>
      </c>
      <c r="D166" s="4" t="str">
        <f>"何烨"</f>
        <v>何烨</v>
      </c>
      <c r="E166" s="4" t="str">
        <f t="shared" si="40"/>
        <v>女</v>
      </c>
      <c r="F166" s="4" t="str">
        <f>"1997-10-08"</f>
        <v>1997-10-08</v>
      </c>
      <c r="G166" s="4" t="str">
        <f t="shared" si="38"/>
        <v>本科</v>
      </c>
      <c r="H166" s="4" t="str">
        <f t="shared" si="39"/>
        <v>学士</v>
      </c>
      <c r="I166" s="4" t="str">
        <f>"法学"</f>
        <v>法学</v>
      </c>
      <c r="J166" s="4" t="str">
        <f aca="true" t="shared" si="41" ref="J166:J174">"无"</f>
        <v>无</v>
      </c>
    </row>
    <row r="167" spans="1:10" ht="27" customHeight="1">
      <c r="A167" s="4">
        <v>165</v>
      </c>
      <c r="B167" s="4" t="str">
        <f>"225720191216164109224860"</f>
        <v>225720191216164109224860</v>
      </c>
      <c r="C167" s="4" t="s">
        <v>12</v>
      </c>
      <c r="D167" s="4" t="str">
        <f>"陈希璞"</f>
        <v>陈希璞</v>
      </c>
      <c r="E167" s="4" t="str">
        <f>"男"</f>
        <v>男</v>
      </c>
      <c r="F167" s="4" t="str">
        <f>"1993-11-23"</f>
        <v>1993-11-23</v>
      </c>
      <c r="G167" s="4" t="str">
        <f t="shared" si="38"/>
        <v>本科</v>
      </c>
      <c r="H167" s="4" t="str">
        <f t="shared" si="39"/>
        <v>学士</v>
      </c>
      <c r="I167" s="4" t="str">
        <f>"城乡规划"</f>
        <v>城乡规划</v>
      </c>
      <c r="J167" s="4" t="str">
        <f t="shared" si="41"/>
        <v>无</v>
      </c>
    </row>
    <row r="168" spans="1:10" ht="27" customHeight="1">
      <c r="A168" s="4">
        <v>166</v>
      </c>
      <c r="B168" s="4" t="str">
        <f>"225720191216164756224870"</f>
        <v>225720191216164756224870</v>
      </c>
      <c r="C168" s="4" t="s">
        <v>12</v>
      </c>
      <c r="D168" s="4" t="str">
        <f>"谭家盛"</f>
        <v>谭家盛</v>
      </c>
      <c r="E168" s="4" t="str">
        <f>"男"</f>
        <v>男</v>
      </c>
      <c r="F168" s="4" t="str">
        <f>"1997-02-09"</f>
        <v>1997-02-09</v>
      </c>
      <c r="G168" s="4" t="str">
        <f t="shared" si="38"/>
        <v>本科</v>
      </c>
      <c r="H168" s="4" t="str">
        <f t="shared" si="39"/>
        <v>学士</v>
      </c>
      <c r="I168" s="4" t="str">
        <f>"汉语言文学"</f>
        <v>汉语言文学</v>
      </c>
      <c r="J168" s="4" t="str">
        <f t="shared" si="41"/>
        <v>无</v>
      </c>
    </row>
    <row r="169" spans="1:10" ht="27" customHeight="1">
      <c r="A169" s="4">
        <v>167</v>
      </c>
      <c r="B169" s="4" t="str">
        <f>"225720191216165436224876"</f>
        <v>225720191216165436224876</v>
      </c>
      <c r="C169" s="4" t="s">
        <v>12</v>
      </c>
      <c r="D169" s="4" t="str">
        <f>"吴思思"</f>
        <v>吴思思</v>
      </c>
      <c r="E169" s="4" t="str">
        <f t="shared" si="40"/>
        <v>女</v>
      </c>
      <c r="F169" s="4" t="str">
        <f>"1993-04-03"</f>
        <v>1993-04-03</v>
      </c>
      <c r="G169" s="4" t="str">
        <f t="shared" si="38"/>
        <v>本科</v>
      </c>
      <c r="H169" s="4" t="str">
        <f t="shared" si="39"/>
        <v>学士</v>
      </c>
      <c r="I169" s="4" t="str">
        <f>"汉语言文学"</f>
        <v>汉语言文学</v>
      </c>
      <c r="J169" s="4" t="str">
        <f t="shared" si="41"/>
        <v>无</v>
      </c>
    </row>
    <row r="170" spans="1:10" ht="27" customHeight="1">
      <c r="A170" s="4">
        <v>168</v>
      </c>
      <c r="B170" s="4" t="str">
        <f>"225720191216165743224879"</f>
        <v>225720191216165743224879</v>
      </c>
      <c r="C170" s="4" t="s">
        <v>12</v>
      </c>
      <c r="D170" s="4" t="str">
        <f>"武小琪"</f>
        <v>武小琪</v>
      </c>
      <c r="E170" s="4" t="str">
        <f t="shared" si="40"/>
        <v>女</v>
      </c>
      <c r="F170" s="4" t="str">
        <f>"1996-03-24"</f>
        <v>1996-03-24</v>
      </c>
      <c r="G170" s="4" t="str">
        <f t="shared" si="38"/>
        <v>本科</v>
      </c>
      <c r="H170" s="4" t="str">
        <f t="shared" si="39"/>
        <v>学士</v>
      </c>
      <c r="I170" s="4" t="str">
        <f>"人文地理与城乡规划"</f>
        <v>人文地理与城乡规划</v>
      </c>
      <c r="J170" s="4" t="str">
        <f t="shared" si="41"/>
        <v>无</v>
      </c>
    </row>
    <row r="171" spans="1:10" ht="27" customHeight="1">
      <c r="A171" s="4">
        <v>169</v>
      </c>
      <c r="B171" s="4" t="str">
        <f>"225720191216165831224881"</f>
        <v>225720191216165831224881</v>
      </c>
      <c r="C171" s="4" t="s">
        <v>12</v>
      </c>
      <c r="D171" s="4" t="str">
        <f>"杨绘婷"</f>
        <v>杨绘婷</v>
      </c>
      <c r="E171" s="4" t="str">
        <f t="shared" si="40"/>
        <v>女</v>
      </c>
      <c r="F171" s="4" t="str">
        <f>"1994-03-02"</f>
        <v>1994-03-02</v>
      </c>
      <c r="G171" s="4" t="str">
        <f>"研究生"</f>
        <v>研究生</v>
      </c>
      <c r="H171" s="4" t="str">
        <f>"硕士"</f>
        <v>硕士</v>
      </c>
      <c r="I171" s="4" t="str">
        <f>"人文地理与城乡规划(本科);地理学(地图学与地理信息系统方向)(硕士)"</f>
        <v>人文地理与城乡规划(本科);地理学(地图学与地理信息系统方向)(硕士)</v>
      </c>
      <c r="J171" s="4" t="str">
        <f t="shared" si="41"/>
        <v>无</v>
      </c>
    </row>
    <row r="172" spans="1:10" ht="27" customHeight="1">
      <c r="A172" s="4">
        <v>170</v>
      </c>
      <c r="B172" s="4" t="str">
        <f>"225720191216171100224900"</f>
        <v>225720191216171100224900</v>
      </c>
      <c r="C172" s="4" t="s">
        <v>15</v>
      </c>
      <c r="D172" s="4" t="str">
        <f>"邱烨"</f>
        <v>邱烨</v>
      </c>
      <c r="E172" s="4" t="str">
        <f t="shared" si="40"/>
        <v>女</v>
      </c>
      <c r="F172" s="4" t="str">
        <f>"1995-01-08"</f>
        <v>1995-01-08</v>
      </c>
      <c r="G172" s="4" t="str">
        <f aca="true" t="shared" si="42" ref="G172:G197">"本科"</f>
        <v>本科</v>
      </c>
      <c r="H172" s="4" t="str">
        <f aca="true" t="shared" si="43" ref="H172:H197">"学士"</f>
        <v>学士</v>
      </c>
      <c r="I172" s="4" t="str">
        <f>"土地资源管理"</f>
        <v>土地资源管理</v>
      </c>
      <c r="J172" s="4" t="str">
        <f t="shared" si="41"/>
        <v>无</v>
      </c>
    </row>
    <row r="173" spans="1:10" ht="27" customHeight="1">
      <c r="A173" s="4">
        <v>171</v>
      </c>
      <c r="B173" s="4" t="str">
        <f>"225720191216171633224908"</f>
        <v>225720191216171633224908</v>
      </c>
      <c r="C173" s="4" t="s">
        <v>12</v>
      </c>
      <c r="D173" s="4" t="str">
        <f>"钟天帅"</f>
        <v>钟天帅</v>
      </c>
      <c r="E173" s="4" t="str">
        <f aca="true" t="shared" si="44" ref="E173:E180">"男"</f>
        <v>男</v>
      </c>
      <c r="F173" s="4" t="str">
        <f>"1993-02-03"</f>
        <v>1993-02-03</v>
      </c>
      <c r="G173" s="4" t="str">
        <f t="shared" si="42"/>
        <v>本科</v>
      </c>
      <c r="H173" s="4" t="str">
        <f t="shared" si="43"/>
        <v>学士</v>
      </c>
      <c r="I173" s="4" t="str">
        <f>"法学"</f>
        <v>法学</v>
      </c>
      <c r="J173" s="4" t="str">
        <f t="shared" si="41"/>
        <v>无</v>
      </c>
    </row>
    <row r="174" spans="1:10" ht="27" customHeight="1">
      <c r="A174" s="4">
        <v>172</v>
      </c>
      <c r="B174" s="4" t="str">
        <f>"225720191216172055224916"</f>
        <v>225720191216172055224916</v>
      </c>
      <c r="C174" s="4" t="s">
        <v>11</v>
      </c>
      <c r="D174" s="4" t="str">
        <f>"潘达"</f>
        <v>潘达</v>
      </c>
      <c r="E174" s="4" t="str">
        <f t="shared" si="44"/>
        <v>男</v>
      </c>
      <c r="F174" s="4" t="str">
        <f>"1996-12-27"</f>
        <v>1996-12-27</v>
      </c>
      <c r="G174" s="4" t="str">
        <f t="shared" si="42"/>
        <v>本科</v>
      </c>
      <c r="H174" s="4" t="str">
        <f t="shared" si="43"/>
        <v>学士</v>
      </c>
      <c r="I174" s="4" t="str">
        <f>"计算机科学与技术"</f>
        <v>计算机科学与技术</v>
      </c>
      <c r="J174" s="4" t="str">
        <f t="shared" si="41"/>
        <v>无</v>
      </c>
    </row>
    <row r="175" spans="1:10" ht="27" customHeight="1">
      <c r="A175" s="4">
        <v>173</v>
      </c>
      <c r="B175" s="4" t="str">
        <f>"225720191216172224224917"</f>
        <v>225720191216172224224917</v>
      </c>
      <c r="C175" s="4" t="s">
        <v>18</v>
      </c>
      <c r="D175" s="4" t="str">
        <f>"颜小青"</f>
        <v>颜小青</v>
      </c>
      <c r="E175" s="4" t="str">
        <f>"女"</f>
        <v>女</v>
      </c>
      <c r="F175" s="4" t="str">
        <f>"1989-03-19"</f>
        <v>1989-03-19</v>
      </c>
      <c r="G175" s="4" t="str">
        <f t="shared" si="42"/>
        <v>本科</v>
      </c>
      <c r="H175" s="4" t="str">
        <f t="shared" si="43"/>
        <v>学士</v>
      </c>
      <c r="I175" s="4" t="str">
        <f>"会计学"</f>
        <v>会计学</v>
      </c>
      <c r="J175" s="4" t="str">
        <f>"初级会计"</f>
        <v>初级会计</v>
      </c>
    </row>
    <row r="176" spans="1:10" ht="27" customHeight="1">
      <c r="A176" s="4">
        <v>174</v>
      </c>
      <c r="B176" s="4" t="str">
        <f>"225720191216172314224920"</f>
        <v>225720191216172314224920</v>
      </c>
      <c r="C176" s="4" t="s">
        <v>12</v>
      </c>
      <c r="D176" s="4" t="str">
        <f>"张弘"</f>
        <v>张弘</v>
      </c>
      <c r="E176" s="4" t="str">
        <f t="shared" si="44"/>
        <v>男</v>
      </c>
      <c r="F176" s="4" t="str">
        <f>"1995-06-26"</f>
        <v>1995-06-26</v>
      </c>
      <c r="G176" s="4" t="str">
        <f t="shared" si="42"/>
        <v>本科</v>
      </c>
      <c r="H176" s="4" t="str">
        <f t="shared" si="43"/>
        <v>学士</v>
      </c>
      <c r="I176" s="4" t="str">
        <f>"土地资源管理"</f>
        <v>土地资源管理</v>
      </c>
      <c r="J176" s="4" t="str">
        <f aca="true" t="shared" si="45" ref="J176:J188">"无"</f>
        <v>无</v>
      </c>
    </row>
    <row r="177" spans="1:10" ht="27" customHeight="1">
      <c r="A177" s="4">
        <v>175</v>
      </c>
      <c r="B177" s="4" t="str">
        <f>"225720191216172316224921"</f>
        <v>225720191216172316224921</v>
      </c>
      <c r="C177" s="4" t="s">
        <v>19</v>
      </c>
      <c r="D177" s="4" t="str">
        <f>"邹兴茂"</f>
        <v>邹兴茂</v>
      </c>
      <c r="E177" s="4" t="str">
        <f t="shared" si="44"/>
        <v>男</v>
      </c>
      <c r="F177" s="4" t="str">
        <f>"1989-07-06"</f>
        <v>1989-07-06</v>
      </c>
      <c r="G177" s="4" t="str">
        <f t="shared" si="42"/>
        <v>本科</v>
      </c>
      <c r="H177" s="4" t="str">
        <f t="shared" si="43"/>
        <v>学士</v>
      </c>
      <c r="I177" s="4" t="str">
        <f>"信息管理与信息系统"</f>
        <v>信息管理与信息系统</v>
      </c>
      <c r="J177" s="4" t="str">
        <f t="shared" si="45"/>
        <v>无</v>
      </c>
    </row>
    <row r="178" spans="1:10" ht="27" customHeight="1">
      <c r="A178" s="4">
        <v>176</v>
      </c>
      <c r="B178" s="4" t="str">
        <f>"225720191216173213224933"</f>
        <v>225720191216173213224933</v>
      </c>
      <c r="C178" s="4" t="s">
        <v>12</v>
      </c>
      <c r="D178" s="4" t="str">
        <f>"符恩玮"</f>
        <v>符恩玮</v>
      </c>
      <c r="E178" s="4" t="str">
        <f t="shared" si="44"/>
        <v>男</v>
      </c>
      <c r="F178" s="4" t="str">
        <f>"1995-09-13"</f>
        <v>1995-09-13</v>
      </c>
      <c r="G178" s="4" t="str">
        <f t="shared" si="42"/>
        <v>本科</v>
      </c>
      <c r="H178" s="4" t="str">
        <f t="shared" si="43"/>
        <v>学士</v>
      </c>
      <c r="I178" s="4" t="str">
        <f>"城乡规划"</f>
        <v>城乡规划</v>
      </c>
      <c r="J178" s="4" t="str">
        <f t="shared" si="45"/>
        <v>无</v>
      </c>
    </row>
    <row r="179" spans="1:10" ht="27" customHeight="1">
      <c r="A179" s="4">
        <v>177</v>
      </c>
      <c r="B179" s="4" t="str">
        <f>"225720191216173904224941"</f>
        <v>225720191216173904224941</v>
      </c>
      <c r="C179" s="4" t="s">
        <v>15</v>
      </c>
      <c r="D179" s="4" t="str">
        <f>"王植柳"</f>
        <v>王植柳</v>
      </c>
      <c r="E179" s="4" t="str">
        <f t="shared" si="44"/>
        <v>男</v>
      </c>
      <c r="F179" s="4" t="str">
        <f>"1996-05-27"</f>
        <v>1996-05-27</v>
      </c>
      <c r="G179" s="4" t="str">
        <f t="shared" si="42"/>
        <v>本科</v>
      </c>
      <c r="H179" s="4" t="str">
        <f t="shared" si="43"/>
        <v>学士</v>
      </c>
      <c r="I179" s="4" t="str">
        <f>"测绘工程"</f>
        <v>测绘工程</v>
      </c>
      <c r="J179" s="4" t="str">
        <f t="shared" si="45"/>
        <v>无</v>
      </c>
    </row>
    <row r="180" spans="1:10" ht="27" customHeight="1">
      <c r="A180" s="4">
        <v>178</v>
      </c>
      <c r="B180" s="4" t="str">
        <f>"225720191216174329224949"</f>
        <v>225720191216174329224949</v>
      </c>
      <c r="C180" s="4" t="s">
        <v>12</v>
      </c>
      <c r="D180" s="4" t="str">
        <f>"许为圣"</f>
        <v>许为圣</v>
      </c>
      <c r="E180" s="4" t="str">
        <f t="shared" si="44"/>
        <v>男</v>
      </c>
      <c r="F180" s="4" t="str">
        <f>"1994-09-17"</f>
        <v>1994-09-17</v>
      </c>
      <c r="G180" s="4" t="str">
        <f t="shared" si="42"/>
        <v>本科</v>
      </c>
      <c r="H180" s="4" t="str">
        <f t="shared" si="43"/>
        <v>学士</v>
      </c>
      <c r="I180" s="4" t="str">
        <f>"法学（行政法方向）"</f>
        <v>法学（行政法方向）</v>
      </c>
      <c r="J180" s="4" t="str">
        <f t="shared" si="45"/>
        <v>无</v>
      </c>
    </row>
    <row r="181" spans="1:10" ht="27" customHeight="1">
      <c r="A181" s="4">
        <v>179</v>
      </c>
      <c r="B181" s="4" t="str">
        <f>"225720191216175111224957"</f>
        <v>225720191216175111224957</v>
      </c>
      <c r="C181" s="4" t="s">
        <v>12</v>
      </c>
      <c r="D181" s="4" t="str">
        <f>"李锦秋"</f>
        <v>李锦秋</v>
      </c>
      <c r="E181" s="4" t="str">
        <f>"女"</f>
        <v>女</v>
      </c>
      <c r="F181" s="4" t="str">
        <f>"1995-10-09"</f>
        <v>1995-10-09</v>
      </c>
      <c r="G181" s="4" t="str">
        <f t="shared" si="42"/>
        <v>本科</v>
      </c>
      <c r="H181" s="4" t="str">
        <f t="shared" si="43"/>
        <v>学士</v>
      </c>
      <c r="I181" s="4" t="str">
        <f>"城乡规划（即城市规划）"</f>
        <v>城乡规划（即城市规划）</v>
      </c>
      <c r="J181" s="4" t="str">
        <f t="shared" si="45"/>
        <v>无</v>
      </c>
    </row>
    <row r="182" spans="1:10" ht="27" customHeight="1">
      <c r="A182" s="4">
        <v>180</v>
      </c>
      <c r="B182" s="4" t="str">
        <f>"225720191216180033224965"</f>
        <v>225720191216180033224965</v>
      </c>
      <c r="C182" s="4" t="s">
        <v>12</v>
      </c>
      <c r="D182" s="4" t="str">
        <f>"刘忠达"</f>
        <v>刘忠达</v>
      </c>
      <c r="E182" s="4" t="str">
        <f>"男"</f>
        <v>男</v>
      </c>
      <c r="F182" s="4" t="str">
        <f>"1996-11-12"</f>
        <v>1996-11-12</v>
      </c>
      <c r="G182" s="4" t="str">
        <f t="shared" si="42"/>
        <v>本科</v>
      </c>
      <c r="H182" s="4" t="str">
        <f t="shared" si="43"/>
        <v>学士</v>
      </c>
      <c r="I182" s="4" t="str">
        <f>"法学"</f>
        <v>法学</v>
      </c>
      <c r="J182" s="4" t="str">
        <f t="shared" si="45"/>
        <v>无</v>
      </c>
    </row>
    <row r="183" spans="1:10" ht="27" customHeight="1">
      <c r="A183" s="4">
        <v>181</v>
      </c>
      <c r="B183" s="4" t="str">
        <f>"225720191216180038224966"</f>
        <v>225720191216180038224966</v>
      </c>
      <c r="C183" s="4" t="s">
        <v>13</v>
      </c>
      <c r="D183" s="4" t="str">
        <f>"杨仁怀"</f>
        <v>杨仁怀</v>
      </c>
      <c r="E183" s="4" t="str">
        <f>"男"</f>
        <v>男</v>
      </c>
      <c r="F183" s="4" t="str">
        <f>"1993-07-10"</f>
        <v>1993-07-10</v>
      </c>
      <c r="G183" s="4" t="str">
        <f t="shared" si="42"/>
        <v>本科</v>
      </c>
      <c r="H183" s="4" t="str">
        <f t="shared" si="43"/>
        <v>学士</v>
      </c>
      <c r="I183" s="4" t="str">
        <f>"新闻学"</f>
        <v>新闻学</v>
      </c>
      <c r="J183" s="4" t="str">
        <f t="shared" si="45"/>
        <v>无</v>
      </c>
    </row>
    <row r="184" spans="1:10" ht="27" customHeight="1">
      <c r="A184" s="4">
        <v>182</v>
      </c>
      <c r="B184" s="4" t="str">
        <f>"225720191216180429224971"</f>
        <v>225720191216180429224971</v>
      </c>
      <c r="C184" s="4" t="s">
        <v>12</v>
      </c>
      <c r="D184" s="4" t="str">
        <f>"李靖"</f>
        <v>李靖</v>
      </c>
      <c r="E184" s="4" t="str">
        <f>"女"</f>
        <v>女</v>
      </c>
      <c r="F184" s="4" t="str">
        <f>"1993-12-29"</f>
        <v>1993-12-29</v>
      </c>
      <c r="G184" s="4" t="str">
        <f t="shared" si="42"/>
        <v>本科</v>
      </c>
      <c r="H184" s="4" t="str">
        <f t="shared" si="43"/>
        <v>学士</v>
      </c>
      <c r="I184" s="4" t="str">
        <f>"汉语言文学（公关与文秘）"</f>
        <v>汉语言文学（公关与文秘）</v>
      </c>
      <c r="J184" s="4" t="str">
        <f t="shared" si="45"/>
        <v>无</v>
      </c>
    </row>
    <row r="185" spans="1:10" ht="27" customHeight="1">
      <c r="A185" s="4">
        <v>183</v>
      </c>
      <c r="B185" s="4" t="str">
        <f>"225720191216180544224974"</f>
        <v>225720191216180544224974</v>
      </c>
      <c r="C185" s="4" t="s">
        <v>11</v>
      </c>
      <c r="D185" s="4" t="str">
        <f>"冯定宇"</f>
        <v>冯定宇</v>
      </c>
      <c r="E185" s="4" t="str">
        <f>"男"</f>
        <v>男</v>
      </c>
      <c r="F185" s="4" t="str">
        <f>"1996-01-22"</f>
        <v>1996-01-22</v>
      </c>
      <c r="G185" s="4" t="str">
        <f t="shared" si="42"/>
        <v>本科</v>
      </c>
      <c r="H185" s="4" t="str">
        <f t="shared" si="43"/>
        <v>学士</v>
      </c>
      <c r="I185" s="4" t="str">
        <f>"通信工程"</f>
        <v>通信工程</v>
      </c>
      <c r="J185" s="4" t="str">
        <f t="shared" si="45"/>
        <v>无</v>
      </c>
    </row>
    <row r="186" spans="1:10" ht="27" customHeight="1">
      <c r="A186" s="4">
        <v>184</v>
      </c>
      <c r="B186" s="4" t="str">
        <f>"225720191216180616224975"</f>
        <v>225720191216180616224975</v>
      </c>
      <c r="C186" s="4" t="s">
        <v>19</v>
      </c>
      <c r="D186" s="4" t="str">
        <f>"符传栋"</f>
        <v>符传栋</v>
      </c>
      <c r="E186" s="4" t="str">
        <f>"男"</f>
        <v>男</v>
      </c>
      <c r="F186" s="4" t="str">
        <f>"1987-10-05"</f>
        <v>1987-10-05</v>
      </c>
      <c r="G186" s="4" t="str">
        <f t="shared" si="42"/>
        <v>本科</v>
      </c>
      <c r="H186" s="4" t="str">
        <f t="shared" si="43"/>
        <v>学士</v>
      </c>
      <c r="I186" s="4" t="str">
        <f>"信息管理与信息系统"</f>
        <v>信息管理与信息系统</v>
      </c>
      <c r="J186" s="4" t="str">
        <f t="shared" si="45"/>
        <v>无</v>
      </c>
    </row>
    <row r="187" spans="1:10" ht="27" customHeight="1">
      <c r="A187" s="4">
        <v>185</v>
      </c>
      <c r="B187" s="4" t="str">
        <f>"225720191216183415225003"</f>
        <v>225720191216183415225003</v>
      </c>
      <c r="C187" s="4" t="s">
        <v>12</v>
      </c>
      <c r="D187" s="4" t="str">
        <f>"王海丽"</f>
        <v>王海丽</v>
      </c>
      <c r="E187" s="4" t="str">
        <f>"女"</f>
        <v>女</v>
      </c>
      <c r="F187" s="4" t="str">
        <f>"1993-03-11"</f>
        <v>1993-03-11</v>
      </c>
      <c r="G187" s="4" t="str">
        <f t="shared" si="42"/>
        <v>本科</v>
      </c>
      <c r="H187" s="4" t="str">
        <f t="shared" si="43"/>
        <v>学士</v>
      </c>
      <c r="I187" s="4" t="str">
        <f>"法学"</f>
        <v>法学</v>
      </c>
      <c r="J187" s="4" t="str">
        <f t="shared" si="45"/>
        <v>无</v>
      </c>
    </row>
    <row r="188" spans="1:10" ht="27" customHeight="1">
      <c r="A188" s="4">
        <v>186</v>
      </c>
      <c r="B188" s="4" t="str">
        <f>"225720191216183639225006"</f>
        <v>225720191216183639225006</v>
      </c>
      <c r="C188" s="4" t="s">
        <v>12</v>
      </c>
      <c r="D188" s="4" t="str">
        <f>"吴美玲"</f>
        <v>吴美玲</v>
      </c>
      <c r="E188" s="4" t="str">
        <f>"女"</f>
        <v>女</v>
      </c>
      <c r="F188" s="4" t="str">
        <f>"1992-04-28"</f>
        <v>1992-04-28</v>
      </c>
      <c r="G188" s="4" t="str">
        <f t="shared" si="42"/>
        <v>本科</v>
      </c>
      <c r="H188" s="4" t="str">
        <f t="shared" si="43"/>
        <v>学士</v>
      </c>
      <c r="I188" s="4" t="str">
        <f>"汉语言文学"</f>
        <v>汉语言文学</v>
      </c>
      <c r="J188" s="4" t="str">
        <f t="shared" si="45"/>
        <v>无</v>
      </c>
    </row>
    <row r="189" spans="1:10" ht="27" customHeight="1">
      <c r="A189" s="4">
        <v>187</v>
      </c>
      <c r="B189" s="4" t="str">
        <f>"225720191216184512225015"</f>
        <v>225720191216184512225015</v>
      </c>
      <c r="C189" s="4" t="s">
        <v>15</v>
      </c>
      <c r="D189" s="4" t="str">
        <f>"潘家智"</f>
        <v>潘家智</v>
      </c>
      <c r="E189" s="4" t="str">
        <f>"男"</f>
        <v>男</v>
      </c>
      <c r="F189" s="4" t="str">
        <f>"1994-09-12"</f>
        <v>1994-09-12</v>
      </c>
      <c r="G189" s="4" t="str">
        <f t="shared" si="42"/>
        <v>本科</v>
      </c>
      <c r="H189" s="4" t="str">
        <f t="shared" si="43"/>
        <v>学士</v>
      </c>
      <c r="I189" s="4" t="str">
        <f>"测绘工程"</f>
        <v>测绘工程</v>
      </c>
      <c r="J189" s="4" t="str">
        <f>"助理工程师"</f>
        <v>助理工程师</v>
      </c>
    </row>
    <row r="190" spans="1:10" ht="27" customHeight="1">
      <c r="A190" s="4">
        <v>188</v>
      </c>
      <c r="B190" s="4" t="str">
        <f>"225720191216184803225022"</f>
        <v>225720191216184803225022</v>
      </c>
      <c r="C190" s="4" t="s">
        <v>12</v>
      </c>
      <c r="D190" s="4" t="str">
        <f>"杜彦君"</f>
        <v>杜彦君</v>
      </c>
      <c r="E190" s="4" t="str">
        <f aca="true" t="shared" si="46" ref="E190:E196">"女"</f>
        <v>女</v>
      </c>
      <c r="F190" s="4" t="str">
        <f>"1988-04-07"</f>
        <v>1988-04-07</v>
      </c>
      <c r="G190" s="4" t="str">
        <f t="shared" si="42"/>
        <v>本科</v>
      </c>
      <c r="H190" s="4" t="str">
        <f t="shared" si="43"/>
        <v>学士</v>
      </c>
      <c r="I190" s="4" t="str">
        <f>"法学"</f>
        <v>法学</v>
      </c>
      <c r="J190" s="4" t="str">
        <f>"稽查员"</f>
        <v>稽查员</v>
      </c>
    </row>
    <row r="191" spans="1:10" ht="27" customHeight="1">
      <c r="A191" s="4">
        <v>189</v>
      </c>
      <c r="B191" s="4" t="str">
        <f>"225720191216185137225026"</f>
        <v>225720191216185137225026</v>
      </c>
      <c r="C191" s="4" t="s">
        <v>15</v>
      </c>
      <c r="D191" s="4" t="str">
        <f>"利珠"</f>
        <v>利珠</v>
      </c>
      <c r="E191" s="4" t="str">
        <f t="shared" si="46"/>
        <v>女</v>
      </c>
      <c r="F191" s="4" t="str">
        <f>"1994-08-16"</f>
        <v>1994-08-16</v>
      </c>
      <c r="G191" s="4" t="str">
        <f t="shared" si="42"/>
        <v>本科</v>
      </c>
      <c r="H191" s="4" t="str">
        <f t="shared" si="43"/>
        <v>学士</v>
      </c>
      <c r="I191" s="4" t="str">
        <f>"土地资源管理"</f>
        <v>土地资源管理</v>
      </c>
      <c r="J191" s="4" t="str">
        <f aca="true" t="shared" si="47" ref="J191:J200">"无"</f>
        <v>无</v>
      </c>
    </row>
    <row r="192" spans="1:10" ht="27" customHeight="1">
      <c r="A192" s="4">
        <v>190</v>
      </c>
      <c r="B192" s="4" t="str">
        <f>"225720191216185445225031"</f>
        <v>225720191216185445225031</v>
      </c>
      <c r="C192" s="4" t="s">
        <v>12</v>
      </c>
      <c r="D192" s="4" t="str">
        <f>"邓茹"</f>
        <v>邓茹</v>
      </c>
      <c r="E192" s="4" t="str">
        <f t="shared" si="46"/>
        <v>女</v>
      </c>
      <c r="F192" s="4" t="str">
        <f>"1996-07-24"</f>
        <v>1996-07-24</v>
      </c>
      <c r="G192" s="4" t="str">
        <f t="shared" si="42"/>
        <v>本科</v>
      </c>
      <c r="H192" s="4" t="str">
        <f t="shared" si="43"/>
        <v>学士</v>
      </c>
      <c r="I192" s="4" t="str">
        <f>"汉语言文学"</f>
        <v>汉语言文学</v>
      </c>
      <c r="J192" s="4" t="str">
        <f t="shared" si="47"/>
        <v>无</v>
      </c>
    </row>
    <row r="193" spans="1:10" ht="27" customHeight="1">
      <c r="A193" s="4">
        <v>191</v>
      </c>
      <c r="B193" s="4" t="str">
        <f>"225720191216185927225036"</f>
        <v>225720191216185927225036</v>
      </c>
      <c r="C193" s="4" t="s">
        <v>12</v>
      </c>
      <c r="D193" s="4" t="str">
        <f>"彭舒"</f>
        <v>彭舒</v>
      </c>
      <c r="E193" s="4" t="str">
        <f t="shared" si="46"/>
        <v>女</v>
      </c>
      <c r="F193" s="4" t="str">
        <f>"1998-01-01"</f>
        <v>1998-01-01</v>
      </c>
      <c r="G193" s="4" t="str">
        <f t="shared" si="42"/>
        <v>本科</v>
      </c>
      <c r="H193" s="4" t="str">
        <f t="shared" si="43"/>
        <v>学士</v>
      </c>
      <c r="I193" s="4" t="str">
        <f>"城乡规划"</f>
        <v>城乡规划</v>
      </c>
      <c r="J193" s="4" t="str">
        <f t="shared" si="47"/>
        <v>无</v>
      </c>
    </row>
    <row r="194" spans="1:10" ht="27" customHeight="1">
      <c r="A194" s="4">
        <v>192</v>
      </c>
      <c r="B194" s="4" t="str">
        <f>"225720191216190233225037"</f>
        <v>225720191216190233225037</v>
      </c>
      <c r="C194" s="4" t="s">
        <v>17</v>
      </c>
      <c r="D194" s="4" t="str">
        <f>"杜红平"</f>
        <v>杜红平</v>
      </c>
      <c r="E194" s="4" t="str">
        <f t="shared" si="46"/>
        <v>女</v>
      </c>
      <c r="F194" s="4" t="str">
        <f>"1989-07-02"</f>
        <v>1989-07-02</v>
      </c>
      <c r="G194" s="4" t="str">
        <f t="shared" si="42"/>
        <v>本科</v>
      </c>
      <c r="H194" s="4" t="str">
        <f t="shared" si="43"/>
        <v>学士</v>
      </c>
      <c r="I194" s="4" t="str">
        <f>"计算机科学与技术"</f>
        <v>计算机科学与技术</v>
      </c>
      <c r="J194" s="4" t="str">
        <f t="shared" si="47"/>
        <v>无</v>
      </c>
    </row>
    <row r="195" spans="1:10" ht="27" customHeight="1">
      <c r="A195" s="4">
        <v>193</v>
      </c>
      <c r="B195" s="4" t="str">
        <f>"225720191216190312225040"</f>
        <v>225720191216190312225040</v>
      </c>
      <c r="C195" s="4" t="s">
        <v>19</v>
      </c>
      <c r="D195" s="4" t="str">
        <f>"林燕"</f>
        <v>林燕</v>
      </c>
      <c r="E195" s="4" t="str">
        <f t="shared" si="46"/>
        <v>女</v>
      </c>
      <c r="F195" s="4" t="str">
        <f>"1991-02-01"</f>
        <v>1991-02-01</v>
      </c>
      <c r="G195" s="4" t="str">
        <f t="shared" si="42"/>
        <v>本科</v>
      </c>
      <c r="H195" s="4" t="str">
        <f t="shared" si="43"/>
        <v>学士</v>
      </c>
      <c r="I195" s="4" t="str">
        <f>"信息管理与信息系统"</f>
        <v>信息管理与信息系统</v>
      </c>
      <c r="J195" s="4" t="str">
        <f t="shared" si="47"/>
        <v>无</v>
      </c>
    </row>
    <row r="196" spans="1:10" ht="27" customHeight="1">
      <c r="A196" s="4">
        <v>194</v>
      </c>
      <c r="B196" s="4" t="str">
        <f>"225720191216191121225051"</f>
        <v>225720191216191121225051</v>
      </c>
      <c r="C196" s="4" t="s">
        <v>12</v>
      </c>
      <c r="D196" s="4" t="str">
        <f>"刘珍玲"</f>
        <v>刘珍玲</v>
      </c>
      <c r="E196" s="4" t="str">
        <f t="shared" si="46"/>
        <v>女</v>
      </c>
      <c r="F196" s="4" t="str">
        <f>"1995-09-15"</f>
        <v>1995-09-15</v>
      </c>
      <c r="G196" s="4" t="str">
        <f t="shared" si="42"/>
        <v>本科</v>
      </c>
      <c r="H196" s="4" t="str">
        <f t="shared" si="43"/>
        <v>学士</v>
      </c>
      <c r="I196" s="4" t="str">
        <f>"汉语言文学"</f>
        <v>汉语言文学</v>
      </c>
      <c r="J196" s="4" t="str">
        <f t="shared" si="47"/>
        <v>无</v>
      </c>
    </row>
    <row r="197" spans="1:10" ht="27" customHeight="1">
      <c r="A197" s="4">
        <v>195</v>
      </c>
      <c r="B197" s="4" t="str">
        <f>"225720191216192001225061"</f>
        <v>225720191216192001225061</v>
      </c>
      <c r="C197" s="4" t="s">
        <v>12</v>
      </c>
      <c r="D197" s="4" t="str">
        <f>"林贻彬"</f>
        <v>林贻彬</v>
      </c>
      <c r="E197" s="4" t="str">
        <f>"男"</f>
        <v>男</v>
      </c>
      <c r="F197" s="4" t="str">
        <f>"1990-08-19"</f>
        <v>1990-08-19</v>
      </c>
      <c r="G197" s="4" t="str">
        <f t="shared" si="42"/>
        <v>本科</v>
      </c>
      <c r="H197" s="4" t="str">
        <f t="shared" si="43"/>
        <v>学士</v>
      </c>
      <c r="I197" s="4" t="str">
        <f>"法学"</f>
        <v>法学</v>
      </c>
      <c r="J197" s="4" t="str">
        <f t="shared" si="47"/>
        <v>无</v>
      </c>
    </row>
    <row r="198" spans="1:10" ht="27" customHeight="1">
      <c r="A198" s="4">
        <v>196</v>
      </c>
      <c r="B198" s="4" t="str">
        <f>"225720191216192151225064"</f>
        <v>225720191216192151225064</v>
      </c>
      <c r="C198" s="4" t="s">
        <v>12</v>
      </c>
      <c r="D198" s="4" t="str">
        <f>"缑绍阳"</f>
        <v>缑绍阳</v>
      </c>
      <c r="E198" s="4" t="str">
        <f aca="true" t="shared" si="48" ref="E198:E204">"女"</f>
        <v>女</v>
      </c>
      <c r="F198" s="4" t="str">
        <f>"1989-12-09"</f>
        <v>1989-12-09</v>
      </c>
      <c r="G198" s="4" t="str">
        <f>"研究生"</f>
        <v>研究生</v>
      </c>
      <c r="H198" s="4" t="str">
        <f>"硕士"</f>
        <v>硕士</v>
      </c>
      <c r="I198" s="4" t="str">
        <f>"法学"</f>
        <v>法学</v>
      </c>
      <c r="J198" s="4" t="str">
        <f t="shared" si="47"/>
        <v>无</v>
      </c>
    </row>
    <row r="199" spans="1:10" ht="27" customHeight="1">
      <c r="A199" s="4">
        <v>197</v>
      </c>
      <c r="B199" s="4" t="str">
        <f>"225720191216192225225065"</f>
        <v>225720191216192225225065</v>
      </c>
      <c r="C199" s="4" t="s">
        <v>12</v>
      </c>
      <c r="D199" s="4" t="str">
        <f>"王祖旺"</f>
        <v>王祖旺</v>
      </c>
      <c r="E199" s="4" t="str">
        <f>"男"</f>
        <v>男</v>
      </c>
      <c r="F199" s="4" t="str">
        <f>"1995-03-02"</f>
        <v>1995-03-02</v>
      </c>
      <c r="G199" s="4" t="str">
        <f aca="true" t="shared" si="49" ref="G199:G220">"本科"</f>
        <v>本科</v>
      </c>
      <c r="H199" s="4" t="str">
        <f aca="true" t="shared" si="50" ref="H199:H220">"学士"</f>
        <v>学士</v>
      </c>
      <c r="I199" s="4" t="str">
        <f>"城乡规划"</f>
        <v>城乡规划</v>
      </c>
      <c r="J199" s="4" t="str">
        <f t="shared" si="47"/>
        <v>无</v>
      </c>
    </row>
    <row r="200" spans="1:10" ht="27" customHeight="1">
      <c r="A200" s="4">
        <v>198</v>
      </c>
      <c r="B200" s="4" t="str">
        <f>"225720191216192549225067"</f>
        <v>225720191216192549225067</v>
      </c>
      <c r="C200" s="4" t="s">
        <v>12</v>
      </c>
      <c r="D200" s="4" t="str">
        <f>"刘家兴"</f>
        <v>刘家兴</v>
      </c>
      <c r="E200" s="4" t="str">
        <f>"男"</f>
        <v>男</v>
      </c>
      <c r="F200" s="4" t="str">
        <f>"1995-04-08"</f>
        <v>1995-04-08</v>
      </c>
      <c r="G200" s="4" t="str">
        <f t="shared" si="49"/>
        <v>本科</v>
      </c>
      <c r="H200" s="4" t="str">
        <f t="shared" si="50"/>
        <v>学士</v>
      </c>
      <c r="I200" s="4" t="str">
        <f>"汉语言文学"</f>
        <v>汉语言文学</v>
      </c>
      <c r="J200" s="4" t="str">
        <f t="shared" si="47"/>
        <v>无</v>
      </c>
    </row>
    <row r="201" spans="1:10" ht="27" customHeight="1">
      <c r="A201" s="4">
        <v>199</v>
      </c>
      <c r="B201" s="4" t="str">
        <f>"225720191216192710225069"</f>
        <v>225720191216192710225069</v>
      </c>
      <c r="C201" s="4" t="s">
        <v>15</v>
      </c>
      <c r="D201" s="4" t="str">
        <f>"陈复玉"</f>
        <v>陈复玉</v>
      </c>
      <c r="E201" s="4" t="str">
        <f t="shared" si="48"/>
        <v>女</v>
      </c>
      <c r="F201" s="4" t="str">
        <f>"1992-05-01"</f>
        <v>1992-05-01</v>
      </c>
      <c r="G201" s="4" t="str">
        <f t="shared" si="49"/>
        <v>本科</v>
      </c>
      <c r="H201" s="4" t="str">
        <f t="shared" si="50"/>
        <v>学士</v>
      </c>
      <c r="I201" s="4" t="str">
        <f>"土地资源管理"</f>
        <v>土地资源管理</v>
      </c>
      <c r="J201" s="4" t="str">
        <f>"助理工程师"</f>
        <v>助理工程师</v>
      </c>
    </row>
    <row r="202" spans="1:10" ht="27" customHeight="1">
      <c r="A202" s="4">
        <v>200</v>
      </c>
      <c r="B202" s="4" t="str">
        <f>"225720191216194354225092"</f>
        <v>225720191216194354225092</v>
      </c>
      <c r="C202" s="4" t="s">
        <v>12</v>
      </c>
      <c r="D202" s="4" t="str">
        <f>"张丽"</f>
        <v>张丽</v>
      </c>
      <c r="E202" s="4" t="str">
        <f t="shared" si="48"/>
        <v>女</v>
      </c>
      <c r="F202" s="4" t="str">
        <f>"1997-02-20"</f>
        <v>1997-02-20</v>
      </c>
      <c r="G202" s="4" t="str">
        <f t="shared" si="49"/>
        <v>本科</v>
      </c>
      <c r="H202" s="4" t="str">
        <f t="shared" si="50"/>
        <v>学士</v>
      </c>
      <c r="I202" s="4" t="str">
        <f>"土地资源管理"</f>
        <v>土地资源管理</v>
      </c>
      <c r="J202" s="4" t="str">
        <f>"无"</f>
        <v>无</v>
      </c>
    </row>
    <row r="203" spans="1:10" ht="27" customHeight="1">
      <c r="A203" s="4">
        <v>201</v>
      </c>
      <c r="B203" s="4" t="str">
        <f>"225720191216194610225095"</f>
        <v>225720191216194610225095</v>
      </c>
      <c r="C203" s="4" t="s">
        <v>12</v>
      </c>
      <c r="D203" s="4" t="str">
        <f>"王文睿"</f>
        <v>王文睿</v>
      </c>
      <c r="E203" s="4" t="str">
        <f t="shared" si="48"/>
        <v>女</v>
      </c>
      <c r="F203" s="4" t="str">
        <f>"1993-11-21"</f>
        <v>1993-11-21</v>
      </c>
      <c r="G203" s="4" t="str">
        <f t="shared" si="49"/>
        <v>本科</v>
      </c>
      <c r="H203" s="4" t="str">
        <f t="shared" si="50"/>
        <v>学士</v>
      </c>
      <c r="I203" s="4" t="str">
        <f>"法学"</f>
        <v>法学</v>
      </c>
      <c r="J203" s="4" t="str">
        <f>"无"</f>
        <v>无</v>
      </c>
    </row>
    <row r="204" spans="1:10" ht="27" customHeight="1">
      <c r="A204" s="4">
        <v>202</v>
      </c>
      <c r="B204" s="4" t="str">
        <f>"225720191216194847225098"</f>
        <v>225720191216194847225098</v>
      </c>
      <c r="C204" s="4" t="s">
        <v>12</v>
      </c>
      <c r="D204" s="4" t="str">
        <f>"陈虹旭"</f>
        <v>陈虹旭</v>
      </c>
      <c r="E204" s="4" t="str">
        <f t="shared" si="48"/>
        <v>女</v>
      </c>
      <c r="F204" s="4" t="str">
        <f>"1997-07-19"</f>
        <v>1997-07-19</v>
      </c>
      <c r="G204" s="4" t="str">
        <f t="shared" si="49"/>
        <v>本科</v>
      </c>
      <c r="H204" s="4" t="str">
        <f t="shared" si="50"/>
        <v>学士</v>
      </c>
      <c r="I204" s="4" t="str">
        <f>"汉语言文学"</f>
        <v>汉语言文学</v>
      </c>
      <c r="J204" s="4" t="str">
        <f>"无"</f>
        <v>无</v>
      </c>
    </row>
    <row r="205" spans="1:10" ht="27" customHeight="1">
      <c r="A205" s="4">
        <v>203</v>
      </c>
      <c r="B205" s="4" t="str">
        <f>"225720191216194850225099"</f>
        <v>225720191216194850225099</v>
      </c>
      <c r="C205" s="4" t="s">
        <v>16</v>
      </c>
      <c r="D205" s="4" t="str">
        <f>"吴奇螈"</f>
        <v>吴奇螈</v>
      </c>
      <c r="E205" s="4" t="str">
        <f aca="true" t="shared" si="51" ref="E205:E210">"男"</f>
        <v>男</v>
      </c>
      <c r="F205" s="4" t="str">
        <f>"1993-07-13"</f>
        <v>1993-07-13</v>
      </c>
      <c r="G205" s="4" t="str">
        <f t="shared" si="49"/>
        <v>本科</v>
      </c>
      <c r="H205" s="4" t="str">
        <f t="shared" si="50"/>
        <v>学士</v>
      </c>
      <c r="I205" s="4" t="str">
        <f>"地理信息系统"</f>
        <v>地理信息系统</v>
      </c>
      <c r="J205" s="4" t="str">
        <f>"无"</f>
        <v>无</v>
      </c>
    </row>
    <row r="206" spans="1:10" ht="27" customHeight="1">
      <c r="A206" s="4">
        <v>204</v>
      </c>
      <c r="B206" s="4" t="str">
        <f>"225720191216195159225101"</f>
        <v>225720191216195159225101</v>
      </c>
      <c r="C206" s="4" t="s">
        <v>12</v>
      </c>
      <c r="D206" s="4" t="str">
        <f>"韦边"</f>
        <v>韦边</v>
      </c>
      <c r="E206" s="4" t="str">
        <f t="shared" si="51"/>
        <v>男</v>
      </c>
      <c r="F206" s="4" t="str">
        <f>"1994-08-27"</f>
        <v>1994-08-27</v>
      </c>
      <c r="G206" s="4" t="str">
        <f t="shared" si="49"/>
        <v>本科</v>
      </c>
      <c r="H206" s="4" t="str">
        <f t="shared" si="50"/>
        <v>学士</v>
      </c>
      <c r="I206" s="4" t="str">
        <f>"城乡规划"</f>
        <v>城乡规划</v>
      </c>
      <c r="J206" s="4" t="str">
        <f>"助理工程师"</f>
        <v>助理工程师</v>
      </c>
    </row>
    <row r="207" spans="1:10" ht="27" customHeight="1">
      <c r="A207" s="4">
        <v>205</v>
      </c>
      <c r="B207" s="4" t="str">
        <f>"225720191216195201225102"</f>
        <v>225720191216195201225102</v>
      </c>
      <c r="C207" s="4" t="s">
        <v>11</v>
      </c>
      <c r="D207" s="4" t="str">
        <f>"罗运志"</f>
        <v>罗运志</v>
      </c>
      <c r="E207" s="4" t="str">
        <f t="shared" si="51"/>
        <v>男</v>
      </c>
      <c r="F207" s="4" t="str">
        <f>"1987-03-22"</f>
        <v>1987-03-22</v>
      </c>
      <c r="G207" s="4" t="str">
        <f t="shared" si="49"/>
        <v>本科</v>
      </c>
      <c r="H207" s="4" t="str">
        <f t="shared" si="50"/>
        <v>学士</v>
      </c>
      <c r="I207" s="4" t="str">
        <f>"计算机科学与技术(软件工程)"</f>
        <v>计算机科学与技术(软件工程)</v>
      </c>
      <c r="J207" s="4" t="str">
        <f>"软件设计师"</f>
        <v>软件设计师</v>
      </c>
    </row>
    <row r="208" spans="1:10" ht="27" customHeight="1">
      <c r="A208" s="4">
        <v>206</v>
      </c>
      <c r="B208" s="4" t="str">
        <f>"225720191216195807225110"</f>
        <v>225720191216195807225110</v>
      </c>
      <c r="C208" s="4" t="s">
        <v>15</v>
      </c>
      <c r="D208" s="4" t="str">
        <f>"洪振宁"</f>
        <v>洪振宁</v>
      </c>
      <c r="E208" s="4" t="str">
        <f t="shared" si="51"/>
        <v>男</v>
      </c>
      <c r="F208" s="4" t="str">
        <f>"1994-10-24"</f>
        <v>1994-10-24</v>
      </c>
      <c r="G208" s="4" t="str">
        <f t="shared" si="49"/>
        <v>本科</v>
      </c>
      <c r="H208" s="4" t="str">
        <f t="shared" si="50"/>
        <v>学士</v>
      </c>
      <c r="I208" s="4" t="str">
        <f>"测绘工程"</f>
        <v>测绘工程</v>
      </c>
      <c r="J208" s="4" t="str">
        <f>"无"</f>
        <v>无</v>
      </c>
    </row>
    <row r="209" spans="1:10" ht="27" customHeight="1">
      <c r="A209" s="4">
        <v>207</v>
      </c>
      <c r="B209" s="4" t="str">
        <f>"225720191216200916225124"</f>
        <v>225720191216200916225124</v>
      </c>
      <c r="C209" s="4" t="s">
        <v>12</v>
      </c>
      <c r="D209" s="4" t="str">
        <f>"符森"</f>
        <v>符森</v>
      </c>
      <c r="E209" s="4" t="str">
        <f t="shared" si="51"/>
        <v>男</v>
      </c>
      <c r="F209" s="4" t="str">
        <f>"1986-10-25"</f>
        <v>1986-10-25</v>
      </c>
      <c r="G209" s="4" t="str">
        <f t="shared" si="49"/>
        <v>本科</v>
      </c>
      <c r="H209" s="4" t="str">
        <f t="shared" si="50"/>
        <v>学士</v>
      </c>
      <c r="I209" s="4" t="str">
        <f>"汉语言文学"</f>
        <v>汉语言文学</v>
      </c>
      <c r="J209" s="4" t="str">
        <f>"无"</f>
        <v>无</v>
      </c>
    </row>
    <row r="210" spans="1:10" ht="27" customHeight="1">
      <c r="A210" s="4">
        <v>208</v>
      </c>
      <c r="B210" s="4" t="str">
        <f>"225720191216201029225126"</f>
        <v>225720191216201029225126</v>
      </c>
      <c r="C210" s="4" t="s">
        <v>11</v>
      </c>
      <c r="D210" s="4" t="str">
        <f>"林景华"</f>
        <v>林景华</v>
      </c>
      <c r="E210" s="4" t="str">
        <f t="shared" si="51"/>
        <v>男</v>
      </c>
      <c r="F210" s="4" t="str">
        <f>"1997-01-10"</f>
        <v>1997-01-10</v>
      </c>
      <c r="G210" s="4" t="str">
        <f t="shared" si="49"/>
        <v>本科</v>
      </c>
      <c r="H210" s="4" t="str">
        <f t="shared" si="50"/>
        <v>学士</v>
      </c>
      <c r="I210" s="4" t="str">
        <f>"计算机科学与技术"</f>
        <v>计算机科学与技术</v>
      </c>
      <c r="J210" s="4" t="str">
        <f>"无"</f>
        <v>无</v>
      </c>
    </row>
    <row r="211" spans="1:10" ht="27" customHeight="1">
      <c r="A211" s="4">
        <v>209</v>
      </c>
      <c r="B211" s="4" t="str">
        <f>"225720191216201218225129"</f>
        <v>225720191216201218225129</v>
      </c>
      <c r="C211" s="4" t="s">
        <v>11</v>
      </c>
      <c r="D211" s="4" t="str">
        <f>"王少丽"</f>
        <v>王少丽</v>
      </c>
      <c r="E211" s="4" t="str">
        <f aca="true" t="shared" si="52" ref="E211:E218">"女"</f>
        <v>女</v>
      </c>
      <c r="F211" s="4" t="str">
        <f>"1989-05-22"</f>
        <v>1989-05-22</v>
      </c>
      <c r="G211" s="4" t="str">
        <f t="shared" si="49"/>
        <v>本科</v>
      </c>
      <c r="H211" s="4" t="str">
        <f t="shared" si="50"/>
        <v>学士</v>
      </c>
      <c r="I211" s="4" t="str">
        <f>"通信工程"</f>
        <v>通信工程</v>
      </c>
      <c r="J211" s="4" t="str">
        <f>"无"</f>
        <v>无</v>
      </c>
    </row>
    <row r="212" spans="1:10" ht="27" customHeight="1">
      <c r="A212" s="4">
        <v>210</v>
      </c>
      <c r="B212" s="4" t="str">
        <f>"225720191216202417225144"</f>
        <v>225720191216202417225144</v>
      </c>
      <c r="C212" s="4" t="s">
        <v>12</v>
      </c>
      <c r="D212" s="4" t="str">
        <f>"欧阳艳"</f>
        <v>欧阳艳</v>
      </c>
      <c r="E212" s="4" t="str">
        <f t="shared" si="52"/>
        <v>女</v>
      </c>
      <c r="F212" s="4" t="str">
        <f>"1989-11-09"</f>
        <v>1989-11-09</v>
      </c>
      <c r="G212" s="4" t="str">
        <f t="shared" si="49"/>
        <v>本科</v>
      </c>
      <c r="H212" s="4" t="str">
        <f t="shared" si="50"/>
        <v>学士</v>
      </c>
      <c r="I212" s="4" t="str">
        <f>"汉语言文学"</f>
        <v>汉语言文学</v>
      </c>
      <c r="J212" s="4" t="str">
        <f>"无"</f>
        <v>无</v>
      </c>
    </row>
    <row r="213" spans="1:10" ht="27" customHeight="1">
      <c r="A213" s="4">
        <v>211</v>
      </c>
      <c r="B213" s="4" t="str">
        <f>"225720191216202706225148"</f>
        <v>225720191216202706225148</v>
      </c>
      <c r="C213" s="4" t="s">
        <v>19</v>
      </c>
      <c r="D213" s="4" t="str">
        <f>"陈崇磊"</f>
        <v>陈崇磊</v>
      </c>
      <c r="E213" s="4" t="str">
        <f>"男"</f>
        <v>男</v>
      </c>
      <c r="F213" s="4" t="str">
        <f>"1992-01-27"</f>
        <v>1992-01-27</v>
      </c>
      <c r="G213" s="4" t="str">
        <f t="shared" si="49"/>
        <v>本科</v>
      </c>
      <c r="H213" s="4" t="str">
        <f t="shared" si="50"/>
        <v>学士</v>
      </c>
      <c r="I213" s="4" t="str">
        <f>"信息管理与信息系统"</f>
        <v>信息管理与信息系统</v>
      </c>
      <c r="J213" s="4" t="str">
        <f>"行政人员"</f>
        <v>行政人员</v>
      </c>
    </row>
    <row r="214" spans="1:10" ht="27" customHeight="1">
      <c r="A214" s="4">
        <v>212</v>
      </c>
      <c r="B214" s="4" t="str">
        <f>"225720191216203742225168"</f>
        <v>225720191216203742225168</v>
      </c>
      <c r="C214" s="4" t="s">
        <v>13</v>
      </c>
      <c r="D214" s="4" t="str">
        <f>"许嘉"</f>
        <v>许嘉</v>
      </c>
      <c r="E214" s="4" t="str">
        <f t="shared" si="52"/>
        <v>女</v>
      </c>
      <c r="F214" s="4" t="str">
        <f>"1994-02-08"</f>
        <v>1994-02-08</v>
      </c>
      <c r="G214" s="4" t="str">
        <f t="shared" si="49"/>
        <v>本科</v>
      </c>
      <c r="H214" s="4" t="str">
        <f t="shared" si="50"/>
        <v>学士</v>
      </c>
      <c r="I214" s="4" t="str">
        <f>"新闻学"</f>
        <v>新闻学</v>
      </c>
      <c r="J214" s="4" t="str">
        <f>"助理工程师"</f>
        <v>助理工程师</v>
      </c>
    </row>
    <row r="215" spans="1:10" ht="27" customHeight="1">
      <c r="A215" s="4">
        <v>213</v>
      </c>
      <c r="B215" s="4" t="str">
        <f>"225720191216203815225169"</f>
        <v>225720191216203815225169</v>
      </c>
      <c r="C215" s="4" t="s">
        <v>12</v>
      </c>
      <c r="D215" s="4" t="str">
        <f>"彭满"</f>
        <v>彭满</v>
      </c>
      <c r="E215" s="4" t="str">
        <f t="shared" si="52"/>
        <v>女</v>
      </c>
      <c r="F215" s="4" t="str">
        <f>"1995-12-08"</f>
        <v>1995-12-08</v>
      </c>
      <c r="G215" s="4" t="str">
        <f t="shared" si="49"/>
        <v>本科</v>
      </c>
      <c r="H215" s="4" t="str">
        <f t="shared" si="50"/>
        <v>学士</v>
      </c>
      <c r="I215" s="4" t="str">
        <f>"土地资源管理"</f>
        <v>土地资源管理</v>
      </c>
      <c r="J215" s="4" t="str">
        <f aca="true" t="shared" si="53" ref="J215:J228">"无"</f>
        <v>无</v>
      </c>
    </row>
    <row r="216" spans="1:10" ht="27" customHeight="1">
      <c r="A216" s="4">
        <v>214</v>
      </c>
      <c r="B216" s="4" t="str">
        <f>"225720191216203917225171"</f>
        <v>225720191216203917225171</v>
      </c>
      <c r="C216" s="4" t="s">
        <v>12</v>
      </c>
      <c r="D216" s="4" t="str">
        <f>"黄丽"</f>
        <v>黄丽</v>
      </c>
      <c r="E216" s="4" t="str">
        <f t="shared" si="52"/>
        <v>女</v>
      </c>
      <c r="F216" s="4" t="str">
        <f>"1995-08-02"</f>
        <v>1995-08-02</v>
      </c>
      <c r="G216" s="4" t="str">
        <f t="shared" si="49"/>
        <v>本科</v>
      </c>
      <c r="H216" s="4" t="str">
        <f t="shared" si="50"/>
        <v>学士</v>
      </c>
      <c r="I216" s="4" t="str">
        <f>"法学专业"</f>
        <v>法学专业</v>
      </c>
      <c r="J216" s="4" t="str">
        <f t="shared" si="53"/>
        <v>无</v>
      </c>
    </row>
    <row r="217" spans="1:10" ht="27" customHeight="1">
      <c r="A217" s="4">
        <v>215</v>
      </c>
      <c r="B217" s="4" t="str">
        <f>"225720191216205705225189"</f>
        <v>225720191216205705225189</v>
      </c>
      <c r="C217" s="4" t="s">
        <v>12</v>
      </c>
      <c r="D217" s="4" t="str">
        <f>"刘青霞"</f>
        <v>刘青霞</v>
      </c>
      <c r="E217" s="4" t="str">
        <f t="shared" si="52"/>
        <v>女</v>
      </c>
      <c r="F217" s="4" t="str">
        <f>"1995-07-14"</f>
        <v>1995-07-14</v>
      </c>
      <c r="G217" s="4" t="str">
        <f t="shared" si="49"/>
        <v>本科</v>
      </c>
      <c r="H217" s="4" t="str">
        <f t="shared" si="50"/>
        <v>学士</v>
      </c>
      <c r="I217" s="4" t="str">
        <f>"汉语言文学"</f>
        <v>汉语言文学</v>
      </c>
      <c r="J217" s="4" t="str">
        <f t="shared" si="53"/>
        <v>无</v>
      </c>
    </row>
    <row r="218" spans="1:10" ht="27" customHeight="1">
      <c r="A218" s="4">
        <v>216</v>
      </c>
      <c r="B218" s="4" t="str">
        <f>"225720191216210437225200"</f>
        <v>225720191216210437225200</v>
      </c>
      <c r="C218" s="4" t="s">
        <v>12</v>
      </c>
      <c r="D218" s="4" t="str">
        <f>"刘千钰"</f>
        <v>刘千钰</v>
      </c>
      <c r="E218" s="4" t="str">
        <f t="shared" si="52"/>
        <v>女</v>
      </c>
      <c r="F218" s="4" t="str">
        <f>"1996-07-03"</f>
        <v>1996-07-03</v>
      </c>
      <c r="G218" s="4" t="str">
        <f t="shared" si="49"/>
        <v>本科</v>
      </c>
      <c r="H218" s="4" t="str">
        <f t="shared" si="50"/>
        <v>学士</v>
      </c>
      <c r="I218" s="4" t="str">
        <f>"汉语言文学"</f>
        <v>汉语言文学</v>
      </c>
      <c r="J218" s="4" t="str">
        <f t="shared" si="53"/>
        <v>无</v>
      </c>
    </row>
    <row r="219" spans="1:10" ht="27" customHeight="1">
      <c r="A219" s="4">
        <v>217</v>
      </c>
      <c r="B219" s="4" t="str">
        <f>"225720191216210853225208"</f>
        <v>225720191216210853225208</v>
      </c>
      <c r="C219" s="4" t="s">
        <v>12</v>
      </c>
      <c r="D219" s="4" t="str">
        <f>"王惠浪"</f>
        <v>王惠浪</v>
      </c>
      <c r="E219" s="4" t="str">
        <f>"男"</f>
        <v>男</v>
      </c>
      <c r="F219" s="4" t="str">
        <f>"1994-12-09"</f>
        <v>1994-12-09</v>
      </c>
      <c r="G219" s="4" t="str">
        <f t="shared" si="49"/>
        <v>本科</v>
      </c>
      <c r="H219" s="4" t="str">
        <f t="shared" si="50"/>
        <v>学士</v>
      </c>
      <c r="I219" s="4" t="str">
        <f>"汉语言文学"</f>
        <v>汉语言文学</v>
      </c>
      <c r="J219" s="4" t="str">
        <f t="shared" si="53"/>
        <v>无</v>
      </c>
    </row>
    <row r="220" spans="1:10" ht="27" customHeight="1">
      <c r="A220" s="4">
        <v>218</v>
      </c>
      <c r="B220" s="4" t="str">
        <f>"225720191216212807225227"</f>
        <v>225720191216212807225227</v>
      </c>
      <c r="C220" s="4" t="s">
        <v>12</v>
      </c>
      <c r="D220" s="4" t="str">
        <f>"陈小慧"</f>
        <v>陈小慧</v>
      </c>
      <c r="E220" s="4" t="str">
        <f>"女"</f>
        <v>女</v>
      </c>
      <c r="F220" s="4" t="str">
        <f>"1996-06-20"</f>
        <v>1996-06-20</v>
      </c>
      <c r="G220" s="4" t="str">
        <f t="shared" si="49"/>
        <v>本科</v>
      </c>
      <c r="H220" s="4" t="str">
        <f t="shared" si="50"/>
        <v>学士</v>
      </c>
      <c r="I220" s="4" t="str">
        <f>"汉语言文学"</f>
        <v>汉语言文学</v>
      </c>
      <c r="J220" s="4" t="str">
        <f t="shared" si="53"/>
        <v>无</v>
      </c>
    </row>
    <row r="221" spans="1:10" ht="27" customHeight="1">
      <c r="A221" s="4">
        <v>219</v>
      </c>
      <c r="B221" s="4" t="str">
        <f>"225720191216212833225229"</f>
        <v>225720191216212833225229</v>
      </c>
      <c r="C221" s="4" t="s">
        <v>16</v>
      </c>
      <c r="D221" s="4" t="str">
        <f>"张盼盼"</f>
        <v>张盼盼</v>
      </c>
      <c r="E221" s="4" t="str">
        <f>"女"</f>
        <v>女</v>
      </c>
      <c r="F221" s="4" t="str">
        <f>"1992-04-11"</f>
        <v>1992-04-11</v>
      </c>
      <c r="G221" s="4" t="str">
        <f>"研究生"</f>
        <v>研究生</v>
      </c>
      <c r="H221" s="4" t="str">
        <f>"硕士"</f>
        <v>硕士</v>
      </c>
      <c r="I221" s="4" t="str">
        <f>"地理信息系统"</f>
        <v>地理信息系统</v>
      </c>
      <c r="J221" s="4" t="str">
        <f t="shared" si="53"/>
        <v>无</v>
      </c>
    </row>
    <row r="222" spans="1:10" ht="27" customHeight="1">
      <c r="A222" s="4">
        <v>220</v>
      </c>
      <c r="B222" s="4" t="str">
        <f>"225720191216213427225232"</f>
        <v>225720191216213427225232</v>
      </c>
      <c r="C222" s="4" t="s">
        <v>12</v>
      </c>
      <c r="D222" s="4" t="str">
        <f>"黄小红"</f>
        <v>黄小红</v>
      </c>
      <c r="E222" s="4" t="str">
        <f>"女"</f>
        <v>女</v>
      </c>
      <c r="F222" s="4" t="str">
        <f>"1996-03-13"</f>
        <v>1996-03-13</v>
      </c>
      <c r="G222" s="4" t="str">
        <f aca="true" t="shared" si="54" ref="G222:G231">"本科"</f>
        <v>本科</v>
      </c>
      <c r="H222" s="4" t="str">
        <f>"学士"</f>
        <v>学士</v>
      </c>
      <c r="I222" s="4" t="str">
        <f>"汉语言文学"</f>
        <v>汉语言文学</v>
      </c>
      <c r="J222" s="4" t="str">
        <f t="shared" si="53"/>
        <v>无</v>
      </c>
    </row>
    <row r="223" spans="1:10" ht="27" customHeight="1">
      <c r="A223" s="4">
        <v>221</v>
      </c>
      <c r="B223" s="4" t="str">
        <f>"225720191216213520225235"</f>
        <v>225720191216213520225235</v>
      </c>
      <c r="C223" s="4" t="s">
        <v>13</v>
      </c>
      <c r="D223" s="4" t="str">
        <f>"苏盈盈"</f>
        <v>苏盈盈</v>
      </c>
      <c r="E223" s="4" t="str">
        <f>"女"</f>
        <v>女</v>
      </c>
      <c r="F223" s="4" t="str">
        <f>"1994-03-05"</f>
        <v>1994-03-05</v>
      </c>
      <c r="G223" s="4" t="str">
        <f t="shared" si="54"/>
        <v>本科</v>
      </c>
      <c r="H223" s="4" t="str">
        <f>"学士"</f>
        <v>学士</v>
      </c>
      <c r="I223" s="4" t="str">
        <f>"新闻学"</f>
        <v>新闻学</v>
      </c>
      <c r="J223" s="4" t="str">
        <f t="shared" si="53"/>
        <v>无</v>
      </c>
    </row>
    <row r="224" spans="1:10" ht="27" customHeight="1">
      <c r="A224" s="4">
        <v>222</v>
      </c>
      <c r="B224" s="4" t="str">
        <f>"225720191216214822225243"</f>
        <v>225720191216214822225243</v>
      </c>
      <c r="C224" s="4" t="s">
        <v>11</v>
      </c>
      <c r="D224" s="4" t="str">
        <f>"莫中正"</f>
        <v>莫中正</v>
      </c>
      <c r="E224" s="4" t="str">
        <f>"男"</f>
        <v>男</v>
      </c>
      <c r="F224" s="4" t="str">
        <f>"1996-06-22"</f>
        <v>1996-06-22</v>
      </c>
      <c r="G224" s="4" t="str">
        <f t="shared" si="54"/>
        <v>本科</v>
      </c>
      <c r="H224" s="4" t="str">
        <f>"学士"</f>
        <v>学士</v>
      </c>
      <c r="I224" s="4" t="str">
        <f>"通信工程"</f>
        <v>通信工程</v>
      </c>
      <c r="J224" s="4" t="str">
        <f t="shared" si="53"/>
        <v>无</v>
      </c>
    </row>
    <row r="225" spans="1:10" ht="27" customHeight="1">
      <c r="A225" s="4">
        <v>223</v>
      </c>
      <c r="B225" s="4" t="str">
        <f>"225720191216215044225245"</f>
        <v>225720191216215044225245</v>
      </c>
      <c r="C225" s="4" t="s">
        <v>16</v>
      </c>
      <c r="D225" s="4" t="str">
        <f>"羊兴敏"</f>
        <v>羊兴敏</v>
      </c>
      <c r="E225" s="4" t="str">
        <f>"男"</f>
        <v>男</v>
      </c>
      <c r="F225" s="4" t="str">
        <f>"1994-05-25"</f>
        <v>1994-05-25</v>
      </c>
      <c r="G225" s="4" t="str">
        <f t="shared" si="54"/>
        <v>本科</v>
      </c>
      <c r="H225" s="4" t="str">
        <f>"无"</f>
        <v>无</v>
      </c>
      <c r="I225" s="4" t="str">
        <f>"资源环境与城乡规划管理（房地产评估与经营）"</f>
        <v>资源环境与城乡规划管理（房地产评估与经营）</v>
      </c>
      <c r="J225" s="4" t="str">
        <f t="shared" si="53"/>
        <v>无</v>
      </c>
    </row>
    <row r="226" spans="1:10" ht="27" customHeight="1">
      <c r="A226" s="4">
        <v>224</v>
      </c>
      <c r="B226" s="4" t="str">
        <f>"225720191216215348225248"</f>
        <v>225720191216215348225248</v>
      </c>
      <c r="C226" s="4" t="s">
        <v>14</v>
      </c>
      <c r="D226" s="4" t="str">
        <f>"李想"</f>
        <v>李想</v>
      </c>
      <c r="E226" s="4" t="str">
        <f>"女"</f>
        <v>女</v>
      </c>
      <c r="F226" s="4" t="str">
        <f>"1997-11-20"</f>
        <v>1997-11-20</v>
      </c>
      <c r="G226" s="4" t="str">
        <f t="shared" si="54"/>
        <v>本科</v>
      </c>
      <c r="H226" s="4" t="str">
        <f aca="true" t="shared" si="55" ref="H226:H231">"学士"</f>
        <v>学士</v>
      </c>
      <c r="I226" s="4" t="str">
        <f>"遥感科学与技术"</f>
        <v>遥感科学与技术</v>
      </c>
      <c r="J226" s="4" t="str">
        <f t="shared" si="53"/>
        <v>无</v>
      </c>
    </row>
    <row r="227" spans="1:10" ht="27" customHeight="1">
      <c r="A227" s="4">
        <v>225</v>
      </c>
      <c r="B227" s="4" t="str">
        <f>"225720191216220448225258"</f>
        <v>225720191216220448225258</v>
      </c>
      <c r="C227" s="4" t="s">
        <v>13</v>
      </c>
      <c r="D227" s="4" t="str">
        <f>"翁美玲"</f>
        <v>翁美玲</v>
      </c>
      <c r="E227" s="4" t="str">
        <f>"女"</f>
        <v>女</v>
      </c>
      <c r="F227" s="4" t="str">
        <f>"1992-03-04"</f>
        <v>1992-03-04</v>
      </c>
      <c r="G227" s="4" t="str">
        <f t="shared" si="54"/>
        <v>本科</v>
      </c>
      <c r="H227" s="4" t="str">
        <f t="shared" si="55"/>
        <v>学士</v>
      </c>
      <c r="I227" s="4" t="str">
        <f>"新闻学"</f>
        <v>新闻学</v>
      </c>
      <c r="J227" s="4" t="str">
        <f t="shared" si="53"/>
        <v>无</v>
      </c>
    </row>
    <row r="228" spans="1:10" ht="27" customHeight="1">
      <c r="A228" s="4">
        <v>226</v>
      </c>
      <c r="B228" s="4" t="str">
        <f>"225720191216222319225267"</f>
        <v>225720191216222319225267</v>
      </c>
      <c r="C228" s="4" t="s">
        <v>15</v>
      </c>
      <c r="D228" s="4" t="str">
        <f>"邓尾全"</f>
        <v>邓尾全</v>
      </c>
      <c r="E228" s="4" t="str">
        <f>"女"</f>
        <v>女</v>
      </c>
      <c r="F228" s="4" t="str">
        <f>"1991-08-07"</f>
        <v>1991-08-07</v>
      </c>
      <c r="G228" s="4" t="str">
        <f t="shared" si="54"/>
        <v>本科</v>
      </c>
      <c r="H228" s="4" t="str">
        <f t="shared" si="55"/>
        <v>学士</v>
      </c>
      <c r="I228" s="4" t="str">
        <f>"土地资源管理"</f>
        <v>土地资源管理</v>
      </c>
      <c r="J228" s="4" t="str">
        <f t="shared" si="53"/>
        <v>无</v>
      </c>
    </row>
    <row r="229" spans="1:10" ht="27" customHeight="1">
      <c r="A229" s="4">
        <v>227</v>
      </c>
      <c r="B229" s="4" t="str">
        <f>"225720191216222508225268"</f>
        <v>225720191216222508225268</v>
      </c>
      <c r="C229" s="4" t="s">
        <v>18</v>
      </c>
      <c r="D229" s="4" t="str">
        <f>"刘丽华"</f>
        <v>刘丽华</v>
      </c>
      <c r="E229" s="4" t="str">
        <f>"女"</f>
        <v>女</v>
      </c>
      <c r="F229" s="4" t="str">
        <f>"1989-02-10"</f>
        <v>1989-02-10</v>
      </c>
      <c r="G229" s="4" t="str">
        <f t="shared" si="54"/>
        <v>本科</v>
      </c>
      <c r="H229" s="4" t="str">
        <f t="shared" si="55"/>
        <v>学士</v>
      </c>
      <c r="I229" s="4" t="str">
        <f>"会计学（注册会计师方向）（专科起点）"</f>
        <v>会计学（注册会计师方向）（专科起点）</v>
      </c>
      <c r="J229" s="4" t="str">
        <f>"会计中级职称"</f>
        <v>会计中级职称</v>
      </c>
    </row>
    <row r="230" spans="1:10" ht="27" customHeight="1">
      <c r="A230" s="4">
        <v>228</v>
      </c>
      <c r="B230" s="4" t="str">
        <f>"225720191216223658225274"</f>
        <v>225720191216223658225274</v>
      </c>
      <c r="C230" s="4" t="s">
        <v>16</v>
      </c>
      <c r="D230" s="4" t="str">
        <f>"叶琦"</f>
        <v>叶琦</v>
      </c>
      <c r="E230" s="4" t="str">
        <f aca="true" t="shared" si="56" ref="E230:E235">"男"</f>
        <v>男</v>
      </c>
      <c r="F230" s="4" t="str">
        <f>"1993-10-11"</f>
        <v>1993-10-11</v>
      </c>
      <c r="G230" s="4" t="str">
        <f t="shared" si="54"/>
        <v>本科</v>
      </c>
      <c r="H230" s="4" t="str">
        <f t="shared" si="55"/>
        <v>学士</v>
      </c>
      <c r="I230" s="4" t="str">
        <f>"资源环境与城乡规划管理"</f>
        <v>资源环境与城乡规划管理</v>
      </c>
      <c r="J230" s="4" t="str">
        <f>"初级工程师"</f>
        <v>初级工程师</v>
      </c>
    </row>
    <row r="231" spans="1:10" ht="27" customHeight="1">
      <c r="A231" s="4">
        <v>229</v>
      </c>
      <c r="B231" s="4" t="str">
        <f>"225720191216223740225275"</f>
        <v>225720191216223740225275</v>
      </c>
      <c r="C231" s="4" t="s">
        <v>16</v>
      </c>
      <c r="D231" s="4" t="str">
        <f>"王慧"</f>
        <v>王慧</v>
      </c>
      <c r="E231" s="4" t="str">
        <f>"女"</f>
        <v>女</v>
      </c>
      <c r="F231" s="4" t="str">
        <f>"1992-09-09"</f>
        <v>1992-09-09</v>
      </c>
      <c r="G231" s="4" t="str">
        <f t="shared" si="54"/>
        <v>本科</v>
      </c>
      <c r="H231" s="4" t="str">
        <f t="shared" si="55"/>
        <v>学士</v>
      </c>
      <c r="I231" s="4" t="str">
        <f>"资源环境与城乡规划管理"</f>
        <v>资源环境与城乡规划管理</v>
      </c>
      <c r="J231" s="4" t="str">
        <f>"助理工程师"</f>
        <v>助理工程师</v>
      </c>
    </row>
    <row r="232" spans="1:10" ht="27" customHeight="1">
      <c r="A232" s="4">
        <v>230</v>
      </c>
      <c r="B232" s="4" t="str">
        <f>"225720191216223929225278"</f>
        <v>225720191216223929225278</v>
      </c>
      <c r="C232" s="4" t="s">
        <v>16</v>
      </c>
      <c r="D232" s="4" t="str">
        <f>"邓广"</f>
        <v>邓广</v>
      </c>
      <c r="E232" s="4" t="str">
        <f t="shared" si="56"/>
        <v>男</v>
      </c>
      <c r="F232" s="4" t="str">
        <f>"1991-10-12"</f>
        <v>1991-10-12</v>
      </c>
      <c r="G232" s="4" t="str">
        <f>"研究生"</f>
        <v>研究生</v>
      </c>
      <c r="H232" s="4" t="str">
        <f>"硕士"</f>
        <v>硕士</v>
      </c>
      <c r="I232" s="4" t="str">
        <f>"地理信息系统"</f>
        <v>地理信息系统</v>
      </c>
      <c r="J232" s="4" t="str">
        <f>"无"</f>
        <v>无</v>
      </c>
    </row>
    <row r="233" spans="1:10" ht="27" customHeight="1">
      <c r="A233" s="4">
        <v>231</v>
      </c>
      <c r="B233" s="4" t="str">
        <f>"225720191216224638225281"</f>
        <v>225720191216224638225281</v>
      </c>
      <c r="C233" s="4" t="s">
        <v>12</v>
      </c>
      <c r="D233" s="4" t="str">
        <f>"何才丁"</f>
        <v>何才丁</v>
      </c>
      <c r="E233" s="4" t="str">
        <f>"女"</f>
        <v>女</v>
      </c>
      <c r="F233" s="4" t="str">
        <f>"1995-10-15"</f>
        <v>1995-10-15</v>
      </c>
      <c r="G233" s="4" t="str">
        <f aca="true" t="shared" si="57" ref="G233:G296">"本科"</f>
        <v>本科</v>
      </c>
      <c r="H233" s="4" t="str">
        <f aca="true" t="shared" si="58" ref="H233:H247">"学士"</f>
        <v>学士</v>
      </c>
      <c r="I233" s="4" t="str">
        <f>"法学"</f>
        <v>法学</v>
      </c>
      <c r="J233" s="4" t="str">
        <f>"无"</f>
        <v>无</v>
      </c>
    </row>
    <row r="234" spans="1:10" ht="27" customHeight="1">
      <c r="A234" s="4">
        <v>232</v>
      </c>
      <c r="B234" s="4" t="str">
        <f>"225720191216225042225286"</f>
        <v>225720191216225042225286</v>
      </c>
      <c r="C234" s="4" t="s">
        <v>12</v>
      </c>
      <c r="D234" s="4" t="str">
        <f>"黎晓莹"</f>
        <v>黎晓莹</v>
      </c>
      <c r="E234" s="4" t="str">
        <f>"女"</f>
        <v>女</v>
      </c>
      <c r="F234" s="4" t="str">
        <f>"1995-03-17"</f>
        <v>1995-03-17</v>
      </c>
      <c r="G234" s="4" t="str">
        <f t="shared" si="57"/>
        <v>本科</v>
      </c>
      <c r="H234" s="4" t="str">
        <f t="shared" si="58"/>
        <v>学士</v>
      </c>
      <c r="I234" s="4" t="str">
        <f>"汉语言文学"</f>
        <v>汉语言文学</v>
      </c>
      <c r="J234" s="4" t="str">
        <f>"无"</f>
        <v>无</v>
      </c>
    </row>
    <row r="235" spans="1:10" ht="27" customHeight="1">
      <c r="A235" s="4">
        <v>233</v>
      </c>
      <c r="B235" s="4" t="str">
        <f>"225720191216225855225291"</f>
        <v>225720191216225855225291</v>
      </c>
      <c r="C235" s="4" t="s">
        <v>12</v>
      </c>
      <c r="D235" s="4" t="str">
        <f>"胡健"</f>
        <v>胡健</v>
      </c>
      <c r="E235" s="4" t="str">
        <f t="shared" si="56"/>
        <v>男</v>
      </c>
      <c r="F235" s="4" t="str">
        <f>"1993-02-12"</f>
        <v>1993-02-12</v>
      </c>
      <c r="G235" s="4" t="str">
        <f t="shared" si="57"/>
        <v>本科</v>
      </c>
      <c r="H235" s="4" t="str">
        <f t="shared" si="58"/>
        <v>学士</v>
      </c>
      <c r="I235" s="4" t="str">
        <f>"土地资源管理"</f>
        <v>土地资源管理</v>
      </c>
      <c r="J235" s="4" t="str">
        <f>"助理工程师"</f>
        <v>助理工程师</v>
      </c>
    </row>
    <row r="236" spans="1:10" ht="27" customHeight="1">
      <c r="A236" s="4">
        <v>234</v>
      </c>
      <c r="B236" s="4" t="str">
        <f>"225720191216230531225294"</f>
        <v>225720191216230531225294</v>
      </c>
      <c r="C236" s="4" t="s">
        <v>12</v>
      </c>
      <c r="D236" s="4" t="str">
        <f>"吴加嘉"</f>
        <v>吴加嘉</v>
      </c>
      <c r="E236" s="4" t="str">
        <f aca="true" t="shared" si="59" ref="E236:E241">"女"</f>
        <v>女</v>
      </c>
      <c r="F236" s="4" t="str">
        <f>"1991-02-08"</f>
        <v>1991-02-08</v>
      </c>
      <c r="G236" s="4" t="str">
        <f t="shared" si="57"/>
        <v>本科</v>
      </c>
      <c r="H236" s="4" t="str">
        <f t="shared" si="58"/>
        <v>学士</v>
      </c>
      <c r="I236" s="4" t="str">
        <f>"汉语言文学"</f>
        <v>汉语言文学</v>
      </c>
      <c r="J236" s="4" t="str">
        <f>"无"</f>
        <v>无</v>
      </c>
    </row>
    <row r="237" spans="1:10" ht="27" customHeight="1">
      <c r="A237" s="4">
        <v>235</v>
      </c>
      <c r="B237" s="4" t="str">
        <f>"225720191216230756225298"</f>
        <v>225720191216230756225298</v>
      </c>
      <c r="C237" s="4" t="s">
        <v>19</v>
      </c>
      <c r="D237" s="4" t="str">
        <f>"邱春孟"</f>
        <v>邱春孟</v>
      </c>
      <c r="E237" s="4" t="str">
        <f t="shared" si="59"/>
        <v>女</v>
      </c>
      <c r="F237" s="4" t="str">
        <f>"1988-04-24"</f>
        <v>1988-04-24</v>
      </c>
      <c r="G237" s="4" t="str">
        <f t="shared" si="57"/>
        <v>本科</v>
      </c>
      <c r="H237" s="4" t="str">
        <f t="shared" si="58"/>
        <v>学士</v>
      </c>
      <c r="I237" s="4" t="str">
        <f>"信息管理与信息系统"</f>
        <v>信息管理与信息系统</v>
      </c>
      <c r="J237" s="4" t="str">
        <f>"无"</f>
        <v>无</v>
      </c>
    </row>
    <row r="238" spans="1:10" ht="27" customHeight="1">
      <c r="A238" s="4">
        <v>236</v>
      </c>
      <c r="B238" s="4" t="str">
        <f>"225720191216230849225299"</f>
        <v>225720191216230849225299</v>
      </c>
      <c r="C238" s="4" t="s">
        <v>17</v>
      </c>
      <c r="D238" s="4" t="str">
        <f>"余伟健"</f>
        <v>余伟健</v>
      </c>
      <c r="E238" s="4" t="str">
        <f aca="true" t="shared" si="60" ref="E238:E243">"男"</f>
        <v>男</v>
      </c>
      <c r="F238" s="4" t="str">
        <f>"1993-02-02"</f>
        <v>1993-02-02</v>
      </c>
      <c r="G238" s="4" t="str">
        <f t="shared" si="57"/>
        <v>本科</v>
      </c>
      <c r="H238" s="4" t="str">
        <f t="shared" si="58"/>
        <v>学士</v>
      </c>
      <c r="I238" s="4" t="str">
        <f>"计算机科学与技术（师范）"</f>
        <v>计算机科学与技术（师范）</v>
      </c>
      <c r="J238" s="4" t="str">
        <f>"无"</f>
        <v>无</v>
      </c>
    </row>
    <row r="239" spans="1:10" ht="27" customHeight="1">
      <c r="A239" s="4">
        <v>237</v>
      </c>
      <c r="B239" s="4" t="str">
        <f>"225720191216232123225308"</f>
        <v>225720191216232123225308</v>
      </c>
      <c r="C239" s="4" t="s">
        <v>11</v>
      </c>
      <c r="D239" s="4" t="str">
        <f>"刘维"</f>
        <v>刘维</v>
      </c>
      <c r="E239" s="4" t="str">
        <f t="shared" si="59"/>
        <v>女</v>
      </c>
      <c r="F239" s="4" t="str">
        <f>"1990-08-20"</f>
        <v>1990-08-20</v>
      </c>
      <c r="G239" s="4" t="str">
        <f t="shared" si="57"/>
        <v>本科</v>
      </c>
      <c r="H239" s="4" t="str">
        <f t="shared" si="58"/>
        <v>学士</v>
      </c>
      <c r="I239" s="4" t="str">
        <f>"计算机科学与技术"</f>
        <v>计算机科学与技术</v>
      </c>
      <c r="J239" s="4" t="str">
        <f>"无"</f>
        <v>无</v>
      </c>
    </row>
    <row r="240" spans="1:10" ht="27" customHeight="1">
      <c r="A240" s="4">
        <v>238</v>
      </c>
      <c r="B240" s="4" t="str">
        <f>"225720191216232525225310"</f>
        <v>225720191216232525225310</v>
      </c>
      <c r="C240" s="4" t="s">
        <v>18</v>
      </c>
      <c r="D240" s="4" t="str">
        <f>"吴晓乐"</f>
        <v>吴晓乐</v>
      </c>
      <c r="E240" s="4" t="str">
        <f t="shared" si="59"/>
        <v>女</v>
      </c>
      <c r="F240" s="4" t="str">
        <f>"1991-05-07"</f>
        <v>1991-05-07</v>
      </c>
      <c r="G240" s="4" t="str">
        <f t="shared" si="57"/>
        <v>本科</v>
      </c>
      <c r="H240" s="4" t="str">
        <f t="shared" si="58"/>
        <v>学士</v>
      </c>
      <c r="I240" s="4" t="str">
        <f>"会计学"</f>
        <v>会计学</v>
      </c>
      <c r="J240" s="4" t="str">
        <f>"初级会计"</f>
        <v>初级会计</v>
      </c>
    </row>
    <row r="241" spans="1:10" ht="27" customHeight="1">
      <c r="A241" s="4">
        <v>239</v>
      </c>
      <c r="B241" s="4" t="str">
        <f>"225720191216232611225311"</f>
        <v>225720191216232611225311</v>
      </c>
      <c r="C241" s="4" t="s">
        <v>18</v>
      </c>
      <c r="D241" s="4" t="str">
        <f>"李阳"</f>
        <v>李阳</v>
      </c>
      <c r="E241" s="4" t="str">
        <f t="shared" si="59"/>
        <v>女</v>
      </c>
      <c r="F241" s="4" t="str">
        <f>"1989-10-03"</f>
        <v>1989-10-03</v>
      </c>
      <c r="G241" s="4" t="str">
        <f t="shared" si="57"/>
        <v>本科</v>
      </c>
      <c r="H241" s="4" t="str">
        <f t="shared" si="58"/>
        <v>学士</v>
      </c>
      <c r="I241" s="4" t="str">
        <f>"会计学"</f>
        <v>会计学</v>
      </c>
      <c r="J241" s="4" t="str">
        <f>"初级会计师"</f>
        <v>初级会计师</v>
      </c>
    </row>
    <row r="242" spans="1:10" ht="27" customHeight="1">
      <c r="A242" s="4">
        <v>240</v>
      </c>
      <c r="B242" s="4" t="str">
        <f>"225720191216233009225313"</f>
        <v>225720191216233009225313</v>
      </c>
      <c r="C242" s="4" t="s">
        <v>11</v>
      </c>
      <c r="D242" s="4" t="str">
        <f>"黄承宝"</f>
        <v>黄承宝</v>
      </c>
      <c r="E242" s="4" t="str">
        <f t="shared" si="60"/>
        <v>男</v>
      </c>
      <c r="F242" s="4" t="str">
        <f>"1996-07-22"</f>
        <v>1996-07-22</v>
      </c>
      <c r="G242" s="4" t="str">
        <f t="shared" si="57"/>
        <v>本科</v>
      </c>
      <c r="H242" s="4" t="str">
        <f t="shared" si="58"/>
        <v>学士</v>
      </c>
      <c r="I242" s="4" t="str">
        <f>"通信工程"</f>
        <v>通信工程</v>
      </c>
      <c r="J242" s="4" t="str">
        <f>"无"</f>
        <v>无</v>
      </c>
    </row>
    <row r="243" spans="1:10" ht="27" customHeight="1">
      <c r="A243" s="4">
        <v>241</v>
      </c>
      <c r="B243" s="4" t="str">
        <f>"225720191216234146225316"</f>
        <v>225720191216234146225316</v>
      </c>
      <c r="C243" s="4" t="s">
        <v>12</v>
      </c>
      <c r="D243" s="4" t="str">
        <f>"蓝小伟"</f>
        <v>蓝小伟</v>
      </c>
      <c r="E243" s="4" t="str">
        <f t="shared" si="60"/>
        <v>男</v>
      </c>
      <c r="F243" s="4" t="str">
        <f>"1993-12-07"</f>
        <v>1993-12-07</v>
      </c>
      <c r="G243" s="4" t="str">
        <f t="shared" si="57"/>
        <v>本科</v>
      </c>
      <c r="H243" s="4" t="str">
        <f t="shared" si="58"/>
        <v>学士</v>
      </c>
      <c r="I243" s="4" t="str">
        <f>"人文地理与城乡规划"</f>
        <v>人文地理与城乡规划</v>
      </c>
      <c r="J243" s="4" t="str">
        <f>"无"</f>
        <v>无</v>
      </c>
    </row>
    <row r="244" spans="1:10" ht="27" customHeight="1">
      <c r="A244" s="4">
        <v>242</v>
      </c>
      <c r="B244" s="4" t="str">
        <f>"225720191217000346225322"</f>
        <v>225720191217000346225322</v>
      </c>
      <c r="C244" s="4" t="s">
        <v>12</v>
      </c>
      <c r="D244" s="4" t="str">
        <f>"林马珍"</f>
        <v>林马珍</v>
      </c>
      <c r="E244" s="4" t="str">
        <f>"女"</f>
        <v>女</v>
      </c>
      <c r="F244" s="4" t="str">
        <f>"1993-05-25"</f>
        <v>1993-05-25</v>
      </c>
      <c r="G244" s="4" t="str">
        <f t="shared" si="57"/>
        <v>本科</v>
      </c>
      <c r="H244" s="4" t="str">
        <f t="shared" si="58"/>
        <v>学士</v>
      </c>
      <c r="I244" s="4" t="str">
        <f>"法学"</f>
        <v>法学</v>
      </c>
      <c r="J244" s="4" t="str">
        <f>"无"</f>
        <v>无</v>
      </c>
    </row>
    <row r="245" spans="1:10" ht="27" customHeight="1">
      <c r="A245" s="4">
        <v>243</v>
      </c>
      <c r="B245" s="4" t="str">
        <f>"225720191217001832225325"</f>
        <v>225720191217001832225325</v>
      </c>
      <c r="C245" s="4" t="s">
        <v>11</v>
      </c>
      <c r="D245" s="4" t="str">
        <f>"张鹏"</f>
        <v>张鹏</v>
      </c>
      <c r="E245" s="4" t="str">
        <f>"男"</f>
        <v>男</v>
      </c>
      <c r="F245" s="4" t="str">
        <f>"1988-11-05"</f>
        <v>1988-11-05</v>
      </c>
      <c r="G245" s="4" t="str">
        <f t="shared" si="57"/>
        <v>本科</v>
      </c>
      <c r="H245" s="4" t="str">
        <f t="shared" si="58"/>
        <v>学士</v>
      </c>
      <c r="I245" s="4" t="str">
        <f>"通信工程"</f>
        <v>通信工程</v>
      </c>
      <c r="J245" s="4" t="str">
        <f>"无"</f>
        <v>无</v>
      </c>
    </row>
    <row r="246" spans="1:10" ht="27" customHeight="1">
      <c r="A246" s="4">
        <v>244</v>
      </c>
      <c r="B246" s="4" t="str">
        <f>"225720191217002746225330"</f>
        <v>225720191217002746225330</v>
      </c>
      <c r="C246" s="4" t="s">
        <v>18</v>
      </c>
      <c r="D246" s="4" t="str">
        <f>"符晓娟"</f>
        <v>符晓娟</v>
      </c>
      <c r="E246" s="4" t="str">
        <f aca="true" t="shared" si="61" ref="E246:E252">"女"</f>
        <v>女</v>
      </c>
      <c r="F246" s="4" t="str">
        <f>"1993-04-25"</f>
        <v>1993-04-25</v>
      </c>
      <c r="G246" s="4" t="str">
        <f t="shared" si="57"/>
        <v>本科</v>
      </c>
      <c r="H246" s="4" t="str">
        <f t="shared" si="58"/>
        <v>学士</v>
      </c>
      <c r="I246" s="4" t="str">
        <f>"会计学"</f>
        <v>会计学</v>
      </c>
      <c r="J246" s="4" t="str">
        <f>"初级会计职称"</f>
        <v>初级会计职称</v>
      </c>
    </row>
    <row r="247" spans="1:10" ht="27" customHeight="1">
      <c r="A247" s="4">
        <v>245</v>
      </c>
      <c r="B247" s="4" t="str">
        <f>"225720191217052811225347"</f>
        <v>225720191217052811225347</v>
      </c>
      <c r="C247" s="4" t="s">
        <v>16</v>
      </c>
      <c r="D247" s="4" t="str">
        <f>"田行健"</f>
        <v>田行健</v>
      </c>
      <c r="E247" s="4" t="str">
        <f>"男"</f>
        <v>男</v>
      </c>
      <c r="F247" s="4" t="str">
        <f>"1994-02-07"</f>
        <v>1994-02-07</v>
      </c>
      <c r="G247" s="4" t="str">
        <f t="shared" si="57"/>
        <v>本科</v>
      </c>
      <c r="H247" s="4" t="str">
        <f t="shared" si="58"/>
        <v>学士</v>
      </c>
      <c r="I247" s="4" t="str">
        <f>"资源环境与城乡规划管理（房地产评估与经营）"</f>
        <v>资源环境与城乡规划管理（房地产评估与经营）</v>
      </c>
      <c r="J247" s="4" t="str">
        <f aca="true" t="shared" si="62" ref="J247:J261">"无"</f>
        <v>无</v>
      </c>
    </row>
    <row r="248" spans="1:10" ht="27" customHeight="1">
      <c r="A248" s="4">
        <v>246</v>
      </c>
      <c r="B248" s="4" t="str">
        <f>"225720191217082032225371"</f>
        <v>225720191217082032225371</v>
      </c>
      <c r="C248" s="4" t="s">
        <v>17</v>
      </c>
      <c r="D248" s="4" t="str">
        <f>"温良玉"</f>
        <v>温良玉</v>
      </c>
      <c r="E248" s="4" t="str">
        <f>"男"</f>
        <v>男</v>
      </c>
      <c r="F248" s="4" t="str">
        <f>"1992-08-20"</f>
        <v>1992-08-20</v>
      </c>
      <c r="G248" s="4" t="str">
        <f t="shared" si="57"/>
        <v>本科</v>
      </c>
      <c r="H248" s="4" t="str">
        <f>"无"</f>
        <v>无</v>
      </c>
      <c r="I248" s="4" t="str">
        <f>"计算机科学与技术"</f>
        <v>计算机科学与技术</v>
      </c>
      <c r="J248" s="4" t="str">
        <f t="shared" si="62"/>
        <v>无</v>
      </c>
    </row>
    <row r="249" spans="1:10" ht="27" customHeight="1">
      <c r="A249" s="4">
        <v>247</v>
      </c>
      <c r="B249" s="4" t="str">
        <f>"225720191217082503225374"</f>
        <v>225720191217082503225374</v>
      </c>
      <c r="C249" s="4" t="s">
        <v>12</v>
      </c>
      <c r="D249" s="4" t="str">
        <f>"曾维硕"</f>
        <v>曾维硕</v>
      </c>
      <c r="E249" s="4" t="str">
        <f>"男"</f>
        <v>男</v>
      </c>
      <c r="F249" s="4" t="str">
        <f>"1995-08-16"</f>
        <v>1995-08-16</v>
      </c>
      <c r="G249" s="4" t="str">
        <f t="shared" si="57"/>
        <v>本科</v>
      </c>
      <c r="H249" s="4" t="str">
        <f aca="true" t="shared" si="63" ref="H249:H268">"学士"</f>
        <v>学士</v>
      </c>
      <c r="I249" s="4" t="str">
        <f>"法学"</f>
        <v>法学</v>
      </c>
      <c r="J249" s="4" t="str">
        <f t="shared" si="62"/>
        <v>无</v>
      </c>
    </row>
    <row r="250" spans="1:10" ht="27" customHeight="1">
      <c r="A250" s="4">
        <v>248</v>
      </c>
      <c r="B250" s="4" t="str">
        <f>"225720191217084439225396"</f>
        <v>225720191217084439225396</v>
      </c>
      <c r="C250" s="4" t="s">
        <v>12</v>
      </c>
      <c r="D250" s="4" t="str">
        <f>"曾蔚玲"</f>
        <v>曾蔚玲</v>
      </c>
      <c r="E250" s="4" t="str">
        <f t="shared" si="61"/>
        <v>女</v>
      </c>
      <c r="F250" s="4" t="str">
        <f>"1996-04-26"</f>
        <v>1996-04-26</v>
      </c>
      <c r="G250" s="4" t="str">
        <f t="shared" si="57"/>
        <v>本科</v>
      </c>
      <c r="H250" s="4" t="str">
        <f t="shared" si="63"/>
        <v>学士</v>
      </c>
      <c r="I250" s="4" t="str">
        <f>"汉语言文学"</f>
        <v>汉语言文学</v>
      </c>
      <c r="J250" s="4" t="str">
        <f t="shared" si="62"/>
        <v>无</v>
      </c>
    </row>
    <row r="251" spans="1:10" ht="27" customHeight="1">
      <c r="A251" s="4">
        <v>249</v>
      </c>
      <c r="B251" s="4" t="str">
        <f>"225720191217085023225404"</f>
        <v>225720191217085023225404</v>
      </c>
      <c r="C251" s="4" t="s">
        <v>12</v>
      </c>
      <c r="D251" s="4" t="str">
        <f>"吴秀玉"</f>
        <v>吴秀玉</v>
      </c>
      <c r="E251" s="4" t="str">
        <f t="shared" si="61"/>
        <v>女</v>
      </c>
      <c r="F251" s="4" t="str">
        <f>"1986-10-15"</f>
        <v>1986-10-15</v>
      </c>
      <c r="G251" s="4" t="str">
        <f t="shared" si="57"/>
        <v>本科</v>
      </c>
      <c r="H251" s="4" t="str">
        <f t="shared" si="63"/>
        <v>学士</v>
      </c>
      <c r="I251" s="4" t="str">
        <f>"汉语言文学"</f>
        <v>汉语言文学</v>
      </c>
      <c r="J251" s="4" t="str">
        <f t="shared" si="62"/>
        <v>无</v>
      </c>
    </row>
    <row r="252" spans="1:10" ht="27" customHeight="1">
      <c r="A252" s="4">
        <v>250</v>
      </c>
      <c r="B252" s="4" t="str">
        <f>"225720191217090439225431"</f>
        <v>225720191217090439225431</v>
      </c>
      <c r="C252" s="4" t="s">
        <v>12</v>
      </c>
      <c r="D252" s="4" t="str">
        <f>"李嘉丽"</f>
        <v>李嘉丽</v>
      </c>
      <c r="E252" s="4" t="str">
        <f t="shared" si="61"/>
        <v>女</v>
      </c>
      <c r="F252" s="4" t="str">
        <f>"1995-01-06"</f>
        <v>1995-01-06</v>
      </c>
      <c r="G252" s="4" t="str">
        <f t="shared" si="57"/>
        <v>本科</v>
      </c>
      <c r="H252" s="4" t="str">
        <f t="shared" si="63"/>
        <v>学士</v>
      </c>
      <c r="I252" s="4" t="str">
        <f>"法学专业"</f>
        <v>法学专业</v>
      </c>
      <c r="J252" s="4" t="str">
        <f t="shared" si="62"/>
        <v>无</v>
      </c>
    </row>
    <row r="253" spans="1:10" ht="27" customHeight="1">
      <c r="A253" s="4">
        <v>251</v>
      </c>
      <c r="B253" s="4" t="str">
        <f>"225720191217090621225434"</f>
        <v>225720191217090621225434</v>
      </c>
      <c r="C253" s="4" t="s">
        <v>19</v>
      </c>
      <c r="D253" s="4" t="str">
        <f>"张汉达"</f>
        <v>张汉达</v>
      </c>
      <c r="E253" s="4" t="str">
        <f aca="true" t="shared" si="64" ref="E253:E258">"男"</f>
        <v>男</v>
      </c>
      <c r="F253" s="4" t="str">
        <f>"1990-03-13"</f>
        <v>1990-03-13</v>
      </c>
      <c r="G253" s="4" t="str">
        <f t="shared" si="57"/>
        <v>本科</v>
      </c>
      <c r="H253" s="4" t="str">
        <f t="shared" si="63"/>
        <v>学士</v>
      </c>
      <c r="I253" s="4" t="str">
        <f>"信息管理与信息系统"</f>
        <v>信息管理与信息系统</v>
      </c>
      <c r="J253" s="4" t="str">
        <f t="shared" si="62"/>
        <v>无</v>
      </c>
    </row>
    <row r="254" spans="1:10" ht="27" customHeight="1">
      <c r="A254" s="4">
        <v>252</v>
      </c>
      <c r="B254" s="4" t="str">
        <f>"225720191217090655225435"</f>
        <v>225720191217090655225435</v>
      </c>
      <c r="C254" s="4" t="s">
        <v>12</v>
      </c>
      <c r="D254" s="4" t="str">
        <f>"韩文婷"</f>
        <v>韩文婷</v>
      </c>
      <c r="E254" s="4" t="str">
        <f aca="true" t="shared" si="65" ref="E254:E259">"女"</f>
        <v>女</v>
      </c>
      <c r="F254" s="4" t="str">
        <f>"1996-07-25"</f>
        <v>1996-07-25</v>
      </c>
      <c r="G254" s="4" t="str">
        <f t="shared" si="57"/>
        <v>本科</v>
      </c>
      <c r="H254" s="4" t="str">
        <f t="shared" si="63"/>
        <v>学士</v>
      </c>
      <c r="I254" s="4" t="str">
        <f>"汉语言文学"</f>
        <v>汉语言文学</v>
      </c>
      <c r="J254" s="4" t="str">
        <f t="shared" si="62"/>
        <v>无</v>
      </c>
    </row>
    <row r="255" spans="1:10" ht="27" customHeight="1">
      <c r="A255" s="4">
        <v>253</v>
      </c>
      <c r="B255" s="4" t="str">
        <f>"225720191217090718225436"</f>
        <v>225720191217090718225436</v>
      </c>
      <c r="C255" s="4" t="s">
        <v>11</v>
      </c>
      <c r="D255" s="4" t="str">
        <f>"符尊宇"</f>
        <v>符尊宇</v>
      </c>
      <c r="E255" s="4" t="str">
        <f t="shared" si="64"/>
        <v>男</v>
      </c>
      <c r="F255" s="4" t="str">
        <f>"1995-11-02"</f>
        <v>1995-11-02</v>
      </c>
      <c r="G255" s="4" t="str">
        <f t="shared" si="57"/>
        <v>本科</v>
      </c>
      <c r="H255" s="4" t="str">
        <f t="shared" si="63"/>
        <v>学士</v>
      </c>
      <c r="I255" s="4" t="str">
        <f>"通信工程"</f>
        <v>通信工程</v>
      </c>
      <c r="J255" s="4" t="str">
        <f t="shared" si="62"/>
        <v>无</v>
      </c>
    </row>
    <row r="256" spans="1:10" ht="27" customHeight="1">
      <c r="A256" s="4">
        <v>254</v>
      </c>
      <c r="B256" s="4" t="str">
        <f>"225720191217090904225438"</f>
        <v>225720191217090904225438</v>
      </c>
      <c r="C256" s="4" t="s">
        <v>16</v>
      </c>
      <c r="D256" s="4" t="str">
        <f>"符秋芬"</f>
        <v>符秋芬</v>
      </c>
      <c r="E256" s="4" t="str">
        <f t="shared" si="65"/>
        <v>女</v>
      </c>
      <c r="F256" s="4" t="str">
        <f>"1995-09-22"</f>
        <v>1995-09-22</v>
      </c>
      <c r="G256" s="4" t="str">
        <f t="shared" si="57"/>
        <v>本科</v>
      </c>
      <c r="H256" s="4" t="str">
        <f t="shared" si="63"/>
        <v>学士</v>
      </c>
      <c r="I256" s="4" t="str">
        <f>"地理信息科学"</f>
        <v>地理信息科学</v>
      </c>
      <c r="J256" s="4" t="str">
        <f t="shared" si="62"/>
        <v>无</v>
      </c>
    </row>
    <row r="257" spans="1:10" ht="27" customHeight="1">
      <c r="A257" s="4">
        <v>255</v>
      </c>
      <c r="B257" s="4" t="str">
        <f>"225720191217091239225445"</f>
        <v>225720191217091239225445</v>
      </c>
      <c r="C257" s="4" t="s">
        <v>12</v>
      </c>
      <c r="D257" s="4" t="str">
        <f>"王豪杰"</f>
        <v>王豪杰</v>
      </c>
      <c r="E257" s="4" t="str">
        <f t="shared" si="64"/>
        <v>男</v>
      </c>
      <c r="F257" s="4" t="str">
        <f>"1992-01-22"</f>
        <v>1992-01-22</v>
      </c>
      <c r="G257" s="4" t="str">
        <f t="shared" si="57"/>
        <v>本科</v>
      </c>
      <c r="H257" s="4" t="str">
        <f t="shared" si="63"/>
        <v>学士</v>
      </c>
      <c r="I257" s="4" t="str">
        <f>"汉语言文学"</f>
        <v>汉语言文学</v>
      </c>
      <c r="J257" s="4" t="str">
        <f t="shared" si="62"/>
        <v>无</v>
      </c>
    </row>
    <row r="258" spans="1:10" ht="27" customHeight="1">
      <c r="A258" s="4">
        <v>256</v>
      </c>
      <c r="B258" s="4" t="str">
        <f>"225720191217091505225448"</f>
        <v>225720191217091505225448</v>
      </c>
      <c r="C258" s="4" t="s">
        <v>12</v>
      </c>
      <c r="D258" s="4" t="str">
        <f>"谢浩玺"</f>
        <v>谢浩玺</v>
      </c>
      <c r="E258" s="4" t="str">
        <f t="shared" si="64"/>
        <v>男</v>
      </c>
      <c r="F258" s="4" t="str">
        <f>"1997-09-25"</f>
        <v>1997-09-25</v>
      </c>
      <c r="G258" s="4" t="str">
        <f t="shared" si="57"/>
        <v>本科</v>
      </c>
      <c r="H258" s="4" t="str">
        <f t="shared" si="63"/>
        <v>学士</v>
      </c>
      <c r="I258" s="4" t="str">
        <f>"城乡规划"</f>
        <v>城乡规划</v>
      </c>
      <c r="J258" s="4" t="str">
        <f t="shared" si="62"/>
        <v>无</v>
      </c>
    </row>
    <row r="259" spans="1:10" ht="27" customHeight="1">
      <c r="A259" s="4">
        <v>257</v>
      </c>
      <c r="B259" s="4" t="str">
        <f>"225720191217091937225454"</f>
        <v>225720191217091937225454</v>
      </c>
      <c r="C259" s="4" t="s">
        <v>11</v>
      </c>
      <c r="D259" s="4" t="str">
        <f>"赵皓文"</f>
        <v>赵皓文</v>
      </c>
      <c r="E259" s="4" t="str">
        <f t="shared" si="65"/>
        <v>女</v>
      </c>
      <c r="F259" s="4" t="str">
        <f>"1998-12-08"</f>
        <v>1998-12-08</v>
      </c>
      <c r="G259" s="4" t="str">
        <f t="shared" si="57"/>
        <v>本科</v>
      </c>
      <c r="H259" s="4" t="str">
        <f t="shared" si="63"/>
        <v>学士</v>
      </c>
      <c r="I259" s="4" t="str">
        <f>"计算机科学与技术"</f>
        <v>计算机科学与技术</v>
      </c>
      <c r="J259" s="4" t="str">
        <f t="shared" si="62"/>
        <v>无</v>
      </c>
    </row>
    <row r="260" spans="1:10" ht="27" customHeight="1">
      <c r="A260" s="4">
        <v>258</v>
      </c>
      <c r="B260" s="4" t="str">
        <f>"225720191217092228225459"</f>
        <v>225720191217092228225459</v>
      </c>
      <c r="C260" s="4" t="s">
        <v>15</v>
      </c>
      <c r="D260" s="4" t="str">
        <f>"廖品"</f>
        <v>廖品</v>
      </c>
      <c r="E260" s="4" t="str">
        <f>"男"</f>
        <v>男</v>
      </c>
      <c r="F260" s="4" t="str">
        <f>"1994-07-10"</f>
        <v>1994-07-10</v>
      </c>
      <c r="G260" s="4" t="str">
        <f t="shared" si="57"/>
        <v>本科</v>
      </c>
      <c r="H260" s="4" t="str">
        <f t="shared" si="63"/>
        <v>学士</v>
      </c>
      <c r="I260" s="4" t="str">
        <f>"测绘工程"</f>
        <v>测绘工程</v>
      </c>
      <c r="J260" s="4" t="str">
        <f t="shared" si="62"/>
        <v>无</v>
      </c>
    </row>
    <row r="261" spans="1:10" ht="27" customHeight="1">
      <c r="A261" s="4">
        <v>259</v>
      </c>
      <c r="B261" s="4" t="str">
        <f>"225720191217092650225471"</f>
        <v>225720191217092650225471</v>
      </c>
      <c r="C261" s="4" t="s">
        <v>12</v>
      </c>
      <c r="D261" s="4" t="str">
        <f>"林芳"</f>
        <v>林芳</v>
      </c>
      <c r="E261" s="4" t="str">
        <f aca="true" t="shared" si="66" ref="E261:E267">"女"</f>
        <v>女</v>
      </c>
      <c r="F261" s="4" t="str">
        <f>"1993-12-14"</f>
        <v>1993-12-14</v>
      </c>
      <c r="G261" s="4" t="str">
        <f t="shared" si="57"/>
        <v>本科</v>
      </c>
      <c r="H261" s="4" t="str">
        <f t="shared" si="63"/>
        <v>学士</v>
      </c>
      <c r="I261" s="4" t="str">
        <f>"汉语言文学专业"</f>
        <v>汉语言文学专业</v>
      </c>
      <c r="J261" s="4" t="str">
        <f t="shared" si="62"/>
        <v>无</v>
      </c>
    </row>
    <row r="262" spans="1:10" ht="27" customHeight="1">
      <c r="A262" s="4">
        <v>260</v>
      </c>
      <c r="B262" s="4" t="str">
        <f>"225720191217093122225477"</f>
        <v>225720191217093122225477</v>
      </c>
      <c r="C262" s="4" t="s">
        <v>11</v>
      </c>
      <c r="D262" s="4" t="str">
        <f>"王和利"</f>
        <v>王和利</v>
      </c>
      <c r="E262" s="4" t="str">
        <f>"男"</f>
        <v>男</v>
      </c>
      <c r="F262" s="4" t="str">
        <f>"1988-12-19"</f>
        <v>1988-12-19</v>
      </c>
      <c r="G262" s="4" t="str">
        <f t="shared" si="57"/>
        <v>本科</v>
      </c>
      <c r="H262" s="4" t="str">
        <f t="shared" si="63"/>
        <v>学士</v>
      </c>
      <c r="I262" s="4" t="str">
        <f>"微电子学"</f>
        <v>微电子学</v>
      </c>
      <c r="J262" s="4" t="str">
        <f>"网络工程师"</f>
        <v>网络工程师</v>
      </c>
    </row>
    <row r="263" spans="1:10" ht="27" customHeight="1">
      <c r="A263" s="4">
        <v>261</v>
      </c>
      <c r="B263" s="4" t="str">
        <f>"225720191217093454225480"</f>
        <v>225720191217093454225480</v>
      </c>
      <c r="C263" s="4" t="s">
        <v>12</v>
      </c>
      <c r="D263" s="4" t="str">
        <f>"陈建晓"</f>
        <v>陈建晓</v>
      </c>
      <c r="E263" s="4" t="str">
        <f t="shared" si="66"/>
        <v>女</v>
      </c>
      <c r="F263" s="4" t="str">
        <f>"1997-03-08"</f>
        <v>1997-03-08</v>
      </c>
      <c r="G263" s="4" t="str">
        <f t="shared" si="57"/>
        <v>本科</v>
      </c>
      <c r="H263" s="4" t="str">
        <f t="shared" si="63"/>
        <v>学士</v>
      </c>
      <c r="I263" s="4" t="str">
        <f>"城乡规划"</f>
        <v>城乡规划</v>
      </c>
      <c r="J263" s="4" t="str">
        <f>"无"</f>
        <v>无</v>
      </c>
    </row>
    <row r="264" spans="1:10" ht="27" customHeight="1">
      <c r="A264" s="4">
        <v>262</v>
      </c>
      <c r="B264" s="4" t="str">
        <f>"225720191217093810225486"</f>
        <v>225720191217093810225486</v>
      </c>
      <c r="C264" s="4" t="s">
        <v>12</v>
      </c>
      <c r="D264" s="4" t="str">
        <f>"瞿潇雪"</f>
        <v>瞿潇雪</v>
      </c>
      <c r="E264" s="4" t="str">
        <f t="shared" si="66"/>
        <v>女</v>
      </c>
      <c r="F264" s="4" t="str">
        <f>"1984-03-12"</f>
        <v>1984-03-12</v>
      </c>
      <c r="G264" s="4" t="str">
        <f t="shared" si="57"/>
        <v>本科</v>
      </c>
      <c r="H264" s="4" t="str">
        <f t="shared" si="63"/>
        <v>学士</v>
      </c>
      <c r="I264" s="4" t="str">
        <f aca="true" t="shared" si="67" ref="I264:I269">"汉语言文学"</f>
        <v>汉语言文学</v>
      </c>
      <c r="J264" s="4" t="str">
        <f>"无"</f>
        <v>无</v>
      </c>
    </row>
    <row r="265" spans="1:10" ht="27" customHeight="1">
      <c r="A265" s="4">
        <v>263</v>
      </c>
      <c r="B265" s="4" t="str">
        <f>"225720191217094701225494"</f>
        <v>225720191217094701225494</v>
      </c>
      <c r="C265" s="4" t="s">
        <v>12</v>
      </c>
      <c r="D265" s="4" t="str">
        <f>"谭向冰"</f>
        <v>谭向冰</v>
      </c>
      <c r="E265" s="4" t="str">
        <f t="shared" si="66"/>
        <v>女</v>
      </c>
      <c r="F265" s="4" t="str">
        <f>"1992-07-13"</f>
        <v>1992-07-13</v>
      </c>
      <c r="G265" s="4" t="str">
        <f t="shared" si="57"/>
        <v>本科</v>
      </c>
      <c r="H265" s="4" t="str">
        <f t="shared" si="63"/>
        <v>学士</v>
      </c>
      <c r="I265" s="4" t="str">
        <f t="shared" si="67"/>
        <v>汉语言文学</v>
      </c>
      <c r="J265" s="4" t="str">
        <f>"教师资格"</f>
        <v>教师资格</v>
      </c>
    </row>
    <row r="266" spans="1:10" ht="27" customHeight="1">
      <c r="A266" s="4">
        <v>264</v>
      </c>
      <c r="B266" s="4" t="str">
        <f>"225720191217094723225495"</f>
        <v>225720191217094723225495</v>
      </c>
      <c r="C266" s="4" t="s">
        <v>19</v>
      </c>
      <c r="D266" s="4" t="str">
        <f>"邱莹莹"</f>
        <v>邱莹莹</v>
      </c>
      <c r="E266" s="4" t="str">
        <f t="shared" si="66"/>
        <v>女</v>
      </c>
      <c r="F266" s="4" t="str">
        <f>"1991-11-10"</f>
        <v>1991-11-10</v>
      </c>
      <c r="G266" s="4" t="str">
        <f t="shared" si="57"/>
        <v>本科</v>
      </c>
      <c r="H266" s="4" t="str">
        <f t="shared" si="63"/>
        <v>学士</v>
      </c>
      <c r="I266" s="4" t="str">
        <f>"信息管理与信息系统"</f>
        <v>信息管理与信息系统</v>
      </c>
      <c r="J266" s="4" t="str">
        <f>"无"</f>
        <v>无</v>
      </c>
    </row>
    <row r="267" spans="1:10" ht="27" customHeight="1">
      <c r="A267" s="4">
        <v>265</v>
      </c>
      <c r="B267" s="4" t="str">
        <f>"225720191217094842225500"</f>
        <v>225720191217094842225500</v>
      </c>
      <c r="C267" s="4" t="s">
        <v>16</v>
      </c>
      <c r="D267" s="4" t="str">
        <f>"羊秀丹"</f>
        <v>羊秀丹</v>
      </c>
      <c r="E267" s="4" t="str">
        <f t="shared" si="66"/>
        <v>女</v>
      </c>
      <c r="F267" s="4" t="str">
        <f>"1991-10-06"</f>
        <v>1991-10-06</v>
      </c>
      <c r="G267" s="4" t="str">
        <f t="shared" si="57"/>
        <v>本科</v>
      </c>
      <c r="H267" s="4" t="str">
        <f t="shared" si="63"/>
        <v>学士</v>
      </c>
      <c r="I267" s="4" t="str">
        <f>"地理信息系统"</f>
        <v>地理信息系统</v>
      </c>
      <c r="J267" s="4" t="str">
        <f>"土地信息助理工程师"</f>
        <v>土地信息助理工程师</v>
      </c>
    </row>
    <row r="268" spans="1:10" ht="27" customHeight="1">
      <c r="A268" s="4">
        <v>266</v>
      </c>
      <c r="B268" s="4" t="str">
        <f>"225720191217095135225502"</f>
        <v>225720191217095135225502</v>
      </c>
      <c r="C268" s="4" t="s">
        <v>11</v>
      </c>
      <c r="D268" s="4" t="str">
        <f>"王会全"</f>
        <v>王会全</v>
      </c>
      <c r="E268" s="4" t="str">
        <f aca="true" t="shared" si="68" ref="E268:E273">"男"</f>
        <v>男</v>
      </c>
      <c r="F268" s="4" t="str">
        <f>"1989-03-15"</f>
        <v>1989-03-15</v>
      </c>
      <c r="G268" s="4" t="str">
        <f t="shared" si="57"/>
        <v>本科</v>
      </c>
      <c r="H268" s="4" t="str">
        <f t="shared" si="63"/>
        <v>学士</v>
      </c>
      <c r="I268" s="4" t="str">
        <f>"通信工程"</f>
        <v>通信工程</v>
      </c>
      <c r="J268" s="4" t="str">
        <f aca="true" t="shared" si="69" ref="J268:J275">"无"</f>
        <v>无</v>
      </c>
    </row>
    <row r="269" spans="1:10" ht="27" customHeight="1">
      <c r="A269" s="4">
        <v>267</v>
      </c>
      <c r="B269" s="4" t="str">
        <f>"225720191217095341225505"</f>
        <v>225720191217095341225505</v>
      </c>
      <c r="C269" s="4" t="s">
        <v>12</v>
      </c>
      <c r="D269" s="4" t="str">
        <f>"吉志燕"</f>
        <v>吉志燕</v>
      </c>
      <c r="E269" s="4" t="str">
        <f>"女"</f>
        <v>女</v>
      </c>
      <c r="F269" s="4" t="str">
        <f>"1994-08-07"</f>
        <v>1994-08-07</v>
      </c>
      <c r="G269" s="4" t="str">
        <f t="shared" si="57"/>
        <v>本科</v>
      </c>
      <c r="H269" s="4" t="str">
        <f>"无"</f>
        <v>无</v>
      </c>
      <c r="I269" s="4" t="str">
        <f t="shared" si="67"/>
        <v>汉语言文学</v>
      </c>
      <c r="J269" s="4" t="str">
        <f t="shared" si="69"/>
        <v>无</v>
      </c>
    </row>
    <row r="270" spans="1:10" ht="27" customHeight="1">
      <c r="A270" s="4">
        <v>268</v>
      </c>
      <c r="B270" s="4" t="str">
        <f>"225720191217095658225509"</f>
        <v>225720191217095658225509</v>
      </c>
      <c r="C270" s="4" t="s">
        <v>12</v>
      </c>
      <c r="D270" s="4" t="str">
        <f>"梁卿"</f>
        <v>梁卿</v>
      </c>
      <c r="E270" s="4" t="str">
        <f>"女"</f>
        <v>女</v>
      </c>
      <c r="F270" s="4" t="str">
        <f>"1991-04-21"</f>
        <v>1991-04-21</v>
      </c>
      <c r="G270" s="4" t="str">
        <f t="shared" si="57"/>
        <v>本科</v>
      </c>
      <c r="H270" s="4" t="str">
        <f>"学士"</f>
        <v>学士</v>
      </c>
      <c r="I270" s="4" t="str">
        <f aca="true" t="shared" si="70" ref="I270:I275">"法学"</f>
        <v>法学</v>
      </c>
      <c r="J270" s="4" t="str">
        <f t="shared" si="69"/>
        <v>无</v>
      </c>
    </row>
    <row r="271" spans="1:10" ht="27" customHeight="1">
      <c r="A271" s="4">
        <v>269</v>
      </c>
      <c r="B271" s="4" t="str">
        <f>"225720191217095903225513"</f>
        <v>225720191217095903225513</v>
      </c>
      <c r="C271" s="4" t="s">
        <v>12</v>
      </c>
      <c r="D271" s="4" t="str">
        <f>"吴多馀"</f>
        <v>吴多馀</v>
      </c>
      <c r="E271" s="4" t="str">
        <f t="shared" si="68"/>
        <v>男</v>
      </c>
      <c r="F271" s="4" t="str">
        <f>"1997-04-12"</f>
        <v>1997-04-12</v>
      </c>
      <c r="G271" s="4" t="str">
        <f t="shared" si="57"/>
        <v>本科</v>
      </c>
      <c r="H271" s="4" t="str">
        <f>"学士"</f>
        <v>学士</v>
      </c>
      <c r="I271" s="4" t="str">
        <f t="shared" si="70"/>
        <v>法学</v>
      </c>
      <c r="J271" s="4" t="str">
        <f t="shared" si="69"/>
        <v>无</v>
      </c>
    </row>
    <row r="272" spans="1:10" ht="27" customHeight="1">
      <c r="A272" s="4">
        <v>270</v>
      </c>
      <c r="B272" s="4" t="str">
        <f>"225720191217100405225528"</f>
        <v>225720191217100405225528</v>
      </c>
      <c r="C272" s="4" t="s">
        <v>11</v>
      </c>
      <c r="D272" s="4" t="str">
        <f>"翁惠柳"</f>
        <v>翁惠柳</v>
      </c>
      <c r="E272" s="4" t="str">
        <f>"女"</f>
        <v>女</v>
      </c>
      <c r="F272" s="4" t="str">
        <f>"1989-05-22"</f>
        <v>1989-05-22</v>
      </c>
      <c r="G272" s="4" t="str">
        <f t="shared" si="57"/>
        <v>本科</v>
      </c>
      <c r="H272" s="4" t="str">
        <f>"学士"</f>
        <v>学士</v>
      </c>
      <c r="I272" s="4" t="str">
        <f>"通信工程"</f>
        <v>通信工程</v>
      </c>
      <c r="J272" s="4" t="str">
        <f t="shared" si="69"/>
        <v>无</v>
      </c>
    </row>
    <row r="273" spans="1:10" ht="27" customHeight="1">
      <c r="A273" s="4">
        <v>271</v>
      </c>
      <c r="B273" s="4" t="str">
        <f>"225720191217100554225532"</f>
        <v>225720191217100554225532</v>
      </c>
      <c r="C273" s="4" t="s">
        <v>11</v>
      </c>
      <c r="D273" s="4" t="str">
        <f>"容康"</f>
        <v>容康</v>
      </c>
      <c r="E273" s="4" t="str">
        <f t="shared" si="68"/>
        <v>男</v>
      </c>
      <c r="F273" s="4" t="str">
        <f>"1985-04-25"</f>
        <v>1985-04-25</v>
      </c>
      <c r="G273" s="4" t="str">
        <f t="shared" si="57"/>
        <v>本科</v>
      </c>
      <c r="H273" s="4" t="str">
        <f>"学士"</f>
        <v>学士</v>
      </c>
      <c r="I273" s="4" t="str">
        <f>"计算机科学与技术"</f>
        <v>计算机科学与技术</v>
      </c>
      <c r="J273" s="4" t="str">
        <f t="shared" si="69"/>
        <v>无</v>
      </c>
    </row>
    <row r="274" spans="1:10" ht="27" customHeight="1">
      <c r="A274" s="4">
        <v>272</v>
      </c>
      <c r="B274" s="4" t="str">
        <f>"225720191217100735225534"</f>
        <v>225720191217100735225534</v>
      </c>
      <c r="C274" s="4" t="s">
        <v>12</v>
      </c>
      <c r="D274" s="4" t="str">
        <f>"郑一梅"</f>
        <v>郑一梅</v>
      </c>
      <c r="E274" s="4" t="str">
        <f>"女"</f>
        <v>女</v>
      </c>
      <c r="F274" s="4" t="str">
        <f>"1997-05-23"</f>
        <v>1997-05-23</v>
      </c>
      <c r="G274" s="4" t="str">
        <f t="shared" si="57"/>
        <v>本科</v>
      </c>
      <c r="H274" s="4" t="str">
        <f>"学士"</f>
        <v>学士</v>
      </c>
      <c r="I274" s="4" t="str">
        <f>"汉语言文学"</f>
        <v>汉语言文学</v>
      </c>
      <c r="J274" s="4" t="str">
        <f t="shared" si="69"/>
        <v>无</v>
      </c>
    </row>
    <row r="275" spans="1:10" ht="27" customHeight="1">
      <c r="A275" s="4">
        <v>273</v>
      </c>
      <c r="B275" s="4" t="str">
        <f>"225720191217101501225544"</f>
        <v>225720191217101501225544</v>
      </c>
      <c r="C275" s="4" t="s">
        <v>12</v>
      </c>
      <c r="D275" s="4" t="str">
        <f>"王永优"</f>
        <v>王永优</v>
      </c>
      <c r="E275" s="4" t="str">
        <f aca="true" t="shared" si="71" ref="E275:E280">"男"</f>
        <v>男</v>
      </c>
      <c r="F275" s="4" t="str">
        <f>"1995-08-21"</f>
        <v>1995-08-21</v>
      </c>
      <c r="G275" s="4" t="str">
        <f t="shared" si="57"/>
        <v>本科</v>
      </c>
      <c r="H275" s="4" t="str">
        <f>"无"</f>
        <v>无</v>
      </c>
      <c r="I275" s="4" t="str">
        <f t="shared" si="70"/>
        <v>法学</v>
      </c>
      <c r="J275" s="4" t="str">
        <f t="shared" si="69"/>
        <v>无</v>
      </c>
    </row>
    <row r="276" spans="1:10" ht="27" customHeight="1">
      <c r="A276" s="4">
        <v>274</v>
      </c>
      <c r="B276" s="4" t="str">
        <f>"225720191217102300225557"</f>
        <v>225720191217102300225557</v>
      </c>
      <c r="C276" s="4" t="s">
        <v>18</v>
      </c>
      <c r="D276" s="4" t="str">
        <f>"林婉莉"</f>
        <v>林婉莉</v>
      </c>
      <c r="E276" s="4" t="str">
        <f>"女"</f>
        <v>女</v>
      </c>
      <c r="F276" s="4" t="str">
        <f>"1990-07-15"</f>
        <v>1990-07-15</v>
      </c>
      <c r="G276" s="4" t="str">
        <f t="shared" si="57"/>
        <v>本科</v>
      </c>
      <c r="H276" s="4" t="str">
        <f aca="true" t="shared" si="72" ref="H276:H300">"学士"</f>
        <v>学士</v>
      </c>
      <c r="I276" s="4" t="str">
        <f>"会计学"</f>
        <v>会计学</v>
      </c>
      <c r="J276" s="4" t="str">
        <f>"助理会计师"</f>
        <v>助理会计师</v>
      </c>
    </row>
    <row r="277" spans="1:10" ht="27" customHeight="1">
      <c r="A277" s="4">
        <v>275</v>
      </c>
      <c r="B277" s="4" t="str">
        <f>"225720191217102754225564"</f>
        <v>225720191217102754225564</v>
      </c>
      <c r="C277" s="4" t="s">
        <v>12</v>
      </c>
      <c r="D277" s="4" t="str">
        <f>"陈永霞"</f>
        <v>陈永霞</v>
      </c>
      <c r="E277" s="4" t="str">
        <f>"女"</f>
        <v>女</v>
      </c>
      <c r="F277" s="4" t="str">
        <f>"1994-07-04"</f>
        <v>1994-07-04</v>
      </c>
      <c r="G277" s="4" t="str">
        <f t="shared" si="57"/>
        <v>本科</v>
      </c>
      <c r="H277" s="4" t="str">
        <f t="shared" si="72"/>
        <v>学士</v>
      </c>
      <c r="I277" s="4" t="str">
        <f>"城乡规划专业"</f>
        <v>城乡规划专业</v>
      </c>
      <c r="J277" s="4" t="str">
        <f>"未婚"</f>
        <v>未婚</v>
      </c>
    </row>
    <row r="278" spans="1:10" ht="27" customHeight="1">
      <c r="A278" s="4">
        <v>276</v>
      </c>
      <c r="B278" s="4" t="str">
        <f>"225720191217103204225570"</f>
        <v>225720191217103204225570</v>
      </c>
      <c r="C278" s="4" t="s">
        <v>13</v>
      </c>
      <c r="D278" s="4" t="str">
        <f>"梁艺"</f>
        <v>梁艺</v>
      </c>
      <c r="E278" s="4" t="str">
        <f>"女"</f>
        <v>女</v>
      </c>
      <c r="F278" s="4" t="str">
        <f>"1991-10-01"</f>
        <v>1991-10-01</v>
      </c>
      <c r="G278" s="4" t="str">
        <f t="shared" si="57"/>
        <v>本科</v>
      </c>
      <c r="H278" s="4" t="str">
        <f t="shared" si="72"/>
        <v>学士</v>
      </c>
      <c r="I278" s="4" t="str">
        <f>"新闻学"</f>
        <v>新闻学</v>
      </c>
      <c r="J278" s="4" t="str">
        <f aca="true" t="shared" si="73" ref="J278:J283">"无"</f>
        <v>无</v>
      </c>
    </row>
    <row r="279" spans="1:10" ht="27" customHeight="1">
      <c r="A279" s="4">
        <v>277</v>
      </c>
      <c r="B279" s="4" t="str">
        <f>"225720191217103213225572"</f>
        <v>225720191217103213225572</v>
      </c>
      <c r="C279" s="4" t="s">
        <v>16</v>
      </c>
      <c r="D279" s="4" t="str">
        <f>"李金水"</f>
        <v>李金水</v>
      </c>
      <c r="E279" s="4" t="str">
        <f t="shared" si="71"/>
        <v>男</v>
      </c>
      <c r="F279" s="4" t="str">
        <f>"1994-04-15"</f>
        <v>1994-04-15</v>
      </c>
      <c r="G279" s="4" t="str">
        <f t="shared" si="57"/>
        <v>本科</v>
      </c>
      <c r="H279" s="4" t="str">
        <f t="shared" si="72"/>
        <v>学士</v>
      </c>
      <c r="I279" s="4" t="str">
        <f>"地理信息科学"</f>
        <v>地理信息科学</v>
      </c>
      <c r="J279" s="4" t="str">
        <f t="shared" si="73"/>
        <v>无</v>
      </c>
    </row>
    <row r="280" spans="1:10" ht="27" customHeight="1">
      <c r="A280" s="4">
        <v>278</v>
      </c>
      <c r="B280" s="4" t="str">
        <f>"225720191217103511225575"</f>
        <v>225720191217103511225575</v>
      </c>
      <c r="C280" s="4" t="s">
        <v>12</v>
      </c>
      <c r="D280" s="4" t="str">
        <f>"陈颖品"</f>
        <v>陈颖品</v>
      </c>
      <c r="E280" s="4" t="str">
        <f t="shared" si="71"/>
        <v>男</v>
      </c>
      <c r="F280" s="4" t="str">
        <f>"1995-03-18"</f>
        <v>1995-03-18</v>
      </c>
      <c r="G280" s="4" t="str">
        <f t="shared" si="57"/>
        <v>本科</v>
      </c>
      <c r="H280" s="4" t="str">
        <f t="shared" si="72"/>
        <v>学士</v>
      </c>
      <c r="I280" s="4" t="str">
        <f>"汉语言文学"</f>
        <v>汉语言文学</v>
      </c>
      <c r="J280" s="4" t="str">
        <f t="shared" si="73"/>
        <v>无</v>
      </c>
    </row>
    <row r="281" spans="1:10" ht="27" customHeight="1">
      <c r="A281" s="4">
        <v>279</v>
      </c>
      <c r="B281" s="4" t="str">
        <f>"225720191217103847225579"</f>
        <v>225720191217103847225579</v>
      </c>
      <c r="C281" s="4" t="s">
        <v>12</v>
      </c>
      <c r="D281" s="4" t="str">
        <f>"谢佳佳"</f>
        <v>谢佳佳</v>
      </c>
      <c r="E281" s="4" t="str">
        <f aca="true" t="shared" si="74" ref="E281:E286">"女"</f>
        <v>女</v>
      </c>
      <c r="F281" s="4" t="str">
        <f>"1995-02-01"</f>
        <v>1995-02-01</v>
      </c>
      <c r="G281" s="4" t="str">
        <f t="shared" si="57"/>
        <v>本科</v>
      </c>
      <c r="H281" s="4" t="str">
        <f t="shared" si="72"/>
        <v>学士</v>
      </c>
      <c r="I281" s="4" t="str">
        <f>"汉语言文学"</f>
        <v>汉语言文学</v>
      </c>
      <c r="J281" s="4" t="str">
        <f t="shared" si="73"/>
        <v>无</v>
      </c>
    </row>
    <row r="282" spans="1:10" ht="27" customHeight="1">
      <c r="A282" s="4">
        <v>280</v>
      </c>
      <c r="B282" s="4" t="str">
        <f>"225720191217104133225584"</f>
        <v>225720191217104133225584</v>
      </c>
      <c r="C282" s="4" t="s">
        <v>12</v>
      </c>
      <c r="D282" s="4" t="str">
        <f>"陈慧"</f>
        <v>陈慧</v>
      </c>
      <c r="E282" s="4" t="str">
        <f t="shared" si="74"/>
        <v>女</v>
      </c>
      <c r="F282" s="4" t="str">
        <f>"1994-09-17"</f>
        <v>1994-09-17</v>
      </c>
      <c r="G282" s="4" t="str">
        <f t="shared" si="57"/>
        <v>本科</v>
      </c>
      <c r="H282" s="4" t="str">
        <f t="shared" si="72"/>
        <v>学士</v>
      </c>
      <c r="I282" s="4" t="str">
        <f>"人文地理与城乡规划"</f>
        <v>人文地理与城乡规划</v>
      </c>
      <c r="J282" s="4" t="str">
        <f t="shared" si="73"/>
        <v>无</v>
      </c>
    </row>
    <row r="283" spans="1:10" ht="27" customHeight="1">
      <c r="A283" s="4">
        <v>281</v>
      </c>
      <c r="B283" s="4" t="str">
        <f>"225720191217104251225588"</f>
        <v>225720191217104251225588</v>
      </c>
      <c r="C283" s="4" t="s">
        <v>12</v>
      </c>
      <c r="D283" s="4" t="str">
        <f>"张彩瑶"</f>
        <v>张彩瑶</v>
      </c>
      <c r="E283" s="4" t="str">
        <f t="shared" si="74"/>
        <v>女</v>
      </c>
      <c r="F283" s="4" t="str">
        <f>"1996-06-23"</f>
        <v>1996-06-23</v>
      </c>
      <c r="G283" s="4" t="str">
        <f t="shared" si="57"/>
        <v>本科</v>
      </c>
      <c r="H283" s="4" t="str">
        <f t="shared" si="72"/>
        <v>学士</v>
      </c>
      <c r="I283" s="4" t="str">
        <f>"汉语言文学"</f>
        <v>汉语言文学</v>
      </c>
      <c r="J283" s="4" t="str">
        <f t="shared" si="73"/>
        <v>无</v>
      </c>
    </row>
    <row r="284" spans="1:10" ht="27" customHeight="1">
      <c r="A284" s="4">
        <v>282</v>
      </c>
      <c r="B284" s="4" t="str">
        <f>"225720191217104415225591"</f>
        <v>225720191217104415225591</v>
      </c>
      <c r="C284" s="4" t="s">
        <v>18</v>
      </c>
      <c r="D284" s="4" t="str">
        <f>"吴小丽"</f>
        <v>吴小丽</v>
      </c>
      <c r="E284" s="4" t="str">
        <f t="shared" si="74"/>
        <v>女</v>
      </c>
      <c r="F284" s="4" t="str">
        <f>"1986-10-26"</f>
        <v>1986-10-26</v>
      </c>
      <c r="G284" s="4" t="str">
        <f t="shared" si="57"/>
        <v>本科</v>
      </c>
      <c r="H284" s="4" t="str">
        <f t="shared" si="72"/>
        <v>学士</v>
      </c>
      <c r="I284" s="4" t="str">
        <f>"财务管理"</f>
        <v>财务管理</v>
      </c>
      <c r="J284" s="4" t="str">
        <f>"初级会计师"</f>
        <v>初级会计师</v>
      </c>
    </row>
    <row r="285" spans="1:10" ht="27" customHeight="1">
      <c r="A285" s="4">
        <v>283</v>
      </c>
      <c r="B285" s="4" t="str">
        <f>"225720191217104434225593"</f>
        <v>225720191217104434225593</v>
      </c>
      <c r="C285" s="4" t="s">
        <v>12</v>
      </c>
      <c r="D285" s="4" t="str">
        <f>"蔡诗莹"</f>
        <v>蔡诗莹</v>
      </c>
      <c r="E285" s="4" t="str">
        <f t="shared" si="74"/>
        <v>女</v>
      </c>
      <c r="F285" s="4" t="str">
        <f>"1991-01-06"</f>
        <v>1991-01-06</v>
      </c>
      <c r="G285" s="4" t="str">
        <f t="shared" si="57"/>
        <v>本科</v>
      </c>
      <c r="H285" s="4" t="str">
        <f t="shared" si="72"/>
        <v>学士</v>
      </c>
      <c r="I285" s="4" t="str">
        <f>"城市规划"</f>
        <v>城市规划</v>
      </c>
      <c r="J285" s="4" t="str">
        <f>"助理规划师"</f>
        <v>助理规划师</v>
      </c>
    </row>
    <row r="286" spans="1:10" ht="27" customHeight="1">
      <c r="A286" s="4">
        <v>284</v>
      </c>
      <c r="B286" s="4" t="str">
        <f>"225720191217104922225597"</f>
        <v>225720191217104922225597</v>
      </c>
      <c r="C286" s="4" t="s">
        <v>12</v>
      </c>
      <c r="D286" s="4" t="str">
        <f>"张琪皎"</f>
        <v>张琪皎</v>
      </c>
      <c r="E286" s="4" t="str">
        <f t="shared" si="74"/>
        <v>女</v>
      </c>
      <c r="F286" s="4" t="str">
        <f>"1993-06-15"</f>
        <v>1993-06-15</v>
      </c>
      <c r="G286" s="4" t="str">
        <f t="shared" si="57"/>
        <v>本科</v>
      </c>
      <c r="H286" s="4" t="str">
        <f t="shared" si="72"/>
        <v>学士</v>
      </c>
      <c r="I286" s="4" t="str">
        <f>"汉语言文学"</f>
        <v>汉语言文学</v>
      </c>
      <c r="J286" s="4" t="str">
        <f aca="true" t="shared" si="75" ref="J286:J294">"无"</f>
        <v>无</v>
      </c>
    </row>
    <row r="287" spans="1:10" ht="27" customHeight="1">
      <c r="A287" s="4">
        <v>285</v>
      </c>
      <c r="B287" s="4" t="str">
        <f>"225720191217105226225602"</f>
        <v>225720191217105226225602</v>
      </c>
      <c r="C287" s="4" t="s">
        <v>11</v>
      </c>
      <c r="D287" s="4" t="str">
        <f>"李想"</f>
        <v>李想</v>
      </c>
      <c r="E287" s="4" t="str">
        <f>"男"</f>
        <v>男</v>
      </c>
      <c r="F287" s="4" t="str">
        <f>"1992-06-05"</f>
        <v>1992-06-05</v>
      </c>
      <c r="G287" s="4" t="str">
        <f t="shared" si="57"/>
        <v>本科</v>
      </c>
      <c r="H287" s="4" t="str">
        <f t="shared" si="72"/>
        <v>学士</v>
      </c>
      <c r="I287" s="4" t="str">
        <f>"计算机科学与技术"</f>
        <v>计算机科学与技术</v>
      </c>
      <c r="J287" s="4" t="str">
        <f t="shared" si="75"/>
        <v>无</v>
      </c>
    </row>
    <row r="288" spans="1:10" ht="27" customHeight="1">
      <c r="A288" s="4">
        <v>286</v>
      </c>
      <c r="B288" s="4" t="str">
        <f>"225720191217105424225606"</f>
        <v>225720191217105424225606</v>
      </c>
      <c r="C288" s="4" t="s">
        <v>15</v>
      </c>
      <c r="D288" s="4" t="str">
        <f>"黄辅毅"</f>
        <v>黄辅毅</v>
      </c>
      <c r="E288" s="4" t="str">
        <f>"男"</f>
        <v>男</v>
      </c>
      <c r="F288" s="4" t="str">
        <f>"1996-11-28"</f>
        <v>1996-11-28</v>
      </c>
      <c r="G288" s="4" t="str">
        <f t="shared" si="57"/>
        <v>本科</v>
      </c>
      <c r="H288" s="4" t="str">
        <f t="shared" si="72"/>
        <v>学士</v>
      </c>
      <c r="I288" s="4" t="str">
        <f>"测绘工程"</f>
        <v>测绘工程</v>
      </c>
      <c r="J288" s="4" t="str">
        <f t="shared" si="75"/>
        <v>无</v>
      </c>
    </row>
    <row r="289" spans="1:10" ht="27" customHeight="1">
      <c r="A289" s="4">
        <v>287</v>
      </c>
      <c r="B289" s="4" t="str">
        <f>"225720191217110224225618"</f>
        <v>225720191217110224225618</v>
      </c>
      <c r="C289" s="4" t="s">
        <v>12</v>
      </c>
      <c r="D289" s="4" t="str">
        <f>"叶彦汐"</f>
        <v>叶彦汐</v>
      </c>
      <c r="E289" s="4" t="str">
        <f aca="true" t="shared" si="76" ref="E289:E295">"女"</f>
        <v>女</v>
      </c>
      <c r="F289" s="4" t="str">
        <f>"1995-10-14"</f>
        <v>1995-10-14</v>
      </c>
      <c r="G289" s="4" t="str">
        <f t="shared" si="57"/>
        <v>本科</v>
      </c>
      <c r="H289" s="4" t="str">
        <f t="shared" si="72"/>
        <v>学士</v>
      </c>
      <c r="I289" s="4" t="str">
        <f>"法学（法律）"</f>
        <v>法学（法律）</v>
      </c>
      <c r="J289" s="4" t="str">
        <f t="shared" si="75"/>
        <v>无</v>
      </c>
    </row>
    <row r="290" spans="1:10" ht="27" customHeight="1">
      <c r="A290" s="4">
        <v>288</v>
      </c>
      <c r="B290" s="4" t="str">
        <f>"225720191217110311225622"</f>
        <v>225720191217110311225622</v>
      </c>
      <c r="C290" s="4" t="s">
        <v>12</v>
      </c>
      <c r="D290" s="4" t="str">
        <f>"王东妮"</f>
        <v>王东妮</v>
      </c>
      <c r="E290" s="4" t="str">
        <f t="shared" si="76"/>
        <v>女</v>
      </c>
      <c r="F290" s="4" t="str">
        <f>"1992-12-10"</f>
        <v>1992-12-10</v>
      </c>
      <c r="G290" s="4" t="str">
        <f t="shared" si="57"/>
        <v>本科</v>
      </c>
      <c r="H290" s="4" t="str">
        <f t="shared" si="72"/>
        <v>学士</v>
      </c>
      <c r="I290" s="4" t="str">
        <f>"汉语言文学"</f>
        <v>汉语言文学</v>
      </c>
      <c r="J290" s="4" t="str">
        <f t="shared" si="75"/>
        <v>无</v>
      </c>
    </row>
    <row r="291" spans="1:10" ht="27" customHeight="1">
      <c r="A291" s="4">
        <v>289</v>
      </c>
      <c r="B291" s="4" t="str">
        <f>"225720191217111214225628"</f>
        <v>225720191217111214225628</v>
      </c>
      <c r="C291" s="4" t="s">
        <v>12</v>
      </c>
      <c r="D291" s="4" t="str">
        <f>"林小莉"</f>
        <v>林小莉</v>
      </c>
      <c r="E291" s="4" t="str">
        <f t="shared" si="76"/>
        <v>女</v>
      </c>
      <c r="F291" s="4" t="str">
        <f>"1995-07-21"</f>
        <v>1995-07-21</v>
      </c>
      <c r="G291" s="4" t="str">
        <f t="shared" si="57"/>
        <v>本科</v>
      </c>
      <c r="H291" s="4" t="str">
        <f t="shared" si="72"/>
        <v>学士</v>
      </c>
      <c r="I291" s="4" t="str">
        <f>"人文地理与城乡规划"</f>
        <v>人文地理与城乡规划</v>
      </c>
      <c r="J291" s="4" t="str">
        <f t="shared" si="75"/>
        <v>无</v>
      </c>
    </row>
    <row r="292" spans="1:10" ht="27" customHeight="1">
      <c r="A292" s="4">
        <v>290</v>
      </c>
      <c r="B292" s="4" t="str">
        <f>"225720191217111352225632"</f>
        <v>225720191217111352225632</v>
      </c>
      <c r="C292" s="4" t="s">
        <v>19</v>
      </c>
      <c r="D292" s="4" t="str">
        <f>"林佳慧"</f>
        <v>林佳慧</v>
      </c>
      <c r="E292" s="4" t="str">
        <f t="shared" si="76"/>
        <v>女</v>
      </c>
      <c r="F292" s="4" t="str">
        <f>"1992-04-20"</f>
        <v>1992-04-20</v>
      </c>
      <c r="G292" s="4" t="str">
        <f t="shared" si="57"/>
        <v>本科</v>
      </c>
      <c r="H292" s="4" t="str">
        <f t="shared" si="72"/>
        <v>学士</v>
      </c>
      <c r="I292" s="4" t="str">
        <f>"信息管理与信息系统专业"</f>
        <v>信息管理与信息系统专业</v>
      </c>
      <c r="J292" s="4" t="str">
        <f t="shared" si="75"/>
        <v>无</v>
      </c>
    </row>
    <row r="293" spans="1:10" ht="27" customHeight="1">
      <c r="A293" s="4">
        <v>291</v>
      </c>
      <c r="B293" s="4" t="str">
        <f>"225720191217111540225635"</f>
        <v>225720191217111540225635</v>
      </c>
      <c r="C293" s="4" t="s">
        <v>13</v>
      </c>
      <c r="D293" s="4" t="str">
        <f>"符文英"</f>
        <v>符文英</v>
      </c>
      <c r="E293" s="4" t="str">
        <f t="shared" si="76"/>
        <v>女</v>
      </c>
      <c r="F293" s="4" t="str">
        <f>"1994-01-16"</f>
        <v>1994-01-16</v>
      </c>
      <c r="G293" s="4" t="str">
        <f t="shared" si="57"/>
        <v>本科</v>
      </c>
      <c r="H293" s="4" t="str">
        <f t="shared" si="72"/>
        <v>学士</v>
      </c>
      <c r="I293" s="4" t="str">
        <f>"新闻学"</f>
        <v>新闻学</v>
      </c>
      <c r="J293" s="4" t="str">
        <f t="shared" si="75"/>
        <v>无</v>
      </c>
    </row>
    <row r="294" spans="1:10" ht="27" customHeight="1">
      <c r="A294" s="4">
        <v>292</v>
      </c>
      <c r="B294" s="4" t="str">
        <f>"225720191217112220225642"</f>
        <v>225720191217112220225642</v>
      </c>
      <c r="C294" s="4" t="s">
        <v>12</v>
      </c>
      <c r="D294" s="4" t="str">
        <f>"王晓丹"</f>
        <v>王晓丹</v>
      </c>
      <c r="E294" s="4" t="str">
        <f t="shared" si="76"/>
        <v>女</v>
      </c>
      <c r="F294" s="4" t="str">
        <f>"1991-11-23"</f>
        <v>1991-11-23</v>
      </c>
      <c r="G294" s="4" t="str">
        <f t="shared" si="57"/>
        <v>本科</v>
      </c>
      <c r="H294" s="4" t="str">
        <f t="shared" si="72"/>
        <v>学士</v>
      </c>
      <c r="I294" s="4" t="str">
        <f>"汉语言文学"</f>
        <v>汉语言文学</v>
      </c>
      <c r="J294" s="4" t="str">
        <f t="shared" si="75"/>
        <v>无</v>
      </c>
    </row>
    <row r="295" spans="1:10" ht="27" customHeight="1">
      <c r="A295" s="4">
        <v>293</v>
      </c>
      <c r="B295" s="4" t="str">
        <f>"225720191217114033225659"</f>
        <v>225720191217114033225659</v>
      </c>
      <c r="C295" s="4" t="s">
        <v>15</v>
      </c>
      <c r="D295" s="4" t="str">
        <f>"陈毓"</f>
        <v>陈毓</v>
      </c>
      <c r="E295" s="4" t="str">
        <f t="shared" si="76"/>
        <v>女</v>
      </c>
      <c r="F295" s="4" t="str">
        <f>"1989-05-05"</f>
        <v>1989-05-05</v>
      </c>
      <c r="G295" s="4" t="str">
        <f t="shared" si="57"/>
        <v>本科</v>
      </c>
      <c r="H295" s="4" t="str">
        <f t="shared" si="72"/>
        <v>学士</v>
      </c>
      <c r="I295" s="4" t="str">
        <f>"土地资源管理"</f>
        <v>土地资源管理</v>
      </c>
      <c r="J295" s="4" t="str">
        <f>"策划师"</f>
        <v>策划师</v>
      </c>
    </row>
    <row r="296" spans="1:10" ht="27" customHeight="1">
      <c r="A296" s="4">
        <v>294</v>
      </c>
      <c r="B296" s="4" t="str">
        <f>"225720191217114615225668"</f>
        <v>225720191217114615225668</v>
      </c>
      <c r="C296" s="4" t="s">
        <v>15</v>
      </c>
      <c r="D296" s="4" t="str">
        <f>"庄焦何"</f>
        <v>庄焦何</v>
      </c>
      <c r="E296" s="4" t="str">
        <f>"男"</f>
        <v>男</v>
      </c>
      <c r="F296" s="4" t="str">
        <f>"1989-03-21"</f>
        <v>1989-03-21</v>
      </c>
      <c r="G296" s="4" t="str">
        <f t="shared" si="57"/>
        <v>本科</v>
      </c>
      <c r="H296" s="4" t="str">
        <f t="shared" si="72"/>
        <v>学士</v>
      </c>
      <c r="I296" s="4" t="str">
        <f>"测绘工程"</f>
        <v>测绘工程</v>
      </c>
      <c r="J296" s="4" t="str">
        <f>"无"</f>
        <v>无</v>
      </c>
    </row>
    <row r="297" spans="1:10" ht="27" customHeight="1">
      <c r="A297" s="4">
        <v>295</v>
      </c>
      <c r="B297" s="4" t="str">
        <f>"225720191217114914225674"</f>
        <v>225720191217114914225674</v>
      </c>
      <c r="C297" s="4" t="s">
        <v>12</v>
      </c>
      <c r="D297" s="4" t="str">
        <f>"吴红春"</f>
        <v>吴红春</v>
      </c>
      <c r="E297" s="4" t="str">
        <f aca="true" t="shared" si="77" ref="E297:E302">"女"</f>
        <v>女</v>
      </c>
      <c r="F297" s="4" t="str">
        <f>"1988-11-25"</f>
        <v>1988-11-25</v>
      </c>
      <c r="G297" s="4" t="str">
        <f>"本科"</f>
        <v>本科</v>
      </c>
      <c r="H297" s="4" t="str">
        <f t="shared" si="72"/>
        <v>学士</v>
      </c>
      <c r="I297" s="4" t="str">
        <f>"法学"</f>
        <v>法学</v>
      </c>
      <c r="J297" s="4" t="str">
        <f>"法律职业资格证"</f>
        <v>法律职业资格证</v>
      </c>
    </row>
    <row r="298" spans="1:10" ht="27" customHeight="1">
      <c r="A298" s="4">
        <v>296</v>
      </c>
      <c r="B298" s="4" t="str">
        <f>"225720191217123702225722"</f>
        <v>225720191217123702225722</v>
      </c>
      <c r="C298" s="4" t="s">
        <v>11</v>
      </c>
      <c r="D298" s="4" t="str">
        <f>"钟国明"</f>
        <v>钟国明</v>
      </c>
      <c r="E298" s="4" t="str">
        <f>"男"</f>
        <v>男</v>
      </c>
      <c r="F298" s="4" t="str">
        <f>"1991-03-04"</f>
        <v>1991-03-04</v>
      </c>
      <c r="G298" s="4" t="str">
        <f>"本科"</f>
        <v>本科</v>
      </c>
      <c r="H298" s="4" t="str">
        <f t="shared" si="72"/>
        <v>学士</v>
      </c>
      <c r="I298" s="4" t="str">
        <f>"通信工程"</f>
        <v>通信工程</v>
      </c>
      <c r="J298" s="4" t="str">
        <f>"无"</f>
        <v>无</v>
      </c>
    </row>
    <row r="299" spans="1:10" ht="27" customHeight="1">
      <c r="A299" s="4">
        <v>297</v>
      </c>
      <c r="B299" s="4" t="str">
        <f>"225720191217123747225723"</f>
        <v>225720191217123747225723</v>
      </c>
      <c r="C299" s="4" t="s">
        <v>12</v>
      </c>
      <c r="D299" s="4" t="str">
        <f>"云宇顺"</f>
        <v>云宇顺</v>
      </c>
      <c r="E299" s="4" t="str">
        <f>"男"</f>
        <v>男</v>
      </c>
      <c r="F299" s="4" t="str">
        <f>"1996-12-05"</f>
        <v>1996-12-05</v>
      </c>
      <c r="G299" s="4" t="str">
        <f>"本科"</f>
        <v>本科</v>
      </c>
      <c r="H299" s="4" t="str">
        <f t="shared" si="72"/>
        <v>学士</v>
      </c>
      <c r="I299" s="4" t="str">
        <f>"人文地理与城乡规划"</f>
        <v>人文地理与城乡规划</v>
      </c>
      <c r="J299" s="4" t="str">
        <f>"待业"</f>
        <v>待业</v>
      </c>
    </row>
    <row r="300" spans="1:10" ht="27" customHeight="1">
      <c r="A300" s="4">
        <v>298</v>
      </c>
      <c r="B300" s="4" t="str">
        <f>"225720191217124357225731"</f>
        <v>225720191217124357225731</v>
      </c>
      <c r="C300" s="4" t="s">
        <v>12</v>
      </c>
      <c r="D300" s="4" t="str">
        <f>"赵毓炎"</f>
        <v>赵毓炎</v>
      </c>
      <c r="E300" s="4" t="str">
        <f t="shared" si="77"/>
        <v>女</v>
      </c>
      <c r="F300" s="4" t="str">
        <f>"1996-06-18"</f>
        <v>1996-06-18</v>
      </c>
      <c r="G300" s="4" t="str">
        <f>"本科"</f>
        <v>本科</v>
      </c>
      <c r="H300" s="4" t="str">
        <f t="shared" si="72"/>
        <v>学士</v>
      </c>
      <c r="I300" s="4" t="str">
        <f>"汉语言文学专业"</f>
        <v>汉语言文学专业</v>
      </c>
      <c r="J300" s="4" t="str">
        <f>"无"</f>
        <v>无</v>
      </c>
    </row>
    <row r="301" spans="1:10" ht="27" customHeight="1">
      <c r="A301" s="4">
        <v>299</v>
      </c>
      <c r="B301" s="4" t="str">
        <f>"225720191217125016225737"</f>
        <v>225720191217125016225737</v>
      </c>
      <c r="C301" s="4" t="s">
        <v>12</v>
      </c>
      <c r="D301" s="4" t="str">
        <f>"刘丽"</f>
        <v>刘丽</v>
      </c>
      <c r="E301" s="4" t="str">
        <f>"男"</f>
        <v>男</v>
      </c>
      <c r="F301" s="4" t="str">
        <f>"1990-05-15"</f>
        <v>1990-05-15</v>
      </c>
      <c r="G301" s="4" t="str">
        <f>"研究生"</f>
        <v>研究生</v>
      </c>
      <c r="H301" s="4" t="str">
        <f>"硕士"</f>
        <v>硕士</v>
      </c>
      <c r="I301" s="4" t="str">
        <f>"土地资源管理"</f>
        <v>土地资源管理</v>
      </c>
      <c r="J301" s="4" t="str">
        <f>"助理工程师"</f>
        <v>助理工程师</v>
      </c>
    </row>
    <row r="302" spans="1:10" ht="27" customHeight="1">
      <c r="A302" s="4">
        <v>300</v>
      </c>
      <c r="B302" s="4" t="str">
        <f>"225720191217125058225739"</f>
        <v>225720191217125058225739</v>
      </c>
      <c r="C302" s="4" t="s">
        <v>12</v>
      </c>
      <c r="D302" s="4" t="str">
        <f>"邱龄慰"</f>
        <v>邱龄慰</v>
      </c>
      <c r="E302" s="4" t="str">
        <f t="shared" si="77"/>
        <v>女</v>
      </c>
      <c r="F302" s="4" t="str">
        <f>"1995-01-26"</f>
        <v>1995-01-26</v>
      </c>
      <c r="G302" s="4" t="str">
        <f aca="true" t="shared" si="78" ref="G302:G346">"本科"</f>
        <v>本科</v>
      </c>
      <c r="H302" s="4" t="str">
        <f aca="true" t="shared" si="79" ref="H302:H325">"学士"</f>
        <v>学士</v>
      </c>
      <c r="I302" s="4" t="str">
        <f>"汉语言文学"</f>
        <v>汉语言文学</v>
      </c>
      <c r="J302" s="4" t="str">
        <f aca="true" t="shared" si="80" ref="J302:J308">"无"</f>
        <v>无</v>
      </c>
    </row>
    <row r="303" spans="1:10" ht="27" customHeight="1">
      <c r="A303" s="4">
        <v>301</v>
      </c>
      <c r="B303" s="4" t="str">
        <f>"225720191217125925225749"</f>
        <v>225720191217125925225749</v>
      </c>
      <c r="C303" s="4" t="s">
        <v>12</v>
      </c>
      <c r="D303" s="4" t="str">
        <f>"蒙忠森"</f>
        <v>蒙忠森</v>
      </c>
      <c r="E303" s="4" t="str">
        <f>"男"</f>
        <v>男</v>
      </c>
      <c r="F303" s="4" t="str">
        <f>"1995-10-28"</f>
        <v>1995-10-28</v>
      </c>
      <c r="G303" s="4" t="str">
        <f t="shared" si="78"/>
        <v>本科</v>
      </c>
      <c r="H303" s="4" t="str">
        <f t="shared" si="79"/>
        <v>学士</v>
      </c>
      <c r="I303" s="4" t="str">
        <f>"法学（律师方向）"</f>
        <v>法学（律师方向）</v>
      </c>
      <c r="J303" s="4" t="str">
        <f t="shared" si="80"/>
        <v>无</v>
      </c>
    </row>
    <row r="304" spans="1:10" ht="27" customHeight="1">
      <c r="A304" s="4">
        <v>302</v>
      </c>
      <c r="B304" s="4" t="str">
        <f>"225720191217130942225755"</f>
        <v>225720191217130942225755</v>
      </c>
      <c r="C304" s="4" t="s">
        <v>15</v>
      </c>
      <c r="D304" s="4" t="str">
        <f>"任飞阳"</f>
        <v>任飞阳</v>
      </c>
      <c r="E304" s="4" t="str">
        <f>"男"</f>
        <v>男</v>
      </c>
      <c r="F304" s="4" t="str">
        <f>"1996-02-11"</f>
        <v>1996-02-11</v>
      </c>
      <c r="G304" s="4" t="str">
        <f t="shared" si="78"/>
        <v>本科</v>
      </c>
      <c r="H304" s="4" t="str">
        <f t="shared" si="79"/>
        <v>学士</v>
      </c>
      <c r="I304" s="4" t="str">
        <f>"土地资源管理"</f>
        <v>土地资源管理</v>
      </c>
      <c r="J304" s="4" t="str">
        <f>"助理工程师"</f>
        <v>助理工程师</v>
      </c>
    </row>
    <row r="305" spans="1:10" ht="27" customHeight="1">
      <c r="A305" s="4">
        <v>303</v>
      </c>
      <c r="B305" s="4" t="str">
        <f>"225720191217132754225771"</f>
        <v>225720191217132754225771</v>
      </c>
      <c r="C305" s="4" t="s">
        <v>12</v>
      </c>
      <c r="D305" s="4" t="str">
        <f>"吴秀川"</f>
        <v>吴秀川</v>
      </c>
      <c r="E305" s="4" t="str">
        <f aca="true" t="shared" si="81" ref="E305:E314">"女"</f>
        <v>女</v>
      </c>
      <c r="F305" s="4" t="str">
        <f>"1991-06-05"</f>
        <v>1991-06-05</v>
      </c>
      <c r="G305" s="4" t="str">
        <f t="shared" si="78"/>
        <v>本科</v>
      </c>
      <c r="H305" s="4" t="str">
        <f t="shared" si="79"/>
        <v>学士</v>
      </c>
      <c r="I305" s="4" t="str">
        <f>"汉语言文学"</f>
        <v>汉语言文学</v>
      </c>
      <c r="J305" s="4" t="str">
        <f t="shared" si="80"/>
        <v>无</v>
      </c>
    </row>
    <row r="306" spans="1:10" ht="27" customHeight="1">
      <c r="A306" s="4">
        <v>304</v>
      </c>
      <c r="B306" s="4" t="str">
        <f>"225720191217142825225816"</f>
        <v>225720191217142825225816</v>
      </c>
      <c r="C306" s="4" t="s">
        <v>17</v>
      </c>
      <c r="D306" s="4" t="str">
        <f>"徐颖智"</f>
        <v>徐颖智</v>
      </c>
      <c r="E306" s="4" t="str">
        <f t="shared" si="81"/>
        <v>女</v>
      </c>
      <c r="F306" s="4" t="str">
        <f>"1986-02-17"</f>
        <v>1986-02-17</v>
      </c>
      <c r="G306" s="4" t="str">
        <f t="shared" si="78"/>
        <v>本科</v>
      </c>
      <c r="H306" s="4" t="str">
        <f t="shared" si="79"/>
        <v>学士</v>
      </c>
      <c r="I306" s="4" t="str">
        <f>"计算机科学与技术"</f>
        <v>计算机科学与技术</v>
      </c>
      <c r="J306" s="4" t="str">
        <f t="shared" si="80"/>
        <v>无</v>
      </c>
    </row>
    <row r="307" spans="1:10" ht="27" customHeight="1">
      <c r="A307" s="4">
        <v>305</v>
      </c>
      <c r="B307" s="4" t="str">
        <f>"225720191217143008225819"</f>
        <v>225720191217143008225819</v>
      </c>
      <c r="C307" s="4" t="s">
        <v>12</v>
      </c>
      <c r="D307" s="4" t="str">
        <f>"郭永琼"</f>
        <v>郭永琼</v>
      </c>
      <c r="E307" s="4" t="str">
        <f>"男"</f>
        <v>男</v>
      </c>
      <c r="F307" s="4" t="str">
        <f>"1996-12-29"</f>
        <v>1996-12-29</v>
      </c>
      <c r="G307" s="4" t="str">
        <f t="shared" si="78"/>
        <v>本科</v>
      </c>
      <c r="H307" s="4" t="str">
        <f t="shared" si="79"/>
        <v>学士</v>
      </c>
      <c r="I307" s="4" t="str">
        <f>"法学"</f>
        <v>法学</v>
      </c>
      <c r="J307" s="4" t="str">
        <f t="shared" si="80"/>
        <v>无</v>
      </c>
    </row>
    <row r="308" spans="1:10" ht="27" customHeight="1">
      <c r="A308" s="4">
        <v>306</v>
      </c>
      <c r="B308" s="4" t="str">
        <f>"225720191217143919225832"</f>
        <v>225720191217143919225832</v>
      </c>
      <c r="C308" s="4" t="s">
        <v>17</v>
      </c>
      <c r="D308" s="4" t="str">
        <f>"唐楠"</f>
        <v>唐楠</v>
      </c>
      <c r="E308" s="4" t="str">
        <f>"男"</f>
        <v>男</v>
      </c>
      <c r="F308" s="4" t="str">
        <f>"1988-06-16"</f>
        <v>1988-06-16</v>
      </c>
      <c r="G308" s="4" t="str">
        <f t="shared" si="78"/>
        <v>本科</v>
      </c>
      <c r="H308" s="4" t="str">
        <f t="shared" si="79"/>
        <v>学士</v>
      </c>
      <c r="I308" s="4" t="str">
        <f>"计算机科学与技术"</f>
        <v>计算机科学与技术</v>
      </c>
      <c r="J308" s="4" t="str">
        <f t="shared" si="80"/>
        <v>无</v>
      </c>
    </row>
    <row r="309" spans="1:10" ht="27" customHeight="1">
      <c r="A309" s="4">
        <v>307</v>
      </c>
      <c r="B309" s="4" t="str">
        <f>"225720191217145049225847"</f>
        <v>225720191217145049225847</v>
      </c>
      <c r="C309" s="4" t="s">
        <v>12</v>
      </c>
      <c r="D309" s="4" t="str">
        <f>"李韬"</f>
        <v>李韬</v>
      </c>
      <c r="E309" s="4" t="str">
        <f>"男"</f>
        <v>男</v>
      </c>
      <c r="F309" s="4" t="str">
        <f>"1993-02-09"</f>
        <v>1993-02-09</v>
      </c>
      <c r="G309" s="4" t="str">
        <f t="shared" si="78"/>
        <v>本科</v>
      </c>
      <c r="H309" s="4" t="str">
        <f t="shared" si="79"/>
        <v>学士</v>
      </c>
      <c r="I309" s="4" t="str">
        <f>"城市规划"</f>
        <v>城市规划</v>
      </c>
      <c r="J309" s="4" t="str">
        <f>"城市规划助理工程师"</f>
        <v>城市规划助理工程师</v>
      </c>
    </row>
    <row r="310" spans="1:10" ht="27" customHeight="1">
      <c r="A310" s="4">
        <v>308</v>
      </c>
      <c r="B310" s="4" t="str">
        <f>"225720191217150405225866"</f>
        <v>225720191217150405225866</v>
      </c>
      <c r="C310" s="4" t="s">
        <v>16</v>
      </c>
      <c r="D310" s="4" t="str">
        <f>"吴婷婷"</f>
        <v>吴婷婷</v>
      </c>
      <c r="E310" s="4" t="str">
        <f t="shared" si="81"/>
        <v>女</v>
      </c>
      <c r="F310" s="4" t="str">
        <f>"1993-09-29"</f>
        <v>1993-09-29</v>
      </c>
      <c r="G310" s="4" t="str">
        <f t="shared" si="78"/>
        <v>本科</v>
      </c>
      <c r="H310" s="4" t="str">
        <f t="shared" si="79"/>
        <v>学士</v>
      </c>
      <c r="I310" s="4" t="str">
        <f>"资源环境与城乡规划管理"</f>
        <v>资源环境与城乡规划管理</v>
      </c>
      <c r="J310" s="4" t="str">
        <f>"助理馆员（初级档案管理员）"</f>
        <v>助理馆员（初级档案管理员）</v>
      </c>
    </row>
    <row r="311" spans="1:10" ht="27" customHeight="1">
      <c r="A311" s="4">
        <v>309</v>
      </c>
      <c r="B311" s="4" t="str">
        <f>"225720191217150917225873"</f>
        <v>225720191217150917225873</v>
      </c>
      <c r="C311" s="4" t="s">
        <v>12</v>
      </c>
      <c r="D311" s="4" t="str">
        <f>"谢萧蔚"</f>
        <v>谢萧蔚</v>
      </c>
      <c r="E311" s="4" t="str">
        <f t="shared" si="81"/>
        <v>女</v>
      </c>
      <c r="F311" s="4" t="str">
        <f>"1994-06-18"</f>
        <v>1994-06-18</v>
      </c>
      <c r="G311" s="4" t="str">
        <f t="shared" si="78"/>
        <v>本科</v>
      </c>
      <c r="H311" s="4" t="str">
        <f t="shared" si="79"/>
        <v>学士</v>
      </c>
      <c r="I311" s="4" t="str">
        <f>"汉语言文学"</f>
        <v>汉语言文学</v>
      </c>
      <c r="J311" s="4" t="str">
        <f aca="true" t="shared" si="82" ref="J311:J320">"无"</f>
        <v>无</v>
      </c>
    </row>
    <row r="312" spans="1:10" ht="27" customHeight="1">
      <c r="A312" s="4">
        <v>310</v>
      </c>
      <c r="B312" s="4" t="str">
        <f>"225720191217151014225876"</f>
        <v>225720191217151014225876</v>
      </c>
      <c r="C312" s="4" t="s">
        <v>12</v>
      </c>
      <c r="D312" s="4" t="str">
        <f>"邱天梅"</f>
        <v>邱天梅</v>
      </c>
      <c r="E312" s="4" t="str">
        <f t="shared" si="81"/>
        <v>女</v>
      </c>
      <c r="F312" s="4" t="str">
        <f>"1993-07-29"</f>
        <v>1993-07-29</v>
      </c>
      <c r="G312" s="4" t="str">
        <f t="shared" si="78"/>
        <v>本科</v>
      </c>
      <c r="H312" s="4" t="str">
        <f t="shared" si="79"/>
        <v>学士</v>
      </c>
      <c r="I312" s="4" t="str">
        <f>"法学"</f>
        <v>法学</v>
      </c>
      <c r="J312" s="4" t="str">
        <f t="shared" si="82"/>
        <v>无</v>
      </c>
    </row>
    <row r="313" spans="1:10" ht="27" customHeight="1">
      <c r="A313" s="4">
        <v>311</v>
      </c>
      <c r="B313" s="4" t="str">
        <f>"225720191217152838225901"</f>
        <v>225720191217152838225901</v>
      </c>
      <c r="C313" s="4" t="s">
        <v>16</v>
      </c>
      <c r="D313" s="4" t="str">
        <f>"王丽姣"</f>
        <v>王丽姣</v>
      </c>
      <c r="E313" s="4" t="str">
        <f t="shared" si="81"/>
        <v>女</v>
      </c>
      <c r="F313" s="4" t="str">
        <f>"1988-05-03"</f>
        <v>1988-05-03</v>
      </c>
      <c r="G313" s="4" t="str">
        <f t="shared" si="78"/>
        <v>本科</v>
      </c>
      <c r="H313" s="4" t="str">
        <f t="shared" si="79"/>
        <v>学士</v>
      </c>
      <c r="I313" s="4" t="str">
        <f>"资源环境与城乡规划管理"</f>
        <v>资源环境与城乡规划管理</v>
      </c>
      <c r="J313" s="4" t="str">
        <f>"助理规划师"</f>
        <v>助理规划师</v>
      </c>
    </row>
    <row r="314" spans="1:10" ht="27" customHeight="1">
      <c r="A314" s="4">
        <v>312</v>
      </c>
      <c r="B314" s="4" t="str">
        <f>"225720191217152850225902"</f>
        <v>225720191217152850225902</v>
      </c>
      <c r="C314" s="4" t="s">
        <v>16</v>
      </c>
      <c r="D314" s="4" t="str">
        <f>"梁晶晶"</f>
        <v>梁晶晶</v>
      </c>
      <c r="E314" s="4" t="str">
        <f t="shared" si="81"/>
        <v>女</v>
      </c>
      <c r="F314" s="4" t="str">
        <f>"1990-07-28"</f>
        <v>1990-07-28</v>
      </c>
      <c r="G314" s="4" t="str">
        <f t="shared" si="78"/>
        <v>本科</v>
      </c>
      <c r="H314" s="4" t="str">
        <f t="shared" si="79"/>
        <v>学士</v>
      </c>
      <c r="I314" s="4" t="str">
        <f>"资源环境与城乡规划管理"</f>
        <v>资源环境与城乡规划管理</v>
      </c>
      <c r="J314" s="4" t="str">
        <f>"助理工程师"</f>
        <v>助理工程师</v>
      </c>
    </row>
    <row r="315" spans="1:10" ht="27" customHeight="1">
      <c r="A315" s="4">
        <v>313</v>
      </c>
      <c r="B315" s="4" t="str">
        <f>"225720191217155827225938"</f>
        <v>225720191217155827225938</v>
      </c>
      <c r="C315" s="4" t="s">
        <v>16</v>
      </c>
      <c r="D315" s="4" t="str">
        <f>"何启友"</f>
        <v>何启友</v>
      </c>
      <c r="E315" s="4" t="str">
        <f>"男"</f>
        <v>男</v>
      </c>
      <c r="F315" s="4" t="str">
        <f>"1988-10-21"</f>
        <v>1988-10-21</v>
      </c>
      <c r="G315" s="4" t="str">
        <f t="shared" si="78"/>
        <v>本科</v>
      </c>
      <c r="H315" s="4" t="str">
        <f t="shared" si="79"/>
        <v>学士</v>
      </c>
      <c r="I315" s="4" t="str">
        <f>"地理信息系统"</f>
        <v>地理信息系统</v>
      </c>
      <c r="J315" s="4" t="str">
        <f>"测绘工程师"</f>
        <v>测绘工程师</v>
      </c>
    </row>
    <row r="316" spans="1:10" ht="27" customHeight="1">
      <c r="A316" s="4">
        <v>314</v>
      </c>
      <c r="B316" s="4" t="str">
        <f>"225720191217160750225940"</f>
        <v>225720191217160750225940</v>
      </c>
      <c r="C316" s="4" t="s">
        <v>12</v>
      </c>
      <c r="D316" s="4" t="str">
        <f>"吴江娜"</f>
        <v>吴江娜</v>
      </c>
      <c r="E316" s="4" t="str">
        <f aca="true" t="shared" si="83" ref="E316:E321">"女"</f>
        <v>女</v>
      </c>
      <c r="F316" s="4" t="str">
        <f>"1995-10-18"</f>
        <v>1995-10-18</v>
      </c>
      <c r="G316" s="4" t="str">
        <f t="shared" si="78"/>
        <v>本科</v>
      </c>
      <c r="H316" s="4" t="str">
        <f t="shared" si="79"/>
        <v>学士</v>
      </c>
      <c r="I316" s="4" t="str">
        <f>"汉语言文学"</f>
        <v>汉语言文学</v>
      </c>
      <c r="J316" s="4" t="str">
        <f t="shared" si="82"/>
        <v>无</v>
      </c>
    </row>
    <row r="317" spans="1:10" ht="27" customHeight="1">
      <c r="A317" s="4">
        <v>315</v>
      </c>
      <c r="B317" s="4" t="str">
        <f>"225720191217162255225948"</f>
        <v>225720191217162255225948</v>
      </c>
      <c r="C317" s="4" t="s">
        <v>12</v>
      </c>
      <c r="D317" s="4" t="str">
        <f>"余鼎鼎"</f>
        <v>余鼎鼎</v>
      </c>
      <c r="E317" s="4" t="str">
        <f t="shared" si="83"/>
        <v>女</v>
      </c>
      <c r="F317" s="4" t="str">
        <f>"1994-11-07"</f>
        <v>1994-11-07</v>
      </c>
      <c r="G317" s="4" t="str">
        <f t="shared" si="78"/>
        <v>本科</v>
      </c>
      <c r="H317" s="4" t="str">
        <f t="shared" si="79"/>
        <v>学士</v>
      </c>
      <c r="I317" s="4" t="str">
        <f>"汉语言文学专业"</f>
        <v>汉语言文学专业</v>
      </c>
      <c r="J317" s="4" t="str">
        <f t="shared" si="82"/>
        <v>无</v>
      </c>
    </row>
    <row r="318" spans="1:10" ht="27" customHeight="1">
      <c r="A318" s="4">
        <v>316</v>
      </c>
      <c r="B318" s="4" t="str">
        <f>"225720191217164126225955"</f>
        <v>225720191217164126225955</v>
      </c>
      <c r="C318" s="4" t="s">
        <v>12</v>
      </c>
      <c r="D318" s="4" t="str">
        <f>"卓冬萍"</f>
        <v>卓冬萍</v>
      </c>
      <c r="E318" s="4" t="str">
        <f t="shared" si="83"/>
        <v>女</v>
      </c>
      <c r="F318" s="4" t="str">
        <f>"1986-07-19"</f>
        <v>1986-07-19</v>
      </c>
      <c r="G318" s="4" t="str">
        <f t="shared" si="78"/>
        <v>本科</v>
      </c>
      <c r="H318" s="4" t="str">
        <f t="shared" si="79"/>
        <v>学士</v>
      </c>
      <c r="I318" s="4" t="str">
        <f>"汉语言文学"</f>
        <v>汉语言文学</v>
      </c>
      <c r="J318" s="4" t="str">
        <f t="shared" si="82"/>
        <v>无</v>
      </c>
    </row>
    <row r="319" spans="1:10" ht="27" customHeight="1">
      <c r="A319" s="4">
        <v>317</v>
      </c>
      <c r="B319" s="4" t="str">
        <f>"225720191217164633225958"</f>
        <v>225720191217164633225958</v>
      </c>
      <c r="C319" s="4" t="s">
        <v>12</v>
      </c>
      <c r="D319" s="4" t="str">
        <f>"连秀文"</f>
        <v>连秀文</v>
      </c>
      <c r="E319" s="4" t="str">
        <f t="shared" si="83"/>
        <v>女</v>
      </c>
      <c r="F319" s="4" t="str">
        <f>"1995-11-16"</f>
        <v>1995-11-16</v>
      </c>
      <c r="G319" s="4" t="str">
        <f t="shared" si="78"/>
        <v>本科</v>
      </c>
      <c r="H319" s="4" t="str">
        <f t="shared" si="79"/>
        <v>学士</v>
      </c>
      <c r="I319" s="4" t="str">
        <f>"人文地理与城乡规划"</f>
        <v>人文地理与城乡规划</v>
      </c>
      <c r="J319" s="4" t="str">
        <f t="shared" si="82"/>
        <v>无</v>
      </c>
    </row>
    <row r="320" spans="1:10" ht="27" customHeight="1">
      <c r="A320" s="4">
        <v>318</v>
      </c>
      <c r="B320" s="4" t="str">
        <f>"225720191217164751225959"</f>
        <v>225720191217164751225959</v>
      </c>
      <c r="C320" s="4" t="s">
        <v>16</v>
      </c>
      <c r="D320" s="4" t="str">
        <f>"李雪转"</f>
        <v>李雪转</v>
      </c>
      <c r="E320" s="4" t="str">
        <f t="shared" si="83"/>
        <v>女</v>
      </c>
      <c r="F320" s="4" t="str">
        <f>"1992-09-17"</f>
        <v>1992-09-17</v>
      </c>
      <c r="G320" s="4" t="str">
        <f t="shared" si="78"/>
        <v>本科</v>
      </c>
      <c r="H320" s="4" t="str">
        <f t="shared" si="79"/>
        <v>学士</v>
      </c>
      <c r="I320" s="4" t="str">
        <f>"资源环境与城乡规划管理"</f>
        <v>资源环境与城乡规划管理</v>
      </c>
      <c r="J320" s="4" t="str">
        <f t="shared" si="82"/>
        <v>无</v>
      </c>
    </row>
    <row r="321" spans="1:10" ht="27" customHeight="1">
      <c r="A321" s="4">
        <v>319</v>
      </c>
      <c r="B321" s="4" t="str">
        <f>"225720191217170307225965"</f>
        <v>225720191217170307225965</v>
      </c>
      <c r="C321" s="4" t="s">
        <v>18</v>
      </c>
      <c r="D321" s="4" t="str">
        <f>"林金玉"</f>
        <v>林金玉</v>
      </c>
      <c r="E321" s="4" t="str">
        <f t="shared" si="83"/>
        <v>女</v>
      </c>
      <c r="F321" s="4" t="str">
        <f>"1993-06-21"</f>
        <v>1993-06-21</v>
      </c>
      <c r="G321" s="4" t="str">
        <f t="shared" si="78"/>
        <v>本科</v>
      </c>
      <c r="H321" s="4" t="str">
        <f t="shared" si="79"/>
        <v>学士</v>
      </c>
      <c r="I321" s="4" t="str">
        <f>"会计学"</f>
        <v>会计学</v>
      </c>
      <c r="J321" s="4" t="str">
        <f>"初级会计职称"</f>
        <v>初级会计职称</v>
      </c>
    </row>
    <row r="322" spans="1:10" ht="27" customHeight="1">
      <c r="A322" s="4">
        <v>320</v>
      </c>
      <c r="B322" s="4" t="str">
        <f>"225720191217172626225983"</f>
        <v>225720191217172626225983</v>
      </c>
      <c r="C322" s="4" t="s">
        <v>18</v>
      </c>
      <c r="D322" s="4" t="str">
        <f>"吴同坤"</f>
        <v>吴同坤</v>
      </c>
      <c r="E322" s="4" t="str">
        <f aca="true" t="shared" si="84" ref="E322:E329">"男"</f>
        <v>男</v>
      </c>
      <c r="F322" s="4" t="str">
        <f>"1989-10-14"</f>
        <v>1989-10-14</v>
      </c>
      <c r="G322" s="4" t="str">
        <f t="shared" si="78"/>
        <v>本科</v>
      </c>
      <c r="H322" s="4" t="str">
        <f t="shared" si="79"/>
        <v>学士</v>
      </c>
      <c r="I322" s="4" t="str">
        <f>"财务管理"</f>
        <v>财务管理</v>
      </c>
      <c r="J322" s="4" t="str">
        <f>"初级会计职称"</f>
        <v>初级会计职称</v>
      </c>
    </row>
    <row r="323" spans="1:10" ht="27" customHeight="1">
      <c r="A323" s="4">
        <v>321</v>
      </c>
      <c r="B323" s="4" t="str">
        <f>"225720191217172751225985"</f>
        <v>225720191217172751225985</v>
      </c>
      <c r="C323" s="4" t="s">
        <v>12</v>
      </c>
      <c r="D323" s="4" t="str">
        <f>"陈定红"</f>
        <v>陈定红</v>
      </c>
      <c r="E323" s="4" t="str">
        <f>"女"</f>
        <v>女</v>
      </c>
      <c r="F323" s="4" t="str">
        <f>"1986-03-09"</f>
        <v>1986-03-09</v>
      </c>
      <c r="G323" s="4" t="str">
        <f t="shared" si="78"/>
        <v>本科</v>
      </c>
      <c r="H323" s="4" t="str">
        <f t="shared" si="79"/>
        <v>学士</v>
      </c>
      <c r="I323" s="4" t="str">
        <f>"汉语言文学"</f>
        <v>汉语言文学</v>
      </c>
      <c r="J323" s="4" t="str">
        <f aca="true" t="shared" si="85" ref="J323:J331">"无"</f>
        <v>无</v>
      </c>
    </row>
    <row r="324" spans="1:10" ht="27" customHeight="1">
      <c r="A324" s="4">
        <v>322</v>
      </c>
      <c r="B324" s="4" t="str">
        <f>"225720191217172933225988"</f>
        <v>225720191217172933225988</v>
      </c>
      <c r="C324" s="4" t="s">
        <v>15</v>
      </c>
      <c r="D324" s="4" t="str">
        <f>"张灵"</f>
        <v>张灵</v>
      </c>
      <c r="E324" s="4" t="str">
        <f>"女"</f>
        <v>女</v>
      </c>
      <c r="F324" s="4" t="str">
        <f>"1995-04-19"</f>
        <v>1995-04-19</v>
      </c>
      <c r="G324" s="4" t="str">
        <f t="shared" si="78"/>
        <v>本科</v>
      </c>
      <c r="H324" s="4" t="str">
        <f t="shared" si="79"/>
        <v>学士</v>
      </c>
      <c r="I324" s="4" t="str">
        <f>"土地资源管理"</f>
        <v>土地资源管理</v>
      </c>
      <c r="J324" s="4" t="str">
        <f t="shared" si="85"/>
        <v>无</v>
      </c>
    </row>
    <row r="325" spans="1:10" ht="27" customHeight="1">
      <c r="A325" s="4">
        <v>323</v>
      </c>
      <c r="B325" s="4" t="str">
        <f>"225720191217173441225989"</f>
        <v>225720191217173441225989</v>
      </c>
      <c r="C325" s="4" t="s">
        <v>11</v>
      </c>
      <c r="D325" s="4" t="str">
        <f>"孟森"</f>
        <v>孟森</v>
      </c>
      <c r="E325" s="4" t="str">
        <f t="shared" si="84"/>
        <v>男</v>
      </c>
      <c r="F325" s="4" t="str">
        <f>"1991-01-17"</f>
        <v>1991-01-17</v>
      </c>
      <c r="G325" s="4" t="str">
        <f t="shared" si="78"/>
        <v>本科</v>
      </c>
      <c r="H325" s="4" t="str">
        <f t="shared" si="79"/>
        <v>学士</v>
      </c>
      <c r="I325" s="4" t="str">
        <f>"网络工程"</f>
        <v>网络工程</v>
      </c>
      <c r="J325" s="4" t="str">
        <f>"网络工程师中级"</f>
        <v>网络工程师中级</v>
      </c>
    </row>
    <row r="326" spans="1:10" ht="27" customHeight="1">
      <c r="A326" s="4">
        <v>324</v>
      </c>
      <c r="B326" s="4" t="str">
        <f>"225720191217173933225993"</f>
        <v>225720191217173933225993</v>
      </c>
      <c r="C326" s="4" t="s">
        <v>18</v>
      </c>
      <c r="D326" s="4" t="str">
        <f>"张芳瑜"</f>
        <v>张芳瑜</v>
      </c>
      <c r="E326" s="4" t="str">
        <f>"女"</f>
        <v>女</v>
      </c>
      <c r="F326" s="4" t="str">
        <f>"1994-05-25"</f>
        <v>1994-05-25</v>
      </c>
      <c r="G326" s="4" t="str">
        <f t="shared" si="78"/>
        <v>本科</v>
      </c>
      <c r="H326" s="4" t="str">
        <f>"无"</f>
        <v>无</v>
      </c>
      <c r="I326" s="4" t="str">
        <f>"会计学（财务会计）"</f>
        <v>会计学（财务会计）</v>
      </c>
      <c r="J326" s="4" t="str">
        <f>"主办会计"</f>
        <v>主办会计</v>
      </c>
    </row>
    <row r="327" spans="1:10" ht="27" customHeight="1">
      <c r="A327" s="4">
        <v>325</v>
      </c>
      <c r="B327" s="4" t="str">
        <f>"225720191217175402225997"</f>
        <v>225720191217175402225997</v>
      </c>
      <c r="C327" s="4" t="s">
        <v>11</v>
      </c>
      <c r="D327" s="4" t="str">
        <f>"方宝耀"</f>
        <v>方宝耀</v>
      </c>
      <c r="E327" s="4" t="str">
        <f t="shared" si="84"/>
        <v>男</v>
      </c>
      <c r="F327" s="4" t="str">
        <f>"1985-12-10"</f>
        <v>1985-12-10</v>
      </c>
      <c r="G327" s="4" t="str">
        <f t="shared" si="78"/>
        <v>本科</v>
      </c>
      <c r="H327" s="4" t="str">
        <f aca="true" t="shared" si="86" ref="H327:H346">"学士"</f>
        <v>学士</v>
      </c>
      <c r="I327" s="4" t="str">
        <f>"通信工程"</f>
        <v>通信工程</v>
      </c>
      <c r="J327" s="4" t="str">
        <f t="shared" si="85"/>
        <v>无</v>
      </c>
    </row>
    <row r="328" spans="1:10" ht="27" customHeight="1">
      <c r="A328" s="4">
        <v>326</v>
      </c>
      <c r="B328" s="4" t="str">
        <f>"225720191217180456226003"</f>
        <v>225720191217180456226003</v>
      </c>
      <c r="C328" s="4" t="s">
        <v>12</v>
      </c>
      <c r="D328" s="4" t="str">
        <f>"蒋荣宣"</f>
        <v>蒋荣宣</v>
      </c>
      <c r="E328" s="4" t="str">
        <f t="shared" si="84"/>
        <v>男</v>
      </c>
      <c r="F328" s="4" t="str">
        <f>"1986-08-13"</f>
        <v>1986-08-13</v>
      </c>
      <c r="G328" s="4" t="str">
        <f t="shared" si="78"/>
        <v>本科</v>
      </c>
      <c r="H328" s="4" t="str">
        <f t="shared" si="86"/>
        <v>学士</v>
      </c>
      <c r="I328" s="4" t="str">
        <f>"法学"</f>
        <v>法学</v>
      </c>
      <c r="J328" s="4" t="str">
        <f t="shared" si="85"/>
        <v>无</v>
      </c>
    </row>
    <row r="329" spans="1:10" ht="27" customHeight="1">
      <c r="A329" s="4">
        <v>327</v>
      </c>
      <c r="B329" s="4" t="str">
        <f>"225720191217180551226006"</f>
        <v>225720191217180551226006</v>
      </c>
      <c r="C329" s="4" t="s">
        <v>12</v>
      </c>
      <c r="D329" s="4" t="str">
        <f>"王中文"</f>
        <v>王中文</v>
      </c>
      <c r="E329" s="4" t="str">
        <f t="shared" si="84"/>
        <v>男</v>
      </c>
      <c r="F329" s="4" t="str">
        <f>"1990-08-26"</f>
        <v>1990-08-26</v>
      </c>
      <c r="G329" s="4" t="str">
        <f t="shared" si="78"/>
        <v>本科</v>
      </c>
      <c r="H329" s="4" t="str">
        <f t="shared" si="86"/>
        <v>学士</v>
      </c>
      <c r="I329" s="4" t="str">
        <f>"城市规划"</f>
        <v>城市规划</v>
      </c>
      <c r="J329" s="4" t="str">
        <f t="shared" si="85"/>
        <v>无</v>
      </c>
    </row>
    <row r="330" spans="1:10" ht="27" customHeight="1">
      <c r="A330" s="4">
        <v>328</v>
      </c>
      <c r="B330" s="4" t="str">
        <f>"225720191217181305226010"</f>
        <v>225720191217181305226010</v>
      </c>
      <c r="C330" s="4" t="s">
        <v>12</v>
      </c>
      <c r="D330" s="4" t="str">
        <f>"苏慧玉"</f>
        <v>苏慧玉</v>
      </c>
      <c r="E330" s="4" t="str">
        <f>"女"</f>
        <v>女</v>
      </c>
      <c r="F330" s="4" t="str">
        <f>"1992-04-09"</f>
        <v>1992-04-09</v>
      </c>
      <c r="G330" s="4" t="str">
        <f t="shared" si="78"/>
        <v>本科</v>
      </c>
      <c r="H330" s="4" t="str">
        <f t="shared" si="86"/>
        <v>学士</v>
      </c>
      <c r="I330" s="4" t="str">
        <f>"汉语言文学（高级涉外文秘）"</f>
        <v>汉语言文学（高级涉外文秘）</v>
      </c>
      <c r="J330" s="4" t="str">
        <f t="shared" si="85"/>
        <v>无</v>
      </c>
    </row>
    <row r="331" spans="1:10" ht="27" customHeight="1">
      <c r="A331" s="4">
        <v>329</v>
      </c>
      <c r="B331" s="4" t="str">
        <f>"225720191217181844226014"</f>
        <v>225720191217181844226014</v>
      </c>
      <c r="C331" s="4" t="s">
        <v>12</v>
      </c>
      <c r="D331" s="4" t="str">
        <f>"谢舒如"</f>
        <v>谢舒如</v>
      </c>
      <c r="E331" s="4" t="str">
        <f>"女"</f>
        <v>女</v>
      </c>
      <c r="F331" s="4" t="str">
        <f>"1996-12-29"</f>
        <v>1996-12-29</v>
      </c>
      <c r="G331" s="4" t="str">
        <f t="shared" si="78"/>
        <v>本科</v>
      </c>
      <c r="H331" s="4" t="str">
        <f t="shared" si="86"/>
        <v>学士</v>
      </c>
      <c r="I331" s="4" t="str">
        <f>"人文地理与城乡规划"</f>
        <v>人文地理与城乡规划</v>
      </c>
      <c r="J331" s="4" t="str">
        <f t="shared" si="85"/>
        <v>无</v>
      </c>
    </row>
    <row r="332" spans="1:10" ht="27" customHeight="1">
      <c r="A332" s="4">
        <v>330</v>
      </c>
      <c r="B332" s="4" t="str">
        <f>"225720191217182403226015"</f>
        <v>225720191217182403226015</v>
      </c>
      <c r="C332" s="4" t="s">
        <v>18</v>
      </c>
      <c r="D332" s="4" t="str">
        <f>"陈艳丹"</f>
        <v>陈艳丹</v>
      </c>
      <c r="E332" s="4" t="str">
        <f>"女"</f>
        <v>女</v>
      </c>
      <c r="F332" s="4" t="str">
        <f>"1992-06-01"</f>
        <v>1992-06-01</v>
      </c>
      <c r="G332" s="4" t="str">
        <f t="shared" si="78"/>
        <v>本科</v>
      </c>
      <c r="H332" s="4" t="str">
        <f t="shared" si="86"/>
        <v>学士</v>
      </c>
      <c r="I332" s="4" t="str">
        <f>"会计学（注册会计师方向）"</f>
        <v>会计学（注册会计师方向）</v>
      </c>
      <c r="J332" s="4" t="str">
        <f>"初级会计"</f>
        <v>初级会计</v>
      </c>
    </row>
    <row r="333" spans="1:10" ht="27" customHeight="1">
      <c r="A333" s="4">
        <v>331</v>
      </c>
      <c r="B333" s="4" t="str">
        <f>"225720191217182411226016"</f>
        <v>225720191217182411226016</v>
      </c>
      <c r="C333" s="4" t="s">
        <v>16</v>
      </c>
      <c r="D333" s="4" t="str">
        <f>"邓琴"</f>
        <v>邓琴</v>
      </c>
      <c r="E333" s="4" t="str">
        <f>"女"</f>
        <v>女</v>
      </c>
      <c r="F333" s="4" t="str">
        <f>"1993-03-01"</f>
        <v>1993-03-01</v>
      </c>
      <c r="G333" s="4" t="str">
        <f t="shared" si="78"/>
        <v>本科</v>
      </c>
      <c r="H333" s="4" t="str">
        <f t="shared" si="86"/>
        <v>学士</v>
      </c>
      <c r="I333" s="4" t="str">
        <f>"资源环境与城乡规划管理"</f>
        <v>资源环境与城乡规划管理</v>
      </c>
      <c r="J333" s="4" t="str">
        <f>"无"</f>
        <v>无</v>
      </c>
    </row>
    <row r="334" spans="1:10" ht="27" customHeight="1">
      <c r="A334" s="4">
        <v>332</v>
      </c>
      <c r="B334" s="4" t="str">
        <f>"225720191217183146226020"</f>
        <v>225720191217183146226020</v>
      </c>
      <c r="C334" s="4" t="s">
        <v>11</v>
      </c>
      <c r="D334" s="4" t="str">
        <f>"王康哲"</f>
        <v>王康哲</v>
      </c>
      <c r="E334" s="4" t="str">
        <f>"男"</f>
        <v>男</v>
      </c>
      <c r="F334" s="4" t="str">
        <f>"1991-07-17"</f>
        <v>1991-07-17</v>
      </c>
      <c r="G334" s="4" t="str">
        <f t="shared" si="78"/>
        <v>本科</v>
      </c>
      <c r="H334" s="4" t="str">
        <f t="shared" si="86"/>
        <v>学士</v>
      </c>
      <c r="I334" s="4" t="str">
        <f>"通信工程"</f>
        <v>通信工程</v>
      </c>
      <c r="J334" s="4" t="str">
        <f>"无"</f>
        <v>无</v>
      </c>
    </row>
    <row r="335" spans="1:10" ht="27" customHeight="1">
      <c r="A335" s="4">
        <v>333</v>
      </c>
      <c r="B335" s="4" t="str">
        <f>"225720191217184827226024"</f>
        <v>225720191217184827226024</v>
      </c>
      <c r="C335" s="4" t="s">
        <v>12</v>
      </c>
      <c r="D335" s="4" t="str">
        <f>"符志甄"</f>
        <v>符志甄</v>
      </c>
      <c r="E335" s="4" t="str">
        <f>"女"</f>
        <v>女</v>
      </c>
      <c r="F335" s="4" t="str">
        <f>"1999-09-30"</f>
        <v>1999-09-30</v>
      </c>
      <c r="G335" s="4" t="str">
        <f t="shared" si="78"/>
        <v>本科</v>
      </c>
      <c r="H335" s="4" t="str">
        <f t="shared" si="86"/>
        <v>学士</v>
      </c>
      <c r="I335" s="4" t="str">
        <f>"法学"</f>
        <v>法学</v>
      </c>
      <c r="J335" s="4" t="str">
        <f>"无"</f>
        <v>无</v>
      </c>
    </row>
    <row r="336" spans="1:10" ht="27" customHeight="1">
      <c r="A336" s="4">
        <v>334</v>
      </c>
      <c r="B336" s="4" t="str">
        <f>"225720191217185338226026"</f>
        <v>225720191217185338226026</v>
      </c>
      <c r="C336" s="4" t="s">
        <v>12</v>
      </c>
      <c r="D336" s="4" t="str">
        <f>"陈亚开"</f>
        <v>陈亚开</v>
      </c>
      <c r="E336" s="4" t="str">
        <f aca="true" t="shared" si="87" ref="E336:E343">"男"</f>
        <v>男</v>
      </c>
      <c r="F336" s="4" t="str">
        <f>"1993-04-20"</f>
        <v>1993-04-20</v>
      </c>
      <c r="G336" s="4" t="str">
        <f t="shared" si="78"/>
        <v>本科</v>
      </c>
      <c r="H336" s="4" t="str">
        <f t="shared" si="86"/>
        <v>学士</v>
      </c>
      <c r="I336" s="4" t="str">
        <f>"汉语言文学"</f>
        <v>汉语言文学</v>
      </c>
      <c r="J336" s="4" t="str">
        <f>"无"</f>
        <v>无</v>
      </c>
    </row>
    <row r="337" spans="1:10" ht="27" customHeight="1">
      <c r="A337" s="4">
        <v>335</v>
      </c>
      <c r="B337" s="4" t="str">
        <f>"225720191217190712226031"</f>
        <v>225720191217190712226031</v>
      </c>
      <c r="C337" s="4" t="s">
        <v>12</v>
      </c>
      <c r="D337" s="4" t="str">
        <f>"王丹媚"</f>
        <v>王丹媚</v>
      </c>
      <c r="E337" s="4" t="str">
        <f>"女"</f>
        <v>女</v>
      </c>
      <c r="F337" s="4" t="str">
        <f>"1997-05-21"</f>
        <v>1997-05-21</v>
      </c>
      <c r="G337" s="4" t="str">
        <f t="shared" si="78"/>
        <v>本科</v>
      </c>
      <c r="H337" s="4" t="str">
        <f t="shared" si="86"/>
        <v>学士</v>
      </c>
      <c r="I337" s="4" t="str">
        <f>"土地资源管理"</f>
        <v>土地资源管理</v>
      </c>
      <c r="J337" s="4" t="str">
        <f>"无"</f>
        <v>无</v>
      </c>
    </row>
    <row r="338" spans="1:10" ht="27" customHeight="1">
      <c r="A338" s="4">
        <v>336</v>
      </c>
      <c r="B338" s="4" t="str">
        <f>"225720191217193159226038"</f>
        <v>225720191217193159226038</v>
      </c>
      <c r="C338" s="4" t="s">
        <v>13</v>
      </c>
      <c r="D338" s="4" t="str">
        <f>"陈小宇"</f>
        <v>陈小宇</v>
      </c>
      <c r="E338" s="4" t="str">
        <f>"女"</f>
        <v>女</v>
      </c>
      <c r="F338" s="4" t="str">
        <f>"1987-04-25"</f>
        <v>1987-04-25</v>
      </c>
      <c r="G338" s="4" t="str">
        <f t="shared" si="78"/>
        <v>本科</v>
      </c>
      <c r="H338" s="4" t="str">
        <f t="shared" si="86"/>
        <v>学士</v>
      </c>
      <c r="I338" s="4" t="str">
        <f>"新闻学"</f>
        <v>新闻学</v>
      </c>
      <c r="J338" s="4" t="str">
        <f>"三级企业人力资源管理师"</f>
        <v>三级企业人力资源管理师</v>
      </c>
    </row>
    <row r="339" spans="1:10" ht="27" customHeight="1">
      <c r="A339" s="4">
        <v>337</v>
      </c>
      <c r="B339" s="4" t="str">
        <f>"225720191217195758226046"</f>
        <v>225720191217195758226046</v>
      </c>
      <c r="C339" s="4" t="s">
        <v>12</v>
      </c>
      <c r="D339" s="4" t="str">
        <f>"黄小倩"</f>
        <v>黄小倩</v>
      </c>
      <c r="E339" s="4" t="str">
        <f>"女"</f>
        <v>女</v>
      </c>
      <c r="F339" s="4" t="str">
        <f>"1992-04-19"</f>
        <v>1992-04-19</v>
      </c>
      <c r="G339" s="4" t="str">
        <f t="shared" si="78"/>
        <v>本科</v>
      </c>
      <c r="H339" s="4" t="str">
        <f t="shared" si="86"/>
        <v>学士</v>
      </c>
      <c r="I339" s="4" t="str">
        <f>"汉语言文学专业"</f>
        <v>汉语言文学专业</v>
      </c>
      <c r="J339" s="4" t="str">
        <f>"无"</f>
        <v>无</v>
      </c>
    </row>
    <row r="340" spans="1:10" ht="27" customHeight="1">
      <c r="A340" s="4">
        <v>338</v>
      </c>
      <c r="B340" s="4" t="str">
        <f>"225720191217201337226050"</f>
        <v>225720191217201337226050</v>
      </c>
      <c r="C340" s="4" t="s">
        <v>12</v>
      </c>
      <c r="D340" s="4" t="str">
        <f>"吴隆"</f>
        <v>吴隆</v>
      </c>
      <c r="E340" s="4" t="str">
        <f t="shared" si="87"/>
        <v>男</v>
      </c>
      <c r="F340" s="4" t="str">
        <f>"1993-06-18"</f>
        <v>1993-06-18</v>
      </c>
      <c r="G340" s="4" t="str">
        <f t="shared" si="78"/>
        <v>本科</v>
      </c>
      <c r="H340" s="4" t="str">
        <f t="shared" si="86"/>
        <v>学士</v>
      </c>
      <c r="I340" s="4" t="str">
        <f aca="true" t="shared" si="88" ref="I340:I345">"汉语言文学"</f>
        <v>汉语言文学</v>
      </c>
      <c r="J340" s="4" t="str">
        <f>"无"</f>
        <v>无</v>
      </c>
    </row>
    <row r="341" spans="1:10" ht="27" customHeight="1">
      <c r="A341" s="4">
        <v>339</v>
      </c>
      <c r="B341" s="4" t="str">
        <f>"225720191217201703226052"</f>
        <v>225720191217201703226052</v>
      </c>
      <c r="C341" s="4" t="s">
        <v>12</v>
      </c>
      <c r="D341" s="4" t="str">
        <f>"唐运诗"</f>
        <v>唐运诗</v>
      </c>
      <c r="E341" s="4" t="str">
        <f t="shared" si="87"/>
        <v>男</v>
      </c>
      <c r="F341" s="4" t="str">
        <f>"1997-10-25"</f>
        <v>1997-10-25</v>
      </c>
      <c r="G341" s="4" t="str">
        <f t="shared" si="78"/>
        <v>本科</v>
      </c>
      <c r="H341" s="4" t="str">
        <f t="shared" si="86"/>
        <v>学士</v>
      </c>
      <c r="I341" s="4" t="str">
        <f>"土地资源管理"</f>
        <v>土地资源管理</v>
      </c>
      <c r="J341" s="4" t="str">
        <f>"业务员"</f>
        <v>业务员</v>
      </c>
    </row>
    <row r="342" spans="1:10" ht="27" customHeight="1">
      <c r="A342" s="4">
        <v>340</v>
      </c>
      <c r="B342" s="4" t="str">
        <f>"225720191217203050226058"</f>
        <v>225720191217203050226058</v>
      </c>
      <c r="C342" s="4" t="s">
        <v>16</v>
      </c>
      <c r="D342" s="4" t="str">
        <f>"陈壮锦"</f>
        <v>陈壮锦</v>
      </c>
      <c r="E342" s="4" t="str">
        <f t="shared" si="87"/>
        <v>男</v>
      </c>
      <c r="F342" s="4" t="str">
        <f>"1990-07-02"</f>
        <v>1990-07-02</v>
      </c>
      <c r="G342" s="4" t="str">
        <f t="shared" si="78"/>
        <v>本科</v>
      </c>
      <c r="H342" s="4" t="str">
        <f t="shared" si="86"/>
        <v>学士</v>
      </c>
      <c r="I342" s="4" t="str">
        <f>"资源环境与城乡规划管理"</f>
        <v>资源环境与城乡规划管理</v>
      </c>
      <c r="J342" s="4" t="str">
        <f>"无"</f>
        <v>无</v>
      </c>
    </row>
    <row r="343" spans="1:10" ht="27" customHeight="1">
      <c r="A343" s="4">
        <v>341</v>
      </c>
      <c r="B343" s="4" t="str">
        <f>"225720191217203117226059"</f>
        <v>225720191217203117226059</v>
      </c>
      <c r="C343" s="4" t="s">
        <v>11</v>
      </c>
      <c r="D343" s="4" t="str">
        <f>"郑声浩"</f>
        <v>郑声浩</v>
      </c>
      <c r="E343" s="4" t="str">
        <f t="shared" si="87"/>
        <v>男</v>
      </c>
      <c r="F343" s="4" t="str">
        <f>"1994-06-22"</f>
        <v>1994-06-22</v>
      </c>
      <c r="G343" s="4" t="str">
        <f t="shared" si="78"/>
        <v>本科</v>
      </c>
      <c r="H343" s="4" t="str">
        <f t="shared" si="86"/>
        <v>学士</v>
      </c>
      <c r="I343" s="4" t="str">
        <f>"计算机科学与技术"</f>
        <v>计算机科学与技术</v>
      </c>
      <c r="J343" s="4" t="str">
        <f>"无"</f>
        <v>无</v>
      </c>
    </row>
    <row r="344" spans="1:10" ht="27" customHeight="1">
      <c r="A344" s="4">
        <v>342</v>
      </c>
      <c r="B344" s="4" t="str">
        <f>"225720191217204354226062"</f>
        <v>225720191217204354226062</v>
      </c>
      <c r="C344" s="4" t="s">
        <v>12</v>
      </c>
      <c r="D344" s="4" t="str">
        <f>"陈铭蔚"</f>
        <v>陈铭蔚</v>
      </c>
      <c r="E344" s="4" t="str">
        <f aca="true" t="shared" si="89" ref="E344:E350">"女"</f>
        <v>女</v>
      </c>
      <c r="F344" s="4" t="str">
        <f>"1989-10-25"</f>
        <v>1989-10-25</v>
      </c>
      <c r="G344" s="4" t="str">
        <f t="shared" si="78"/>
        <v>本科</v>
      </c>
      <c r="H344" s="4" t="str">
        <f t="shared" si="86"/>
        <v>学士</v>
      </c>
      <c r="I344" s="4" t="str">
        <f t="shared" si="88"/>
        <v>汉语言文学</v>
      </c>
      <c r="J344" s="4" t="str">
        <f>"初级"</f>
        <v>初级</v>
      </c>
    </row>
    <row r="345" spans="1:10" ht="27" customHeight="1">
      <c r="A345" s="4">
        <v>343</v>
      </c>
      <c r="B345" s="4" t="str">
        <f>"225720191217204604226064"</f>
        <v>225720191217204604226064</v>
      </c>
      <c r="C345" s="4" t="s">
        <v>12</v>
      </c>
      <c r="D345" s="4" t="str">
        <f>"孟凡琪"</f>
        <v>孟凡琪</v>
      </c>
      <c r="E345" s="4" t="str">
        <f>"男"</f>
        <v>男</v>
      </c>
      <c r="F345" s="4" t="str">
        <f>"1990-11-24"</f>
        <v>1990-11-24</v>
      </c>
      <c r="G345" s="4" t="str">
        <f t="shared" si="78"/>
        <v>本科</v>
      </c>
      <c r="H345" s="4" t="str">
        <f t="shared" si="86"/>
        <v>学士</v>
      </c>
      <c r="I345" s="4" t="str">
        <f t="shared" si="88"/>
        <v>汉语言文学</v>
      </c>
      <c r="J345" s="4" t="str">
        <f>"无"</f>
        <v>无</v>
      </c>
    </row>
    <row r="346" spans="1:10" ht="27" customHeight="1">
      <c r="A346" s="4">
        <v>344</v>
      </c>
      <c r="B346" s="4" t="str">
        <f>"225720191217211042226080"</f>
        <v>225720191217211042226080</v>
      </c>
      <c r="C346" s="4" t="s">
        <v>16</v>
      </c>
      <c r="D346" s="4" t="str">
        <f>"邢增尊"</f>
        <v>邢增尊</v>
      </c>
      <c r="E346" s="4" t="str">
        <f>"男"</f>
        <v>男</v>
      </c>
      <c r="F346" s="4" t="str">
        <f>"1997-05-25"</f>
        <v>1997-05-25</v>
      </c>
      <c r="G346" s="4" t="str">
        <f t="shared" si="78"/>
        <v>本科</v>
      </c>
      <c r="H346" s="4" t="str">
        <f t="shared" si="86"/>
        <v>学士</v>
      </c>
      <c r="I346" s="4" t="str">
        <f>"地理信息科学"</f>
        <v>地理信息科学</v>
      </c>
      <c r="J346" s="4" t="str">
        <f>"无"</f>
        <v>无</v>
      </c>
    </row>
    <row r="347" spans="1:10" ht="27" customHeight="1">
      <c r="A347" s="4">
        <v>345</v>
      </c>
      <c r="B347" s="4" t="str">
        <f>"225720191217211442226081"</f>
        <v>225720191217211442226081</v>
      </c>
      <c r="C347" s="4" t="s">
        <v>12</v>
      </c>
      <c r="D347" s="4" t="str">
        <f>"黄锦"</f>
        <v>黄锦</v>
      </c>
      <c r="E347" s="4" t="str">
        <f t="shared" si="89"/>
        <v>女</v>
      </c>
      <c r="F347" s="4" t="str">
        <f>"1995-01-03"</f>
        <v>1995-01-03</v>
      </c>
      <c r="G347" s="4" t="str">
        <f>"研究生"</f>
        <v>研究生</v>
      </c>
      <c r="H347" s="4" t="str">
        <f>"硕士"</f>
        <v>硕士</v>
      </c>
      <c r="I347" s="4" t="str">
        <f>"汉语言文学"</f>
        <v>汉语言文学</v>
      </c>
      <c r="J347" s="4" t="str">
        <f>"无"</f>
        <v>无</v>
      </c>
    </row>
    <row r="348" spans="1:10" ht="27" customHeight="1">
      <c r="A348" s="4">
        <v>346</v>
      </c>
      <c r="B348" s="4" t="str">
        <f>"225720191217211923226084"</f>
        <v>225720191217211923226084</v>
      </c>
      <c r="C348" s="4" t="s">
        <v>12</v>
      </c>
      <c r="D348" s="4" t="str">
        <f>"杜小燕"</f>
        <v>杜小燕</v>
      </c>
      <c r="E348" s="4" t="str">
        <f t="shared" si="89"/>
        <v>女</v>
      </c>
      <c r="F348" s="4" t="str">
        <f>"1992-09-07"</f>
        <v>1992-09-07</v>
      </c>
      <c r="G348" s="4" t="str">
        <f aca="true" t="shared" si="90" ref="G348:G370">"本科"</f>
        <v>本科</v>
      </c>
      <c r="H348" s="4" t="str">
        <f aca="true" t="shared" si="91" ref="H348:H366">"学士"</f>
        <v>学士</v>
      </c>
      <c r="I348" s="4" t="str">
        <f>"人文地理与城乡规划"</f>
        <v>人文地理与城乡规划</v>
      </c>
      <c r="J348" s="4" t="str">
        <f>"无"</f>
        <v>无</v>
      </c>
    </row>
    <row r="349" spans="1:10" ht="27" customHeight="1">
      <c r="A349" s="4">
        <v>347</v>
      </c>
      <c r="B349" s="4" t="str">
        <f>"225720191217212259226085"</f>
        <v>225720191217212259226085</v>
      </c>
      <c r="C349" s="4" t="s">
        <v>16</v>
      </c>
      <c r="D349" s="4" t="str">
        <f>"陈蜻"</f>
        <v>陈蜻</v>
      </c>
      <c r="E349" s="4" t="str">
        <f t="shared" si="89"/>
        <v>女</v>
      </c>
      <c r="F349" s="4" t="str">
        <f>"1991-03-07"</f>
        <v>1991-03-07</v>
      </c>
      <c r="G349" s="4" t="str">
        <f t="shared" si="90"/>
        <v>本科</v>
      </c>
      <c r="H349" s="4" t="str">
        <f t="shared" si="91"/>
        <v>学士</v>
      </c>
      <c r="I349" s="4" t="str">
        <f>"地理信息系统"</f>
        <v>地理信息系统</v>
      </c>
      <c r="J349" s="4" t="str">
        <f>"无"</f>
        <v>无</v>
      </c>
    </row>
    <row r="350" spans="1:10" ht="27" customHeight="1">
      <c r="A350" s="4">
        <v>348</v>
      </c>
      <c r="B350" s="4" t="str">
        <f>"225720191217213654226090"</f>
        <v>225720191217213654226090</v>
      </c>
      <c r="C350" s="4" t="s">
        <v>18</v>
      </c>
      <c r="D350" s="4" t="str">
        <f>"谢慧慧"</f>
        <v>谢慧慧</v>
      </c>
      <c r="E350" s="4" t="str">
        <f t="shared" si="89"/>
        <v>女</v>
      </c>
      <c r="F350" s="4" t="str">
        <f>"1994-11-11"</f>
        <v>1994-11-11</v>
      </c>
      <c r="G350" s="4" t="str">
        <f t="shared" si="90"/>
        <v>本科</v>
      </c>
      <c r="H350" s="4" t="str">
        <f t="shared" si="91"/>
        <v>学士</v>
      </c>
      <c r="I350" s="4" t="str">
        <f>"行政管理（辅修注册会计）"</f>
        <v>行政管理（辅修注册会计）</v>
      </c>
      <c r="J350" s="4" t="str">
        <f>"初级会计师"</f>
        <v>初级会计师</v>
      </c>
    </row>
    <row r="351" spans="1:10" ht="27" customHeight="1">
      <c r="A351" s="4">
        <v>349</v>
      </c>
      <c r="B351" s="4" t="str">
        <f>"225720191217213839226091"</f>
        <v>225720191217213839226091</v>
      </c>
      <c r="C351" s="4" t="s">
        <v>17</v>
      </c>
      <c r="D351" s="4" t="str">
        <f>"符智强"</f>
        <v>符智强</v>
      </c>
      <c r="E351" s="4" t="str">
        <f aca="true" t="shared" si="92" ref="E351:E356">"男"</f>
        <v>男</v>
      </c>
      <c r="F351" s="4" t="str">
        <f>"1987-07-05"</f>
        <v>1987-07-05</v>
      </c>
      <c r="G351" s="4" t="str">
        <f t="shared" si="90"/>
        <v>本科</v>
      </c>
      <c r="H351" s="4" t="str">
        <f t="shared" si="91"/>
        <v>学士</v>
      </c>
      <c r="I351" s="4" t="str">
        <f>"计算机科学与技术"</f>
        <v>计算机科学与技术</v>
      </c>
      <c r="J351" s="4" t="str">
        <f aca="true" t="shared" si="93" ref="J351:J358">"无"</f>
        <v>无</v>
      </c>
    </row>
    <row r="352" spans="1:10" ht="27" customHeight="1">
      <c r="A352" s="4">
        <v>350</v>
      </c>
      <c r="B352" s="4" t="str">
        <f>"225720191217214255226092"</f>
        <v>225720191217214255226092</v>
      </c>
      <c r="C352" s="4" t="s">
        <v>12</v>
      </c>
      <c r="D352" s="4" t="str">
        <f>"张琳"</f>
        <v>张琳</v>
      </c>
      <c r="E352" s="4" t="str">
        <f>"女"</f>
        <v>女</v>
      </c>
      <c r="F352" s="4" t="str">
        <f>"1995-11-24"</f>
        <v>1995-11-24</v>
      </c>
      <c r="G352" s="4" t="str">
        <f t="shared" si="90"/>
        <v>本科</v>
      </c>
      <c r="H352" s="4" t="str">
        <f t="shared" si="91"/>
        <v>学士</v>
      </c>
      <c r="I352" s="4" t="str">
        <f>"汉语言文学"</f>
        <v>汉语言文学</v>
      </c>
      <c r="J352" s="4" t="str">
        <f t="shared" si="93"/>
        <v>无</v>
      </c>
    </row>
    <row r="353" spans="1:10" ht="27" customHeight="1">
      <c r="A353" s="4">
        <v>351</v>
      </c>
      <c r="B353" s="4" t="str">
        <f>"225720191217215112226097"</f>
        <v>225720191217215112226097</v>
      </c>
      <c r="C353" s="4" t="s">
        <v>11</v>
      </c>
      <c r="D353" s="4" t="str">
        <f>"覃柯"</f>
        <v>覃柯</v>
      </c>
      <c r="E353" s="4" t="str">
        <f t="shared" si="92"/>
        <v>男</v>
      </c>
      <c r="F353" s="4" t="str">
        <f>"1997-01-31"</f>
        <v>1997-01-31</v>
      </c>
      <c r="G353" s="4" t="str">
        <f t="shared" si="90"/>
        <v>本科</v>
      </c>
      <c r="H353" s="4" t="str">
        <f t="shared" si="91"/>
        <v>学士</v>
      </c>
      <c r="I353" s="4" t="str">
        <f>"计算机科学与技术"</f>
        <v>计算机科学与技术</v>
      </c>
      <c r="J353" s="4" t="str">
        <f t="shared" si="93"/>
        <v>无</v>
      </c>
    </row>
    <row r="354" spans="1:10" ht="27" customHeight="1">
      <c r="A354" s="4">
        <v>352</v>
      </c>
      <c r="B354" s="4" t="str">
        <f>"225720191217215211226098"</f>
        <v>225720191217215211226098</v>
      </c>
      <c r="C354" s="4" t="s">
        <v>17</v>
      </c>
      <c r="D354" s="4" t="str">
        <f>"王娟"</f>
        <v>王娟</v>
      </c>
      <c r="E354" s="4" t="str">
        <f>"女"</f>
        <v>女</v>
      </c>
      <c r="F354" s="4" t="str">
        <f>"1992-10-23"</f>
        <v>1992-10-23</v>
      </c>
      <c r="G354" s="4" t="str">
        <f t="shared" si="90"/>
        <v>本科</v>
      </c>
      <c r="H354" s="4" t="str">
        <f t="shared" si="91"/>
        <v>学士</v>
      </c>
      <c r="I354" s="4" t="str">
        <f>"计算机科学与技术"</f>
        <v>计算机科学与技术</v>
      </c>
      <c r="J354" s="4" t="str">
        <f t="shared" si="93"/>
        <v>无</v>
      </c>
    </row>
    <row r="355" spans="1:10" ht="27" customHeight="1">
      <c r="A355" s="4">
        <v>353</v>
      </c>
      <c r="B355" s="4" t="str">
        <f>"225720191217220038226100"</f>
        <v>225720191217220038226100</v>
      </c>
      <c r="C355" s="4" t="s">
        <v>16</v>
      </c>
      <c r="D355" s="4" t="str">
        <f>"邝美娟"</f>
        <v>邝美娟</v>
      </c>
      <c r="E355" s="4" t="str">
        <f>"女"</f>
        <v>女</v>
      </c>
      <c r="F355" s="4" t="str">
        <f>"1990-04-04"</f>
        <v>1990-04-04</v>
      </c>
      <c r="G355" s="4" t="str">
        <f t="shared" si="90"/>
        <v>本科</v>
      </c>
      <c r="H355" s="4" t="str">
        <f t="shared" si="91"/>
        <v>学士</v>
      </c>
      <c r="I355" s="4" t="str">
        <f>"资源环境与城乡规划管理"</f>
        <v>资源环境与城乡规划管理</v>
      </c>
      <c r="J355" s="4" t="str">
        <f t="shared" si="93"/>
        <v>无</v>
      </c>
    </row>
    <row r="356" spans="1:10" ht="27" customHeight="1">
      <c r="A356" s="4">
        <v>354</v>
      </c>
      <c r="B356" s="4" t="str">
        <f>"225720191217221007226103"</f>
        <v>225720191217221007226103</v>
      </c>
      <c r="C356" s="4" t="s">
        <v>11</v>
      </c>
      <c r="D356" s="4" t="str">
        <f>"邢益伟"</f>
        <v>邢益伟</v>
      </c>
      <c r="E356" s="4" t="str">
        <f t="shared" si="92"/>
        <v>男</v>
      </c>
      <c r="F356" s="4" t="str">
        <f>"1986-01-06"</f>
        <v>1986-01-06</v>
      </c>
      <c r="G356" s="4" t="str">
        <f t="shared" si="90"/>
        <v>本科</v>
      </c>
      <c r="H356" s="4" t="str">
        <f t="shared" si="91"/>
        <v>学士</v>
      </c>
      <c r="I356" s="4" t="str">
        <f>"通信工程"</f>
        <v>通信工程</v>
      </c>
      <c r="J356" s="4" t="str">
        <f t="shared" si="93"/>
        <v>无</v>
      </c>
    </row>
    <row r="357" spans="1:10" ht="27" customHeight="1">
      <c r="A357" s="4">
        <v>355</v>
      </c>
      <c r="B357" s="4" t="str">
        <f>"225720191217221442226106"</f>
        <v>225720191217221442226106</v>
      </c>
      <c r="C357" s="4" t="s">
        <v>12</v>
      </c>
      <c r="D357" s="4" t="str">
        <f>"许赛菊"</f>
        <v>许赛菊</v>
      </c>
      <c r="E357" s="4" t="str">
        <f>"女"</f>
        <v>女</v>
      </c>
      <c r="F357" s="4" t="str">
        <f>"1993-12-19"</f>
        <v>1993-12-19</v>
      </c>
      <c r="G357" s="4" t="str">
        <f t="shared" si="90"/>
        <v>本科</v>
      </c>
      <c r="H357" s="4" t="str">
        <f t="shared" si="91"/>
        <v>学士</v>
      </c>
      <c r="I357" s="4" t="str">
        <f>"汉语言文学"</f>
        <v>汉语言文学</v>
      </c>
      <c r="J357" s="4" t="str">
        <f t="shared" si="93"/>
        <v>无</v>
      </c>
    </row>
    <row r="358" spans="1:10" ht="27" customHeight="1">
      <c r="A358" s="4">
        <v>356</v>
      </c>
      <c r="B358" s="4" t="str">
        <f>"225720191217221532226107"</f>
        <v>225720191217221532226107</v>
      </c>
      <c r="C358" s="4" t="s">
        <v>16</v>
      </c>
      <c r="D358" s="4" t="str">
        <f>"李潮意"</f>
        <v>李潮意</v>
      </c>
      <c r="E358" s="4" t="str">
        <f>"女"</f>
        <v>女</v>
      </c>
      <c r="F358" s="4" t="str">
        <f>"1996-09-23"</f>
        <v>1996-09-23</v>
      </c>
      <c r="G358" s="4" t="str">
        <f t="shared" si="90"/>
        <v>本科</v>
      </c>
      <c r="H358" s="4" t="str">
        <f t="shared" si="91"/>
        <v>学士</v>
      </c>
      <c r="I358" s="4" t="str">
        <f>"地理信息科学"</f>
        <v>地理信息科学</v>
      </c>
      <c r="J358" s="4" t="str">
        <f t="shared" si="93"/>
        <v>无</v>
      </c>
    </row>
    <row r="359" spans="1:10" ht="27" customHeight="1">
      <c r="A359" s="4">
        <v>357</v>
      </c>
      <c r="B359" s="4" t="str">
        <f>"225720191217222258226110"</f>
        <v>225720191217222258226110</v>
      </c>
      <c r="C359" s="4" t="s">
        <v>11</v>
      </c>
      <c r="D359" s="4" t="str">
        <f>"李育霖"</f>
        <v>李育霖</v>
      </c>
      <c r="E359" s="4" t="str">
        <f>"女"</f>
        <v>女</v>
      </c>
      <c r="F359" s="4" t="str">
        <f>"1985-03-01"</f>
        <v>1985-03-01</v>
      </c>
      <c r="G359" s="4" t="str">
        <f t="shared" si="90"/>
        <v>本科</v>
      </c>
      <c r="H359" s="4" t="str">
        <f t="shared" si="91"/>
        <v>学士</v>
      </c>
      <c r="I359" s="4" t="str">
        <f>"通信工程"</f>
        <v>通信工程</v>
      </c>
      <c r="J359" s="4" t="str">
        <f>"运维主管"</f>
        <v>运维主管</v>
      </c>
    </row>
    <row r="360" spans="1:10" ht="27" customHeight="1">
      <c r="A360" s="4">
        <v>358</v>
      </c>
      <c r="B360" s="4" t="str">
        <f>"225720191217222455226111"</f>
        <v>225720191217222455226111</v>
      </c>
      <c r="C360" s="4" t="s">
        <v>16</v>
      </c>
      <c r="D360" s="4" t="str">
        <f>"杜红春"</f>
        <v>杜红春</v>
      </c>
      <c r="E360" s="4" t="str">
        <f>"女"</f>
        <v>女</v>
      </c>
      <c r="F360" s="4" t="str">
        <f>"1995-03-09"</f>
        <v>1995-03-09</v>
      </c>
      <c r="G360" s="4" t="str">
        <f t="shared" si="90"/>
        <v>本科</v>
      </c>
      <c r="H360" s="4" t="str">
        <f t="shared" si="91"/>
        <v>学士</v>
      </c>
      <c r="I360" s="4" t="str">
        <f>"地理信息科学"</f>
        <v>地理信息科学</v>
      </c>
      <c r="J360" s="4" t="str">
        <f>"无"</f>
        <v>无</v>
      </c>
    </row>
    <row r="361" spans="1:10" ht="27" customHeight="1">
      <c r="A361" s="4">
        <v>359</v>
      </c>
      <c r="B361" s="4" t="str">
        <f>"225720191217223240226114"</f>
        <v>225720191217223240226114</v>
      </c>
      <c r="C361" s="4" t="s">
        <v>11</v>
      </c>
      <c r="D361" s="4" t="str">
        <f>"符芳蔚"</f>
        <v>符芳蔚</v>
      </c>
      <c r="E361" s="4" t="str">
        <f>"男"</f>
        <v>男</v>
      </c>
      <c r="F361" s="4" t="str">
        <f>"1992-09-27"</f>
        <v>1992-09-27</v>
      </c>
      <c r="G361" s="4" t="str">
        <f t="shared" si="90"/>
        <v>本科</v>
      </c>
      <c r="H361" s="4" t="str">
        <f t="shared" si="91"/>
        <v>学士</v>
      </c>
      <c r="I361" s="4" t="str">
        <f>"计算机科学与技术"</f>
        <v>计算机科学与技术</v>
      </c>
      <c r="J361" s="4" t="str">
        <f>"无"</f>
        <v>无</v>
      </c>
    </row>
    <row r="362" spans="1:10" ht="27" customHeight="1">
      <c r="A362" s="4">
        <v>360</v>
      </c>
      <c r="B362" s="4" t="str">
        <f>"225720191217224619226119"</f>
        <v>225720191217224619226119</v>
      </c>
      <c r="C362" s="4" t="s">
        <v>16</v>
      </c>
      <c r="D362" s="4" t="str">
        <f>"王莹"</f>
        <v>王莹</v>
      </c>
      <c r="E362" s="4" t="str">
        <f>"女"</f>
        <v>女</v>
      </c>
      <c r="F362" s="4" t="str">
        <f>"1994-07-05"</f>
        <v>1994-07-05</v>
      </c>
      <c r="G362" s="4" t="str">
        <f t="shared" si="90"/>
        <v>本科</v>
      </c>
      <c r="H362" s="4" t="str">
        <f t="shared" si="91"/>
        <v>学士</v>
      </c>
      <c r="I362" s="4" t="str">
        <f>"地理信息系统"</f>
        <v>地理信息系统</v>
      </c>
      <c r="J362" s="4" t="str">
        <f>"无"</f>
        <v>无</v>
      </c>
    </row>
    <row r="363" spans="1:10" ht="27" customHeight="1">
      <c r="A363" s="4">
        <v>361</v>
      </c>
      <c r="B363" s="4" t="str">
        <f>"225720191217225119226121"</f>
        <v>225720191217225119226121</v>
      </c>
      <c r="C363" s="4" t="s">
        <v>12</v>
      </c>
      <c r="D363" s="4" t="str">
        <f>"郑灵"</f>
        <v>郑灵</v>
      </c>
      <c r="E363" s="4" t="str">
        <f>"女"</f>
        <v>女</v>
      </c>
      <c r="F363" s="4" t="str">
        <f>"1993-06-06"</f>
        <v>1993-06-06</v>
      </c>
      <c r="G363" s="4" t="str">
        <f t="shared" si="90"/>
        <v>本科</v>
      </c>
      <c r="H363" s="4" t="str">
        <f t="shared" si="91"/>
        <v>学士</v>
      </c>
      <c r="I363" s="4" t="str">
        <f>"城市规划"</f>
        <v>城市规划</v>
      </c>
      <c r="J363" s="4" t="str">
        <f>"技术人员"</f>
        <v>技术人员</v>
      </c>
    </row>
    <row r="364" spans="1:10" ht="27" customHeight="1">
      <c r="A364" s="4">
        <v>362</v>
      </c>
      <c r="B364" s="4" t="str">
        <f>"225720191217230004226124"</f>
        <v>225720191217230004226124</v>
      </c>
      <c r="C364" s="4" t="s">
        <v>17</v>
      </c>
      <c r="D364" s="4" t="str">
        <f>"李皎余"</f>
        <v>李皎余</v>
      </c>
      <c r="E364" s="4" t="str">
        <f>"女"</f>
        <v>女</v>
      </c>
      <c r="F364" s="4" t="str">
        <f>"1987-02-04"</f>
        <v>1987-02-04</v>
      </c>
      <c r="G364" s="4" t="str">
        <f t="shared" si="90"/>
        <v>本科</v>
      </c>
      <c r="H364" s="4" t="str">
        <f t="shared" si="91"/>
        <v>学士</v>
      </c>
      <c r="I364" s="4" t="str">
        <f>"计算机科学与技术"</f>
        <v>计算机科学与技术</v>
      </c>
      <c r="J364" s="4" t="str">
        <f>"高级网络程序员（三级）"</f>
        <v>高级网络程序员（三级）</v>
      </c>
    </row>
    <row r="365" spans="1:10" ht="27" customHeight="1">
      <c r="A365" s="4">
        <v>363</v>
      </c>
      <c r="B365" s="4" t="str">
        <f>"225720191217231240226129"</f>
        <v>225720191217231240226129</v>
      </c>
      <c r="C365" s="4" t="s">
        <v>12</v>
      </c>
      <c r="D365" s="4" t="str">
        <f>"曾雯奕"</f>
        <v>曾雯奕</v>
      </c>
      <c r="E365" s="4" t="str">
        <f>"女"</f>
        <v>女</v>
      </c>
      <c r="F365" s="4" t="str">
        <f>"1991-09-13"</f>
        <v>1991-09-13</v>
      </c>
      <c r="G365" s="4" t="str">
        <f t="shared" si="90"/>
        <v>本科</v>
      </c>
      <c r="H365" s="4" t="str">
        <f t="shared" si="91"/>
        <v>学士</v>
      </c>
      <c r="I365" s="4" t="str">
        <f>"法学"</f>
        <v>法学</v>
      </c>
      <c r="J365" s="4" t="str">
        <f>"无"</f>
        <v>无</v>
      </c>
    </row>
    <row r="366" spans="1:10" ht="27" customHeight="1">
      <c r="A366" s="4">
        <v>364</v>
      </c>
      <c r="B366" s="4" t="str">
        <f>"225720191217231840226133"</f>
        <v>225720191217231840226133</v>
      </c>
      <c r="C366" s="4" t="s">
        <v>14</v>
      </c>
      <c r="D366" s="4" t="str">
        <f>"黄谋福"</f>
        <v>黄谋福</v>
      </c>
      <c r="E366" s="4" t="str">
        <f>"男"</f>
        <v>男</v>
      </c>
      <c r="F366" s="4" t="str">
        <f>"1991-10-01"</f>
        <v>1991-10-01</v>
      </c>
      <c r="G366" s="4" t="str">
        <f t="shared" si="90"/>
        <v>本科</v>
      </c>
      <c r="H366" s="4" t="str">
        <f t="shared" si="91"/>
        <v>学士</v>
      </c>
      <c r="I366" s="4" t="str">
        <f>"遥感科学与技术"</f>
        <v>遥感科学与技术</v>
      </c>
      <c r="J366" s="4" t="str">
        <f>"无"</f>
        <v>无</v>
      </c>
    </row>
    <row r="367" spans="1:10" ht="27" customHeight="1">
      <c r="A367" s="4">
        <v>365</v>
      </c>
      <c r="B367" s="4" t="str">
        <f>"225720191217232301226134"</f>
        <v>225720191217232301226134</v>
      </c>
      <c r="C367" s="4" t="s">
        <v>15</v>
      </c>
      <c r="D367" s="4" t="str">
        <f>"王云凌"</f>
        <v>王云凌</v>
      </c>
      <c r="E367" s="4" t="str">
        <f>"男"</f>
        <v>男</v>
      </c>
      <c r="F367" s="4" t="str">
        <f>"1993-07-08"</f>
        <v>1993-07-08</v>
      </c>
      <c r="G367" s="4" t="str">
        <f t="shared" si="90"/>
        <v>本科</v>
      </c>
      <c r="H367" s="4" t="str">
        <f>"无"</f>
        <v>无</v>
      </c>
      <c r="I367" s="4" t="str">
        <f>"测绘工程"</f>
        <v>测绘工程</v>
      </c>
      <c r="J367" s="4" t="str">
        <f>"无"</f>
        <v>无</v>
      </c>
    </row>
    <row r="368" spans="1:10" ht="27" customHeight="1">
      <c r="A368" s="4">
        <v>366</v>
      </c>
      <c r="B368" s="4" t="str">
        <f>"225720191218082617226150"</f>
        <v>225720191218082617226150</v>
      </c>
      <c r="C368" s="4" t="s">
        <v>11</v>
      </c>
      <c r="D368" s="4" t="str">
        <f>"冯美林"</f>
        <v>冯美林</v>
      </c>
      <c r="E368" s="4" t="str">
        <f aca="true" t="shared" si="94" ref="E368:E378">"女"</f>
        <v>女</v>
      </c>
      <c r="F368" s="4" t="str">
        <f>"1995-04-10"</f>
        <v>1995-04-10</v>
      </c>
      <c r="G368" s="4" t="str">
        <f t="shared" si="90"/>
        <v>本科</v>
      </c>
      <c r="H368" s="4" t="str">
        <f>"学士"</f>
        <v>学士</v>
      </c>
      <c r="I368" s="4" t="str">
        <f>"通信工程"</f>
        <v>通信工程</v>
      </c>
      <c r="J368" s="4" t="str">
        <f>"无"</f>
        <v>无</v>
      </c>
    </row>
    <row r="369" spans="1:10" ht="27" customHeight="1">
      <c r="A369" s="4">
        <v>367</v>
      </c>
      <c r="B369" s="4" t="str">
        <f>"225720191218083716226152"</f>
        <v>225720191218083716226152</v>
      </c>
      <c r="C369" s="4" t="s">
        <v>16</v>
      </c>
      <c r="D369" s="4" t="str">
        <f>"黎学雅"</f>
        <v>黎学雅</v>
      </c>
      <c r="E369" s="4" t="str">
        <f t="shared" si="94"/>
        <v>女</v>
      </c>
      <c r="F369" s="4" t="str">
        <f>"1988-04-28"</f>
        <v>1988-04-28</v>
      </c>
      <c r="G369" s="4" t="str">
        <f t="shared" si="90"/>
        <v>本科</v>
      </c>
      <c r="H369" s="4" t="str">
        <f>"学士"</f>
        <v>学士</v>
      </c>
      <c r="I369" s="4" t="str">
        <f>"资源环境与城乡规划管理"</f>
        <v>资源环境与城乡规划管理</v>
      </c>
      <c r="J369" s="4" t="str">
        <f>"无"</f>
        <v>无</v>
      </c>
    </row>
    <row r="370" spans="1:10" ht="27" customHeight="1">
      <c r="A370" s="4">
        <v>368</v>
      </c>
      <c r="B370" s="4" t="str">
        <f>"225720191218084214226154"</f>
        <v>225720191218084214226154</v>
      </c>
      <c r="C370" s="4" t="s">
        <v>12</v>
      </c>
      <c r="D370" s="4" t="str">
        <f>"李尾莲"</f>
        <v>李尾莲</v>
      </c>
      <c r="E370" s="4" t="str">
        <f t="shared" si="94"/>
        <v>女</v>
      </c>
      <c r="F370" s="4" t="str">
        <f>"1993-10-01"</f>
        <v>1993-10-01</v>
      </c>
      <c r="G370" s="4" t="str">
        <f t="shared" si="90"/>
        <v>本科</v>
      </c>
      <c r="H370" s="4" t="str">
        <f>"学士"</f>
        <v>学士</v>
      </c>
      <c r="I370" s="4" t="str">
        <f>"法学"</f>
        <v>法学</v>
      </c>
      <c r="J370" s="4" t="str">
        <f>"扶贫专干"</f>
        <v>扶贫专干</v>
      </c>
    </row>
    <row r="371" spans="1:10" ht="27" customHeight="1">
      <c r="A371" s="4">
        <v>369</v>
      </c>
      <c r="B371" s="4" t="str">
        <f>"225720191218084632226155"</f>
        <v>225720191218084632226155</v>
      </c>
      <c r="C371" s="4" t="s">
        <v>12</v>
      </c>
      <c r="D371" s="4" t="str">
        <f>"李作舟"</f>
        <v>李作舟</v>
      </c>
      <c r="E371" s="4" t="str">
        <f t="shared" si="94"/>
        <v>女</v>
      </c>
      <c r="F371" s="4" t="str">
        <f>"1986-03-26"</f>
        <v>1986-03-26</v>
      </c>
      <c r="G371" s="4" t="str">
        <f>"研究生"</f>
        <v>研究生</v>
      </c>
      <c r="H371" s="4" t="str">
        <f>"硕士"</f>
        <v>硕士</v>
      </c>
      <c r="I371" s="4" t="str">
        <f>"土地资源管理"</f>
        <v>土地资源管理</v>
      </c>
      <c r="J371" s="4" t="str">
        <f>"无"</f>
        <v>无</v>
      </c>
    </row>
    <row r="372" spans="1:10" ht="27" customHeight="1">
      <c r="A372" s="4">
        <v>370</v>
      </c>
      <c r="B372" s="4" t="str">
        <f>"225720191218085545226160"</f>
        <v>225720191218085545226160</v>
      </c>
      <c r="C372" s="4" t="s">
        <v>12</v>
      </c>
      <c r="D372" s="4" t="str">
        <f>"王一帆"</f>
        <v>王一帆</v>
      </c>
      <c r="E372" s="4" t="str">
        <f t="shared" si="94"/>
        <v>女</v>
      </c>
      <c r="F372" s="4" t="str">
        <f>"1996-11-08"</f>
        <v>1996-11-08</v>
      </c>
      <c r="G372" s="4" t="str">
        <f aca="true" t="shared" si="95" ref="G372:G387">"本科"</f>
        <v>本科</v>
      </c>
      <c r="H372" s="4" t="str">
        <f aca="true" t="shared" si="96" ref="H372:H387">"学士"</f>
        <v>学士</v>
      </c>
      <c r="I372" s="4" t="str">
        <f>"法学"</f>
        <v>法学</v>
      </c>
      <c r="J372" s="4" t="str">
        <f>"无"</f>
        <v>无</v>
      </c>
    </row>
    <row r="373" spans="1:10" ht="27" customHeight="1">
      <c r="A373" s="4">
        <v>371</v>
      </c>
      <c r="B373" s="4" t="str">
        <f>"225720191218094101226180"</f>
        <v>225720191218094101226180</v>
      </c>
      <c r="C373" s="4" t="s">
        <v>12</v>
      </c>
      <c r="D373" s="4" t="str">
        <f>"符晓达"</f>
        <v>符晓达</v>
      </c>
      <c r="E373" s="4" t="str">
        <f t="shared" si="94"/>
        <v>女</v>
      </c>
      <c r="F373" s="4" t="str">
        <f>"1998-04-13"</f>
        <v>1998-04-13</v>
      </c>
      <c r="G373" s="4" t="str">
        <f t="shared" si="95"/>
        <v>本科</v>
      </c>
      <c r="H373" s="4" t="str">
        <f t="shared" si="96"/>
        <v>学士</v>
      </c>
      <c r="I373" s="4" t="str">
        <f>"法学"</f>
        <v>法学</v>
      </c>
      <c r="J373" s="4" t="str">
        <f>"无"</f>
        <v>无</v>
      </c>
    </row>
    <row r="374" spans="1:10" ht="27" customHeight="1">
      <c r="A374" s="4">
        <v>372</v>
      </c>
      <c r="B374" s="4" t="str">
        <f>"225720191218094338226183"</f>
        <v>225720191218094338226183</v>
      </c>
      <c r="C374" s="4" t="s">
        <v>16</v>
      </c>
      <c r="D374" s="4" t="str">
        <f>"赖龙威"</f>
        <v>赖龙威</v>
      </c>
      <c r="E374" s="4" t="str">
        <f t="shared" si="94"/>
        <v>女</v>
      </c>
      <c r="F374" s="4" t="str">
        <f>"1988-06-06"</f>
        <v>1988-06-06</v>
      </c>
      <c r="G374" s="4" t="str">
        <f>"研究生"</f>
        <v>研究生</v>
      </c>
      <c r="H374" s="4" t="str">
        <f>"硕士"</f>
        <v>硕士</v>
      </c>
      <c r="I374" s="4" t="str">
        <f>"资源环境与城乡规划管理"</f>
        <v>资源环境与城乡规划管理</v>
      </c>
      <c r="J374" s="4" t="str">
        <f>"中级"</f>
        <v>中级</v>
      </c>
    </row>
    <row r="375" spans="1:10" ht="27" customHeight="1">
      <c r="A375" s="4">
        <v>373</v>
      </c>
      <c r="B375" s="4" t="str">
        <f>"225720191218094429226184"</f>
        <v>225720191218094429226184</v>
      </c>
      <c r="C375" s="4" t="s">
        <v>11</v>
      </c>
      <c r="D375" s="4" t="str">
        <f>"孔晨露"</f>
        <v>孔晨露</v>
      </c>
      <c r="E375" s="4" t="str">
        <f t="shared" si="94"/>
        <v>女</v>
      </c>
      <c r="F375" s="4" t="str">
        <f>"1996-10-17"</f>
        <v>1996-10-17</v>
      </c>
      <c r="G375" s="4" t="str">
        <f t="shared" si="95"/>
        <v>本科</v>
      </c>
      <c r="H375" s="4" t="str">
        <f t="shared" si="96"/>
        <v>学士</v>
      </c>
      <c r="I375" s="4" t="str">
        <f>"计算机科学与技术"</f>
        <v>计算机科学与技术</v>
      </c>
      <c r="J375" s="4" t="str">
        <f>"无"</f>
        <v>无</v>
      </c>
    </row>
    <row r="376" spans="1:10" ht="27" customHeight="1">
      <c r="A376" s="4">
        <v>374</v>
      </c>
      <c r="B376" s="4" t="str">
        <f>"225720191218094610226185"</f>
        <v>225720191218094610226185</v>
      </c>
      <c r="C376" s="4" t="s">
        <v>12</v>
      </c>
      <c r="D376" s="4" t="str">
        <f>"蔡丹燕"</f>
        <v>蔡丹燕</v>
      </c>
      <c r="E376" s="4" t="str">
        <f t="shared" si="94"/>
        <v>女</v>
      </c>
      <c r="F376" s="4" t="str">
        <f>"1985-10-25"</f>
        <v>1985-10-25</v>
      </c>
      <c r="G376" s="4" t="str">
        <f t="shared" si="95"/>
        <v>本科</v>
      </c>
      <c r="H376" s="4" t="str">
        <f t="shared" si="96"/>
        <v>学士</v>
      </c>
      <c r="I376" s="4" t="str">
        <f>"汉语言文学"</f>
        <v>汉语言文学</v>
      </c>
      <c r="J376" s="4" t="str">
        <f>"无"</f>
        <v>无</v>
      </c>
    </row>
    <row r="377" spans="1:10" ht="27" customHeight="1">
      <c r="A377" s="4">
        <v>375</v>
      </c>
      <c r="B377" s="4" t="str">
        <f>"225720191218095316226190"</f>
        <v>225720191218095316226190</v>
      </c>
      <c r="C377" s="4" t="s">
        <v>16</v>
      </c>
      <c r="D377" s="4" t="str">
        <f>"符青云"</f>
        <v>符青云</v>
      </c>
      <c r="E377" s="4" t="str">
        <f t="shared" si="94"/>
        <v>女</v>
      </c>
      <c r="F377" s="4" t="str">
        <f>"1991-10-18"</f>
        <v>1991-10-18</v>
      </c>
      <c r="G377" s="4" t="str">
        <f t="shared" si="95"/>
        <v>本科</v>
      </c>
      <c r="H377" s="4" t="str">
        <f t="shared" si="96"/>
        <v>学士</v>
      </c>
      <c r="I377" s="4" t="str">
        <f>"地理信息系统"</f>
        <v>地理信息系统</v>
      </c>
      <c r="J377" s="4" t="str">
        <f>"助理工程师"</f>
        <v>助理工程师</v>
      </c>
    </row>
    <row r="378" spans="1:10" ht="27" customHeight="1">
      <c r="A378" s="4">
        <v>376</v>
      </c>
      <c r="B378" s="4" t="str">
        <f>"225720191218095941226194"</f>
        <v>225720191218095941226194</v>
      </c>
      <c r="C378" s="4" t="s">
        <v>12</v>
      </c>
      <c r="D378" s="4" t="str">
        <f>"赖舒愉"</f>
        <v>赖舒愉</v>
      </c>
      <c r="E378" s="4" t="str">
        <f t="shared" si="94"/>
        <v>女</v>
      </c>
      <c r="F378" s="4" t="str">
        <f>"1988-12-17"</f>
        <v>1988-12-17</v>
      </c>
      <c r="G378" s="4" t="str">
        <f t="shared" si="95"/>
        <v>本科</v>
      </c>
      <c r="H378" s="4" t="str">
        <f t="shared" si="96"/>
        <v>学士</v>
      </c>
      <c r="I378" s="4" t="str">
        <f>"汉语言文学"</f>
        <v>汉语言文学</v>
      </c>
      <c r="J378" s="4" t="str">
        <f>"无"</f>
        <v>无</v>
      </c>
    </row>
    <row r="379" spans="1:10" ht="27" customHeight="1">
      <c r="A379" s="4">
        <v>377</v>
      </c>
      <c r="B379" s="4" t="str">
        <f>"225720191218100319226196"</f>
        <v>225720191218100319226196</v>
      </c>
      <c r="C379" s="4" t="s">
        <v>16</v>
      </c>
      <c r="D379" s="4" t="str">
        <f>"徐鸿生"</f>
        <v>徐鸿生</v>
      </c>
      <c r="E379" s="4" t="str">
        <f>"男"</f>
        <v>男</v>
      </c>
      <c r="F379" s="4" t="str">
        <f>"1987-06-21"</f>
        <v>1987-06-21</v>
      </c>
      <c r="G379" s="4" t="str">
        <f t="shared" si="95"/>
        <v>本科</v>
      </c>
      <c r="H379" s="4" t="str">
        <f t="shared" si="96"/>
        <v>学士</v>
      </c>
      <c r="I379" s="4" t="str">
        <f>"资源环境与城乡规划管理"</f>
        <v>资源环境与城乡规划管理</v>
      </c>
      <c r="J379" s="4" t="str">
        <f>"初级助理工程师"</f>
        <v>初级助理工程师</v>
      </c>
    </row>
    <row r="380" spans="1:10" ht="27" customHeight="1">
      <c r="A380" s="4">
        <v>378</v>
      </c>
      <c r="B380" s="4" t="str">
        <f>"225720191218100844226200"</f>
        <v>225720191218100844226200</v>
      </c>
      <c r="C380" s="4" t="s">
        <v>12</v>
      </c>
      <c r="D380" s="4" t="str">
        <f>"叶荣锦"</f>
        <v>叶荣锦</v>
      </c>
      <c r="E380" s="4" t="str">
        <f>"男"</f>
        <v>男</v>
      </c>
      <c r="F380" s="4" t="str">
        <f>"1993-05-25"</f>
        <v>1993-05-25</v>
      </c>
      <c r="G380" s="4" t="str">
        <f t="shared" si="95"/>
        <v>本科</v>
      </c>
      <c r="H380" s="4" t="str">
        <f t="shared" si="96"/>
        <v>学士</v>
      </c>
      <c r="I380" s="4" t="str">
        <f>"法学"</f>
        <v>法学</v>
      </c>
      <c r="J380" s="4" t="str">
        <f>"无"</f>
        <v>无</v>
      </c>
    </row>
    <row r="381" spans="1:10" ht="27" customHeight="1">
      <c r="A381" s="4">
        <v>379</v>
      </c>
      <c r="B381" s="4" t="str">
        <f>"225720191218101801226204"</f>
        <v>225720191218101801226204</v>
      </c>
      <c r="C381" s="4" t="s">
        <v>11</v>
      </c>
      <c r="D381" s="4" t="str">
        <f>"韦文杰"</f>
        <v>韦文杰</v>
      </c>
      <c r="E381" s="4" t="str">
        <f>"男"</f>
        <v>男</v>
      </c>
      <c r="F381" s="4" t="str">
        <f>"1993-12-27"</f>
        <v>1993-12-27</v>
      </c>
      <c r="G381" s="4" t="str">
        <f t="shared" si="95"/>
        <v>本科</v>
      </c>
      <c r="H381" s="4" t="str">
        <f t="shared" si="96"/>
        <v>学士</v>
      </c>
      <c r="I381" s="4" t="str">
        <f>"计算机科学与技术"</f>
        <v>计算机科学与技术</v>
      </c>
      <c r="J381" s="4" t="str">
        <f>"无"</f>
        <v>无</v>
      </c>
    </row>
    <row r="382" spans="1:10" ht="27" customHeight="1">
      <c r="A382" s="4">
        <v>380</v>
      </c>
      <c r="B382" s="4" t="str">
        <f>"225720191218101832226205"</f>
        <v>225720191218101832226205</v>
      </c>
      <c r="C382" s="4" t="s">
        <v>12</v>
      </c>
      <c r="D382" s="4" t="str">
        <f>"冯甜甜"</f>
        <v>冯甜甜</v>
      </c>
      <c r="E382" s="4" t="str">
        <f>"女"</f>
        <v>女</v>
      </c>
      <c r="F382" s="4" t="str">
        <f>"1986-03-15"</f>
        <v>1986-03-15</v>
      </c>
      <c r="G382" s="4" t="str">
        <f t="shared" si="95"/>
        <v>本科</v>
      </c>
      <c r="H382" s="4" t="str">
        <f t="shared" si="96"/>
        <v>学士</v>
      </c>
      <c r="I382" s="4" t="str">
        <f>"汉语言文学专业"</f>
        <v>汉语言文学专业</v>
      </c>
      <c r="J382" s="4" t="str">
        <f>"无"</f>
        <v>无</v>
      </c>
    </row>
    <row r="383" spans="1:10" ht="27" customHeight="1">
      <c r="A383" s="4">
        <v>381</v>
      </c>
      <c r="B383" s="4" t="str">
        <f>"225720191218103047226211"</f>
        <v>225720191218103047226211</v>
      </c>
      <c r="C383" s="4" t="s">
        <v>12</v>
      </c>
      <c r="D383" s="4" t="str">
        <f>"周慧莹"</f>
        <v>周慧莹</v>
      </c>
      <c r="E383" s="4" t="str">
        <f>"女"</f>
        <v>女</v>
      </c>
      <c r="F383" s="4" t="str">
        <f>"1995-07-30"</f>
        <v>1995-07-30</v>
      </c>
      <c r="G383" s="4" t="str">
        <f t="shared" si="95"/>
        <v>本科</v>
      </c>
      <c r="H383" s="4" t="str">
        <f t="shared" si="96"/>
        <v>学士</v>
      </c>
      <c r="I383" s="4" t="str">
        <f>"汉语言文学专业"</f>
        <v>汉语言文学专业</v>
      </c>
      <c r="J383" s="4" t="str">
        <f>"无"</f>
        <v>无</v>
      </c>
    </row>
    <row r="384" spans="1:10" ht="27" customHeight="1">
      <c r="A384" s="4">
        <v>382</v>
      </c>
      <c r="B384" s="4" t="str">
        <f>"225720191218103454226212"</f>
        <v>225720191218103454226212</v>
      </c>
      <c r="C384" s="4" t="s">
        <v>12</v>
      </c>
      <c r="D384" s="4" t="str">
        <f>"杜林青"</f>
        <v>杜林青</v>
      </c>
      <c r="E384" s="4" t="str">
        <f>"女"</f>
        <v>女</v>
      </c>
      <c r="F384" s="4" t="str">
        <f>"1999-06-28"</f>
        <v>1999-06-28</v>
      </c>
      <c r="G384" s="4" t="str">
        <f t="shared" si="95"/>
        <v>本科</v>
      </c>
      <c r="H384" s="4" t="str">
        <f t="shared" si="96"/>
        <v>学士</v>
      </c>
      <c r="I384" s="4" t="str">
        <f aca="true" t="shared" si="97" ref="I384:I389">"汉语言文学"</f>
        <v>汉语言文学</v>
      </c>
      <c r="J384" s="4" t="str">
        <f>"无"</f>
        <v>无</v>
      </c>
    </row>
    <row r="385" spans="1:10" ht="27" customHeight="1">
      <c r="A385" s="4">
        <v>383</v>
      </c>
      <c r="B385" s="4" t="str">
        <f>"225720191218105601226226"</f>
        <v>225720191218105601226226</v>
      </c>
      <c r="C385" s="4" t="s">
        <v>18</v>
      </c>
      <c r="D385" s="4" t="str">
        <f>"王文宇"</f>
        <v>王文宇</v>
      </c>
      <c r="E385" s="4" t="str">
        <f>"女"</f>
        <v>女</v>
      </c>
      <c r="F385" s="4" t="str">
        <f>"1988-10-20"</f>
        <v>1988-10-20</v>
      </c>
      <c r="G385" s="4" t="str">
        <f t="shared" si="95"/>
        <v>本科</v>
      </c>
      <c r="H385" s="4" t="str">
        <f t="shared" si="96"/>
        <v>学士</v>
      </c>
      <c r="I385" s="4" t="str">
        <f>"会计学"</f>
        <v>会计学</v>
      </c>
      <c r="J385" s="4" t="str">
        <f>"助理会计师"</f>
        <v>助理会计师</v>
      </c>
    </row>
    <row r="386" spans="1:10" ht="27" customHeight="1">
      <c r="A386" s="4">
        <v>384</v>
      </c>
      <c r="B386" s="4" t="str">
        <f>"225720191218105945226232"</f>
        <v>225720191218105945226232</v>
      </c>
      <c r="C386" s="4" t="s">
        <v>12</v>
      </c>
      <c r="D386" s="4" t="str">
        <f>"叶蔚馨"</f>
        <v>叶蔚馨</v>
      </c>
      <c r="E386" s="4" t="str">
        <f>"女"</f>
        <v>女</v>
      </c>
      <c r="F386" s="4" t="str">
        <f>"1998-01-10"</f>
        <v>1998-01-10</v>
      </c>
      <c r="G386" s="4" t="str">
        <f t="shared" si="95"/>
        <v>本科</v>
      </c>
      <c r="H386" s="4" t="str">
        <f t="shared" si="96"/>
        <v>学士</v>
      </c>
      <c r="I386" s="4" t="str">
        <f>"法学"</f>
        <v>法学</v>
      </c>
      <c r="J386" s="4" t="str">
        <f>"无"</f>
        <v>无</v>
      </c>
    </row>
    <row r="387" spans="1:10" ht="27" customHeight="1">
      <c r="A387" s="4">
        <v>385</v>
      </c>
      <c r="B387" s="4" t="str">
        <f>"225720191218111356226240"</f>
        <v>225720191218111356226240</v>
      </c>
      <c r="C387" s="4" t="s">
        <v>12</v>
      </c>
      <c r="D387" s="4" t="str">
        <f>"王广杰"</f>
        <v>王广杰</v>
      </c>
      <c r="E387" s="4" t="str">
        <f>"男"</f>
        <v>男</v>
      </c>
      <c r="F387" s="4" t="str">
        <f>"1995-01-12"</f>
        <v>1995-01-12</v>
      </c>
      <c r="G387" s="4" t="str">
        <f t="shared" si="95"/>
        <v>本科</v>
      </c>
      <c r="H387" s="4" t="str">
        <f t="shared" si="96"/>
        <v>学士</v>
      </c>
      <c r="I387" s="4" t="str">
        <f t="shared" si="97"/>
        <v>汉语言文学</v>
      </c>
      <c r="J387" s="4" t="str">
        <f>"无"</f>
        <v>无</v>
      </c>
    </row>
    <row r="388" spans="1:10" ht="27" customHeight="1">
      <c r="A388" s="4">
        <v>386</v>
      </c>
      <c r="B388" s="4" t="str">
        <f>"225720191218113011226252"</f>
        <v>225720191218113011226252</v>
      </c>
      <c r="C388" s="4" t="s">
        <v>12</v>
      </c>
      <c r="D388" s="4" t="str">
        <f>"琚青青"</f>
        <v>琚青青</v>
      </c>
      <c r="E388" s="4" t="str">
        <f aca="true" t="shared" si="98" ref="E388:E393">"女"</f>
        <v>女</v>
      </c>
      <c r="F388" s="4" t="str">
        <f>"1992-10-08"</f>
        <v>1992-10-08</v>
      </c>
      <c r="G388" s="4" t="str">
        <f>"研究生"</f>
        <v>研究生</v>
      </c>
      <c r="H388" s="4" t="str">
        <f>"硕士"</f>
        <v>硕士</v>
      </c>
      <c r="I388" s="4" t="str">
        <f>"城市规划"</f>
        <v>城市规划</v>
      </c>
      <c r="J388" s="4" t="str">
        <f>"学生"</f>
        <v>学生</v>
      </c>
    </row>
    <row r="389" spans="1:10" ht="27" customHeight="1">
      <c r="A389" s="4">
        <v>387</v>
      </c>
      <c r="B389" s="4" t="str">
        <f>"225720191218115326226260"</f>
        <v>225720191218115326226260</v>
      </c>
      <c r="C389" s="4" t="s">
        <v>12</v>
      </c>
      <c r="D389" s="4" t="str">
        <f>"蔡馥蔓"</f>
        <v>蔡馥蔓</v>
      </c>
      <c r="E389" s="4" t="str">
        <f t="shared" si="98"/>
        <v>女</v>
      </c>
      <c r="F389" s="4" t="str">
        <f>"1996-08-25"</f>
        <v>1996-08-25</v>
      </c>
      <c r="G389" s="4" t="str">
        <f>"本科"</f>
        <v>本科</v>
      </c>
      <c r="H389" s="4" t="str">
        <f aca="true" t="shared" si="99" ref="H389:H444">"学士"</f>
        <v>学士</v>
      </c>
      <c r="I389" s="4" t="str">
        <f t="shared" si="97"/>
        <v>汉语言文学</v>
      </c>
      <c r="J389" s="4" t="str">
        <f>"无"</f>
        <v>无</v>
      </c>
    </row>
    <row r="390" spans="1:10" ht="27" customHeight="1">
      <c r="A390" s="4">
        <v>388</v>
      </c>
      <c r="B390" s="4" t="str">
        <f>"225720191218115859226263"</f>
        <v>225720191218115859226263</v>
      </c>
      <c r="C390" s="4" t="s">
        <v>16</v>
      </c>
      <c r="D390" s="4" t="str">
        <f>"吴思承"</f>
        <v>吴思承</v>
      </c>
      <c r="E390" s="4" t="str">
        <f>"男"</f>
        <v>男</v>
      </c>
      <c r="F390" s="4" t="str">
        <f>"1993-10-08"</f>
        <v>1993-10-08</v>
      </c>
      <c r="G390" s="4" t="str">
        <f>"本科"</f>
        <v>本科</v>
      </c>
      <c r="H390" s="4" t="str">
        <f t="shared" si="99"/>
        <v>学士</v>
      </c>
      <c r="I390" s="4" t="str">
        <f>"地理信息系统"</f>
        <v>地理信息系统</v>
      </c>
      <c r="J390" s="4" t="str">
        <f>"助理工程师"</f>
        <v>助理工程师</v>
      </c>
    </row>
    <row r="391" spans="1:10" ht="27" customHeight="1">
      <c r="A391" s="4">
        <v>389</v>
      </c>
      <c r="B391" s="4" t="str">
        <f>"225720191218130800226274"</f>
        <v>225720191218130800226274</v>
      </c>
      <c r="C391" s="4" t="s">
        <v>12</v>
      </c>
      <c r="D391" s="4" t="str">
        <f>"曾祥锋"</f>
        <v>曾祥锋</v>
      </c>
      <c r="E391" s="4" t="str">
        <f>"男"</f>
        <v>男</v>
      </c>
      <c r="F391" s="4" t="str">
        <f>"1995-08-22"</f>
        <v>1995-08-22</v>
      </c>
      <c r="G391" s="4" t="str">
        <f>"本科"</f>
        <v>本科</v>
      </c>
      <c r="H391" s="4" t="str">
        <f>"无"</f>
        <v>无</v>
      </c>
      <c r="I391" s="4" t="str">
        <f>"法学"</f>
        <v>法学</v>
      </c>
      <c r="J391" s="4" t="str">
        <f>"无"</f>
        <v>无</v>
      </c>
    </row>
    <row r="392" spans="1:10" ht="27" customHeight="1">
      <c r="A392" s="4">
        <v>390</v>
      </c>
      <c r="B392" s="4" t="str">
        <f>"225720191218130809226275"</f>
        <v>225720191218130809226275</v>
      </c>
      <c r="C392" s="4" t="s">
        <v>17</v>
      </c>
      <c r="D392" s="4" t="str">
        <f>"高春"</f>
        <v>高春</v>
      </c>
      <c r="E392" s="4" t="str">
        <f t="shared" si="98"/>
        <v>女</v>
      </c>
      <c r="F392" s="4" t="str">
        <f>"1988-02-22"</f>
        <v>1988-02-22</v>
      </c>
      <c r="G392" s="4" t="str">
        <f>"研究生"</f>
        <v>研究生</v>
      </c>
      <c r="H392" s="4" t="str">
        <f>"硕士"</f>
        <v>硕士</v>
      </c>
      <c r="I392" s="4" t="str">
        <f>"计算机科学与技术"</f>
        <v>计算机科学与技术</v>
      </c>
      <c r="J392" s="4" t="str">
        <f>"无"</f>
        <v>无</v>
      </c>
    </row>
    <row r="393" spans="1:10" ht="27" customHeight="1">
      <c r="A393" s="4">
        <v>391</v>
      </c>
      <c r="B393" s="4" t="str">
        <f>"225720191218131829226278"</f>
        <v>225720191218131829226278</v>
      </c>
      <c r="C393" s="4" t="s">
        <v>18</v>
      </c>
      <c r="D393" s="4" t="str">
        <f>"陈冬花"</f>
        <v>陈冬花</v>
      </c>
      <c r="E393" s="4" t="str">
        <f t="shared" si="98"/>
        <v>女</v>
      </c>
      <c r="F393" s="4" t="str">
        <f>"1993-05-27"</f>
        <v>1993-05-27</v>
      </c>
      <c r="G393" s="4" t="str">
        <f aca="true" t="shared" si="100" ref="G393:G451">"本科"</f>
        <v>本科</v>
      </c>
      <c r="H393" s="4" t="str">
        <f>"无"</f>
        <v>无</v>
      </c>
      <c r="I393" s="4" t="str">
        <f>"财务管理"</f>
        <v>财务管理</v>
      </c>
      <c r="J393" s="4" t="str">
        <f>"助理会计师（初级会计证书）"</f>
        <v>助理会计师（初级会计证书）</v>
      </c>
    </row>
    <row r="394" spans="1:10" ht="27" customHeight="1">
      <c r="A394" s="4">
        <v>392</v>
      </c>
      <c r="B394" s="4" t="str">
        <f>"225720191218132906226283"</f>
        <v>225720191218132906226283</v>
      </c>
      <c r="C394" s="4" t="s">
        <v>17</v>
      </c>
      <c r="D394" s="4" t="str">
        <f>"王铭哲"</f>
        <v>王铭哲</v>
      </c>
      <c r="E394" s="4" t="str">
        <f aca="true" t="shared" si="101" ref="E394:E399">"男"</f>
        <v>男</v>
      </c>
      <c r="F394" s="4" t="str">
        <f>"1986-06-26"</f>
        <v>1986-06-26</v>
      </c>
      <c r="G394" s="4" t="str">
        <f t="shared" si="100"/>
        <v>本科</v>
      </c>
      <c r="H394" s="4" t="str">
        <f t="shared" si="99"/>
        <v>学士</v>
      </c>
      <c r="I394" s="4" t="str">
        <f>"计算机科学与技术"</f>
        <v>计算机科学与技术</v>
      </c>
      <c r="J394" s="4" t="str">
        <f>"无"</f>
        <v>无</v>
      </c>
    </row>
    <row r="395" spans="1:10" ht="27" customHeight="1">
      <c r="A395" s="4">
        <v>393</v>
      </c>
      <c r="B395" s="4" t="str">
        <f>"225720191218133341226285"</f>
        <v>225720191218133341226285</v>
      </c>
      <c r="C395" s="4" t="s">
        <v>16</v>
      </c>
      <c r="D395" s="4" t="str">
        <f>"李卓"</f>
        <v>李卓</v>
      </c>
      <c r="E395" s="4" t="str">
        <f aca="true" t="shared" si="102" ref="E395:E400">"女"</f>
        <v>女</v>
      </c>
      <c r="F395" s="4" t="str">
        <f>"1992-02-04"</f>
        <v>1992-02-04</v>
      </c>
      <c r="G395" s="4" t="str">
        <f t="shared" si="100"/>
        <v>本科</v>
      </c>
      <c r="H395" s="4" t="str">
        <f t="shared" si="99"/>
        <v>学士</v>
      </c>
      <c r="I395" s="4" t="str">
        <f>"资源环境与城乡规划管理"</f>
        <v>资源环境与城乡规划管理</v>
      </c>
      <c r="J395" s="4" t="str">
        <f>"中级城市规划师"</f>
        <v>中级城市规划师</v>
      </c>
    </row>
    <row r="396" spans="1:10" ht="27" customHeight="1">
      <c r="A396" s="4">
        <v>394</v>
      </c>
      <c r="B396" s="4" t="str">
        <f>"225720191218134125226286"</f>
        <v>225720191218134125226286</v>
      </c>
      <c r="C396" s="4" t="s">
        <v>13</v>
      </c>
      <c r="D396" s="4" t="str">
        <f>"戴晓敏"</f>
        <v>戴晓敏</v>
      </c>
      <c r="E396" s="4" t="str">
        <f t="shared" si="102"/>
        <v>女</v>
      </c>
      <c r="F396" s="4" t="str">
        <f>"1992-07-07"</f>
        <v>1992-07-07</v>
      </c>
      <c r="G396" s="4" t="str">
        <f t="shared" si="100"/>
        <v>本科</v>
      </c>
      <c r="H396" s="4" t="str">
        <f t="shared" si="99"/>
        <v>学士</v>
      </c>
      <c r="I396" s="4" t="str">
        <f>"新闻学"</f>
        <v>新闻学</v>
      </c>
      <c r="J396" s="4" t="str">
        <f>"无"</f>
        <v>无</v>
      </c>
    </row>
    <row r="397" spans="1:10" ht="27" customHeight="1">
      <c r="A397" s="4">
        <v>395</v>
      </c>
      <c r="B397" s="4" t="str">
        <f>"225720191218134330226287"</f>
        <v>225720191218134330226287</v>
      </c>
      <c r="C397" s="4" t="s">
        <v>19</v>
      </c>
      <c r="D397" s="4" t="str">
        <f>"吴德森"</f>
        <v>吴德森</v>
      </c>
      <c r="E397" s="4" t="str">
        <f t="shared" si="101"/>
        <v>男</v>
      </c>
      <c r="F397" s="4" t="str">
        <f>"1992-04-15"</f>
        <v>1992-04-15</v>
      </c>
      <c r="G397" s="4" t="str">
        <f t="shared" si="100"/>
        <v>本科</v>
      </c>
      <c r="H397" s="4" t="str">
        <f t="shared" si="99"/>
        <v>学士</v>
      </c>
      <c r="I397" s="4" t="str">
        <f>"信息管理与信息系统"</f>
        <v>信息管理与信息系统</v>
      </c>
      <c r="J397" s="4" t="str">
        <f>"无"</f>
        <v>无</v>
      </c>
    </row>
    <row r="398" spans="1:10" ht="27" customHeight="1">
      <c r="A398" s="4">
        <v>396</v>
      </c>
      <c r="B398" s="4" t="str">
        <f>"225720191218141748226295"</f>
        <v>225720191218141748226295</v>
      </c>
      <c r="C398" s="4" t="s">
        <v>11</v>
      </c>
      <c r="D398" s="4" t="str">
        <f>"韩少虎"</f>
        <v>韩少虎</v>
      </c>
      <c r="E398" s="4" t="str">
        <f t="shared" si="101"/>
        <v>男</v>
      </c>
      <c r="F398" s="4" t="str">
        <f>"1990-08-05"</f>
        <v>1990-08-05</v>
      </c>
      <c r="G398" s="4" t="str">
        <f t="shared" si="100"/>
        <v>本科</v>
      </c>
      <c r="H398" s="4" t="str">
        <f t="shared" si="99"/>
        <v>学士</v>
      </c>
      <c r="I398" s="4" t="str">
        <f>"通信工程"</f>
        <v>通信工程</v>
      </c>
      <c r="J398" s="4" t="str">
        <f>"无"</f>
        <v>无</v>
      </c>
    </row>
    <row r="399" spans="1:10" ht="27" customHeight="1">
      <c r="A399" s="4">
        <v>397</v>
      </c>
      <c r="B399" s="4" t="str">
        <f>"225720191218142124226299"</f>
        <v>225720191218142124226299</v>
      </c>
      <c r="C399" s="4" t="s">
        <v>16</v>
      </c>
      <c r="D399" s="4" t="str">
        <f>"姜永志"</f>
        <v>姜永志</v>
      </c>
      <c r="E399" s="4" t="str">
        <f t="shared" si="101"/>
        <v>男</v>
      </c>
      <c r="F399" s="4" t="str">
        <f>"1986-06-19"</f>
        <v>1986-06-19</v>
      </c>
      <c r="G399" s="4" t="str">
        <f t="shared" si="100"/>
        <v>本科</v>
      </c>
      <c r="H399" s="4" t="str">
        <f t="shared" si="99"/>
        <v>学士</v>
      </c>
      <c r="I399" s="4" t="str">
        <f>"资源环境与城乡规划管理"</f>
        <v>资源环境与城乡规划管理</v>
      </c>
      <c r="J399" s="4" t="str">
        <f>"工程师，国家注册城乡规划师"</f>
        <v>工程师，国家注册城乡规划师</v>
      </c>
    </row>
    <row r="400" spans="1:10" ht="27" customHeight="1">
      <c r="A400" s="4">
        <v>398</v>
      </c>
      <c r="B400" s="4" t="str">
        <f>"225720191218143842226309"</f>
        <v>225720191218143842226309</v>
      </c>
      <c r="C400" s="4" t="s">
        <v>19</v>
      </c>
      <c r="D400" s="4" t="str">
        <f>"张雯婷"</f>
        <v>张雯婷</v>
      </c>
      <c r="E400" s="4" t="str">
        <f t="shared" si="102"/>
        <v>女</v>
      </c>
      <c r="F400" s="4" t="str">
        <f>"1995-08-27"</f>
        <v>1995-08-27</v>
      </c>
      <c r="G400" s="4" t="str">
        <f t="shared" si="100"/>
        <v>本科</v>
      </c>
      <c r="H400" s="4" t="str">
        <f t="shared" si="99"/>
        <v>学士</v>
      </c>
      <c r="I400" s="4" t="str">
        <f>"信息管理与信息系统"</f>
        <v>信息管理与信息系统</v>
      </c>
      <c r="J400" s="4" t="str">
        <f aca="true" t="shared" si="103" ref="J400:J407">"无"</f>
        <v>无</v>
      </c>
    </row>
    <row r="401" spans="1:10" ht="27" customHeight="1">
      <c r="A401" s="4">
        <v>399</v>
      </c>
      <c r="B401" s="4" t="str">
        <f>"225720191218144825226311"</f>
        <v>225720191218144825226311</v>
      </c>
      <c r="C401" s="4" t="s">
        <v>11</v>
      </c>
      <c r="D401" s="4" t="str">
        <f>"黄师伟"</f>
        <v>黄师伟</v>
      </c>
      <c r="E401" s="4" t="str">
        <f>"男"</f>
        <v>男</v>
      </c>
      <c r="F401" s="4" t="str">
        <f>"1994-05-30"</f>
        <v>1994-05-30</v>
      </c>
      <c r="G401" s="4" t="str">
        <f t="shared" si="100"/>
        <v>本科</v>
      </c>
      <c r="H401" s="4" t="str">
        <f t="shared" si="99"/>
        <v>学士</v>
      </c>
      <c r="I401" s="4" t="str">
        <f>"通信工程"</f>
        <v>通信工程</v>
      </c>
      <c r="J401" s="4" t="str">
        <f t="shared" si="103"/>
        <v>无</v>
      </c>
    </row>
    <row r="402" spans="1:10" ht="27" customHeight="1">
      <c r="A402" s="4">
        <v>400</v>
      </c>
      <c r="B402" s="4" t="str">
        <f>"225720191218150209226316"</f>
        <v>225720191218150209226316</v>
      </c>
      <c r="C402" s="4" t="s">
        <v>12</v>
      </c>
      <c r="D402" s="4" t="str">
        <f>"陈燕飞"</f>
        <v>陈燕飞</v>
      </c>
      <c r="E402" s="4" t="str">
        <f>"女"</f>
        <v>女</v>
      </c>
      <c r="F402" s="4" t="str">
        <f>"1994-02-18"</f>
        <v>1994-02-18</v>
      </c>
      <c r="G402" s="4" t="str">
        <f t="shared" si="100"/>
        <v>本科</v>
      </c>
      <c r="H402" s="4" t="str">
        <f t="shared" si="99"/>
        <v>学士</v>
      </c>
      <c r="I402" s="4" t="str">
        <f>"汉语言文学"</f>
        <v>汉语言文学</v>
      </c>
      <c r="J402" s="4" t="str">
        <f>"书记员"</f>
        <v>书记员</v>
      </c>
    </row>
    <row r="403" spans="1:10" ht="27" customHeight="1">
      <c r="A403" s="4">
        <v>401</v>
      </c>
      <c r="B403" s="4" t="str">
        <f>"225720191218150316226318"</f>
        <v>225720191218150316226318</v>
      </c>
      <c r="C403" s="4" t="s">
        <v>12</v>
      </c>
      <c r="D403" s="4" t="str">
        <f>"马世贤"</f>
        <v>马世贤</v>
      </c>
      <c r="E403" s="4" t="str">
        <f>"女"</f>
        <v>女</v>
      </c>
      <c r="F403" s="4" t="str">
        <f>"1997-08-11"</f>
        <v>1997-08-11</v>
      </c>
      <c r="G403" s="4" t="str">
        <f t="shared" si="100"/>
        <v>本科</v>
      </c>
      <c r="H403" s="4" t="str">
        <f t="shared" si="99"/>
        <v>学士</v>
      </c>
      <c r="I403" s="4" t="str">
        <f>"法学"</f>
        <v>法学</v>
      </c>
      <c r="J403" s="4" t="str">
        <f>"高级"</f>
        <v>高级</v>
      </c>
    </row>
    <row r="404" spans="1:10" ht="27" customHeight="1">
      <c r="A404" s="4">
        <v>402</v>
      </c>
      <c r="B404" s="4" t="str">
        <f>"225720191218151400226325"</f>
        <v>225720191218151400226325</v>
      </c>
      <c r="C404" s="4" t="s">
        <v>11</v>
      </c>
      <c r="D404" s="4" t="str">
        <f>"邢孔珠"</f>
        <v>邢孔珠</v>
      </c>
      <c r="E404" s="4" t="str">
        <f>"女"</f>
        <v>女</v>
      </c>
      <c r="F404" s="4" t="str">
        <f>"1989-07-20"</f>
        <v>1989-07-20</v>
      </c>
      <c r="G404" s="4" t="str">
        <f t="shared" si="100"/>
        <v>本科</v>
      </c>
      <c r="H404" s="4" t="str">
        <f t="shared" si="99"/>
        <v>学士</v>
      </c>
      <c r="I404" s="4" t="str">
        <f>"通信工程"</f>
        <v>通信工程</v>
      </c>
      <c r="J404" s="4" t="str">
        <f t="shared" si="103"/>
        <v>无</v>
      </c>
    </row>
    <row r="405" spans="1:10" ht="27" customHeight="1">
      <c r="A405" s="4">
        <v>403</v>
      </c>
      <c r="B405" s="4" t="str">
        <f>"225720191218151428226326"</f>
        <v>225720191218151428226326</v>
      </c>
      <c r="C405" s="4" t="s">
        <v>12</v>
      </c>
      <c r="D405" s="4" t="str">
        <f>"郑昌丰"</f>
        <v>郑昌丰</v>
      </c>
      <c r="E405" s="4" t="str">
        <f>"男"</f>
        <v>男</v>
      </c>
      <c r="F405" s="4" t="str">
        <f>"1992-06-20"</f>
        <v>1992-06-20</v>
      </c>
      <c r="G405" s="4" t="str">
        <f t="shared" si="100"/>
        <v>本科</v>
      </c>
      <c r="H405" s="4" t="str">
        <f t="shared" si="99"/>
        <v>学士</v>
      </c>
      <c r="I405" s="4" t="str">
        <f>"城乡规划专业"</f>
        <v>城乡规划专业</v>
      </c>
      <c r="J405" s="4" t="str">
        <f t="shared" si="103"/>
        <v>无</v>
      </c>
    </row>
    <row r="406" spans="1:10" ht="27" customHeight="1">
      <c r="A406" s="4">
        <v>404</v>
      </c>
      <c r="B406" s="4" t="str">
        <f>"225720191218152331226330"</f>
        <v>225720191218152331226330</v>
      </c>
      <c r="C406" s="4" t="s">
        <v>12</v>
      </c>
      <c r="D406" s="4" t="str">
        <f>"郑丽菊"</f>
        <v>郑丽菊</v>
      </c>
      <c r="E406" s="4" t="str">
        <f>"女"</f>
        <v>女</v>
      </c>
      <c r="F406" s="4" t="str">
        <f>"1990-11-28"</f>
        <v>1990-11-28</v>
      </c>
      <c r="G406" s="4" t="str">
        <f t="shared" si="100"/>
        <v>本科</v>
      </c>
      <c r="H406" s="4" t="str">
        <f t="shared" si="99"/>
        <v>学士</v>
      </c>
      <c r="I406" s="4" t="str">
        <f>"法学专业"</f>
        <v>法学专业</v>
      </c>
      <c r="J406" s="4" t="str">
        <f t="shared" si="103"/>
        <v>无</v>
      </c>
    </row>
    <row r="407" spans="1:10" ht="27" customHeight="1">
      <c r="A407" s="4">
        <v>405</v>
      </c>
      <c r="B407" s="4" t="str">
        <f>"225720191218153224226333"</f>
        <v>225720191218153224226333</v>
      </c>
      <c r="C407" s="4" t="s">
        <v>16</v>
      </c>
      <c r="D407" s="4" t="str">
        <f>"赖书闻"</f>
        <v>赖书闻</v>
      </c>
      <c r="E407" s="4" t="str">
        <f>"女"</f>
        <v>女</v>
      </c>
      <c r="F407" s="4" t="str">
        <f>"1988-02-04"</f>
        <v>1988-02-04</v>
      </c>
      <c r="G407" s="4" t="str">
        <f t="shared" si="100"/>
        <v>本科</v>
      </c>
      <c r="H407" s="4" t="str">
        <f t="shared" si="99"/>
        <v>学士</v>
      </c>
      <c r="I407" s="4" t="str">
        <f>"资源环境与城乡规划管理"</f>
        <v>资源环境与城乡规划管理</v>
      </c>
      <c r="J407" s="4" t="str">
        <f t="shared" si="103"/>
        <v>无</v>
      </c>
    </row>
    <row r="408" spans="1:10" ht="27" customHeight="1">
      <c r="A408" s="4">
        <v>406</v>
      </c>
      <c r="B408" s="4" t="str">
        <f>"225720191218165006226370"</f>
        <v>225720191218165006226370</v>
      </c>
      <c r="C408" s="4" t="s">
        <v>18</v>
      </c>
      <c r="D408" s="4" t="str">
        <f>"翟爽"</f>
        <v>翟爽</v>
      </c>
      <c r="E408" s="4" t="str">
        <f>"女"</f>
        <v>女</v>
      </c>
      <c r="F408" s="4" t="str">
        <f>"1985-11-05"</f>
        <v>1985-11-05</v>
      </c>
      <c r="G408" s="4" t="str">
        <f t="shared" si="100"/>
        <v>本科</v>
      </c>
      <c r="H408" s="4" t="str">
        <f t="shared" si="99"/>
        <v>学士</v>
      </c>
      <c r="I408" s="4" t="str">
        <f>"会计学"</f>
        <v>会计学</v>
      </c>
      <c r="J408" s="4" t="str">
        <f>"初级"</f>
        <v>初级</v>
      </c>
    </row>
    <row r="409" spans="1:10" ht="27" customHeight="1">
      <c r="A409" s="4">
        <v>407</v>
      </c>
      <c r="B409" s="4" t="str">
        <f>"225720191218165651226373"</f>
        <v>225720191218165651226373</v>
      </c>
      <c r="C409" s="4" t="s">
        <v>12</v>
      </c>
      <c r="D409" s="4" t="str">
        <f>"符蕊"</f>
        <v>符蕊</v>
      </c>
      <c r="E409" s="4" t="str">
        <f>"女"</f>
        <v>女</v>
      </c>
      <c r="F409" s="4" t="str">
        <f>"1997-06-28"</f>
        <v>1997-06-28</v>
      </c>
      <c r="G409" s="4" t="str">
        <f t="shared" si="100"/>
        <v>本科</v>
      </c>
      <c r="H409" s="4" t="str">
        <f t="shared" si="99"/>
        <v>学士</v>
      </c>
      <c r="I409" s="4" t="str">
        <f>"汉语言文学"</f>
        <v>汉语言文学</v>
      </c>
      <c r="J409" s="4" t="str">
        <f aca="true" t="shared" si="104" ref="J409:J419">"无"</f>
        <v>无</v>
      </c>
    </row>
    <row r="410" spans="1:10" ht="27" customHeight="1">
      <c r="A410" s="4">
        <v>408</v>
      </c>
      <c r="B410" s="4" t="str">
        <f>"225720191218165922226375"</f>
        <v>225720191218165922226375</v>
      </c>
      <c r="C410" s="4" t="s">
        <v>12</v>
      </c>
      <c r="D410" s="4" t="str">
        <f>"肖世业"</f>
        <v>肖世业</v>
      </c>
      <c r="E410" s="4" t="str">
        <f>"男"</f>
        <v>男</v>
      </c>
      <c r="F410" s="4" t="str">
        <f>"1997-07-17"</f>
        <v>1997-07-17</v>
      </c>
      <c r="G410" s="4" t="str">
        <f t="shared" si="100"/>
        <v>本科</v>
      </c>
      <c r="H410" s="4" t="str">
        <f t="shared" si="99"/>
        <v>学士</v>
      </c>
      <c r="I410" s="4" t="str">
        <f>"城乡规划"</f>
        <v>城乡规划</v>
      </c>
      <c r="J410" s="4" t="str">
        <f t="shared" si="104"/>
        <v>无</v>
      </c>
    </row>
    <row r="411" spans="1:10" ht="27" customHeight="1">
      <c r="A411" s="4">
        <v>409</v>
      </c>
      <c r="B411" s="4" t="str">
        <f>"225720191218173408226383"</f>
        <v>225720191218173408226383</v>
      </c>
      <c r="C411" s="4" t="s">
        <v>12</v>
      </c>
      <c r="D411" s="4" t="str">
        <f>"周静"</f>
        <v>周静</v>
      </c>
      <c r="E411" s="4" t="str">
        <f>"女"</f>
        <v>女</v>
      </c>
      <c r="F411" s="4" t="str">
        <f>"1995-10-03"</f>
        <v>1995-10-03</v>
      </c>
      <c r="G411" s="4" t="str">
        <f t="shared" si="100"/>
        <v>本科</v>
      </c>
      <c r="H411" s="4" t="str">
        <f t="shared" si="99"/>
        <v>学士</v>
      </c>
      <c r="I411" s="4" t="str">
        <f>"汉语言文学"</f>
        <v>汉语言文学</v>
      </c>
      <c r="J411" s="4" t="str">
        <f t="shared" si="104"/>
        <v>无</v>
      </c>
    </row>
    <row r="412" spans="1:10" ht="27" customHeight="1">
      <c r="A412" s="4">
        <v>410</v>
      </c>
      <c r="B412" s="4" t="str">
        <f>"225720191218180119226391"</f>
        <v>225720191218180119226391</v>
      </c>
      <c r="C412" s="4" t="s">
        <v>12</v>
      </c>
      <c r="D412" s="4" t="str">
        <f>"吴思瑜"</f>
        <v>吴思瑜</v>
      </c>
      <c r="E412" s="4" t="str">
        <f>"女"</f>
        <v>女</v>
      </c>
      <c r="F412" s="4" t="str">
        <f>"1994-10-06"</f>
        <v>1994-10-06</v>
      </c>
      <c r="G412" s="4" t="str">
        <f t="shared" si="100"/>
        <v>本科</v>
      </c>
      <c r="H412" s="4" t="str">
        <f t="shared" si="99"/>
        <v>学士</v>
      </c>
      <c r="I412" s="4" t="str">
        <f>"人文地理与城乡规划"</f>
        <v>人文地理与城乡规划</v>
      </c>
      <c r="J412" s="4" t="str">
        <f t="shared" si="104"/>
        <v>无</v>
      </c>
    </row>
    <row r="413" spans="1:10" ht="27" customHeight="1">
      <c r="A413" s="4">
        <v>411</v>
      </c>
      <c r="B413" s="4" t="str">
        <f>"225720191218183822226400"</f>
        <v>225720191218183822226400</v>
      </c>
      <c r="C413" s="4" t="s">
        <v>12</v>
      </c>
      <c r="D413" s="4" t="str">
        <f>"谢宝卿"</f>
        <v>谢宝卿</v>
      </c>
      <c r="E413" s="4" t="str">
        <f>"女"</f>
        <v>女</v>
      </c>
      <c r="F413" s="4" t="str">
        <f>"1993-10-16"</f>
        <v>1993-10-16</v>
      </c>
      <c r="G413" s="4" t="str">
        <f t="shared" si="100"/>
        <v>本科</v>
      </c>
      <c r="H413" s="4" t="str">
        <f t="shared" si="99"/>
        <v>学士</v>
      </c>
      <c r="I413" s="4" t="str">
        <f>"汉语言文学（新闻与传播方向）"</f>
        <v>汉语言文学（新闻与传播方向）</v>
      </c>
      <c r="J413" s="4" t="str">
        <f t="shared" si="104"/>
        <v>无</v>
      </c>
    </row>
    <row r="414" spans="1:10" ht="27" customHeight="1">
      <c r="A414" s="4">
        <v>412</v>
      </c>
      <c r="B414" s="4" t="str">
        <f>"225720191218184703226403"</f>
        <v>225720191218184703226403</v>
      </c>
      <c r="C414" s="4" t="s">
        <v>12</v>
      </c>
      <c r="D414" s="4" t="str">
        <f>"邢丽丹"</f>
        <v>邢丽丹</v>
      </c>
      <c r="E414" s="4" t="str">
        <f>"女"</f>
        <v>女</v>
      </c>
      <c r="F414" s="4" t="str">
        <f>"1997-06-17"</f>
        <v>1997-06-17</v>
      </c>
      <c r="G414" s="4" t="str">
        <f t="shared" si="100"/>
        <v>本科</v>
      </c>
      <c r="H414" s="4" t="str">
        <f t="shared" si="99"/>
        <v>学士</v>
      </c>
      <c r="I414" s="4" t="str">
        <f>"汉语言文学专业"</f>
        <v>汉语言文学专业</v>
      </c>
      <c r="J414" s="4" t="str">
        <f t="shared" si="104"/>
        <v>无</v>
      </c>
    </row>
    <row r="415" spans="1:10" ht="27" customHeight="1">
      <c r="A415" s="4">
        <v>413</v>
      </c>
      <c r="B415" s="4" t="str">
        <f>"225720191218190600226409"</f>
        <v>225720191218190600226409</v>
      </c>
      <c r="C415" s="4" t="s">
        <v>12</v>
      </c>
      <c r="D415" s="4" t="str">
        <f>"陈少琴"</f>
        <v>陈少琴</v>
      </c>
      <c r="E415" s="4" t="str">
        <f>"女"</f>
        <v>女</v>
      </c>
      <c r="F415" s="4" t="str">
        <f>"1987-03-16"</f>
        <v>1987-03-16</v>
      </c>
      <c r="G415" s="4" t="str">
        <f t="shared" si="100"/>
        <v>本科</v>
      </c>
      <c r="H415" s="4" t="str">
        <f t="shared" si="99"/>
        <v>学士</v>
      </c>
      <c r="I415" s="4" t="str">
        <f>"汉语言文学专业"</f>
        <v>汉语言文学专业</v>
      </c>
      <c r="J415" s="4" t="str">
        <f t="shared" si="104"/>
        <v>无</v>
      </c>
    </row>
    <row r="416" spans="1:10" ht="27" customHeight="1">
      <c r="A416" s="4">
        <v>414</v>
      </c>
      <c r="B416" s="4" t="str">
        <f>"225720191218191057226412"</f>
        <v>225720191218191057226412</v>
      </c>
      <c r="C416" s="4" t="s">
        <v>16</v>
      </c>
      <c r="D416" s="4" t="str">
        <f>"陈俊宇"</f>
        <v>陈俊宇</v>
      </c>
      <c r="E416" s="4" t="str">
        <f aca="true" t="shared" si="105" ref="E416:E421">"男"</f>
        <v>男</v>
      </c>
      <c r="F416" s="4" t="str">
        <f>"1996-06-25"</f>
        <v>1996-06-25</v>
      </c>
      <c r="G416" s="4" t="str">
        <f t="shared" si="100"/>
        <v>本科</v>
      </c>
      <c r="H416" s="4" t="str">
        <f t="shared" si="99"/>
        <v>学士</v>
      </c>
      <c r="I416" s="4" t="str">
        <f>"地理信息科学"</f>
        <v>地理信息科学</v>
      </c>
      <c r="J416" s="4" t="str">
        <f t="shared" si="104"/>
        <v>无</v>
      </c>
    </row>
    <row r="417" spans="1:10" ht="27" customHeight="1">
      <c r="A417" s="4">
        <v>415</v>
      </c>
      <c r="B417" s="4" t="str">
        <f>"225720191218192435226413"</f>
        <v>225720191218192435226413</v>
      </c>
      <c r="C417" s="4" t="s">
        <v>12</v>
      </c>
      <c r="D417" s="4" t="str">
        <f>"孙圆圆"</f>
        <v>孙圆圆</v>
      </c>
      <c r="E417" s="4" t="str">
        <f>"女"</f>
        <v>女</v>
      </c>
      <c r="F417" s="4" t="str">
        <f>"1996-06-19"</f>
        <v>1996-06-19</v>
      </c>
      <c r="G417" s="4" t="str">
        <f t="shared" si="100"/>
        <v>本科</v>
      </c>
      <c r="H417" s="4" t="str">
        <f t="shared" si="99"/>
        <v>学士</v>
      </c>
      <c r="I417" s="4" t="str">
        <f aca="true" t="shared" si="106" ref="I417:I422">"汉语言文学"</f>
        <v>汉语言文学</v>
      </c>
      <c r="J417" s="4" t="str">
        <f t="shared" si="104"/>
        <v>无</v>
      </c>
    </row>
    <row r="418" spans="1:10" ht="27" customHeight="1">
      <c r="A418" s="4">
        <v>416</v>
      </c>
      <c r="B418" s="4" t="str">
        <f>"225720191218194446226417"</f>
        <v>225720191218194446226417</v>
      </c>
      <c r="C418" s="4" t="s">
        <v>12</v>
      </c>
      <c r="D418" s="4" t="str">
        <f>"黄叶青"</f>
        <v>黄叶青</v>
      </c>
      <c r="E418" s="4" t="str">
        <f>"女"</f>
        <v>女</v>
      </c>
      <c r="F418" s="4" t="str">
        <f>"1994-08-16"</f>
        <v>1994-08-16</v>
      </c>
      <c r="G418" s="4" t="str">
        <f t="shared" si="100"/>
        <v>本科</v>
      </c>
      <c r="H418" s="4" t="str">
        <f t="shared" si="99"/>
        <v>学士</v>
      </c>
      <c r="I418" s="4" t="str">
        <f>"人文地理与城乡规划"</f>
        <v>人文地理与城乡规划</v>
      </c>
      <c r="J418" s="4" t="str">
        <f t="shared" si="104"/>
        <v>无</v>
      </c>
    </row>
    <row r="419" spans="1:10" ht="27" customHeight="1">
      <c r="A419" s="4">
        <v>417</v>
      </c>
      <c r="B419" s="4" t="str">
        <f>"225720191218194827226419"</f>
        <v>225720191218194827226419</v>
      </c>
      <c r="C419" s="4" t="s">
        <v>12</v>
      </c>
      <c r="D419" s="4" t="str">
        <f>"张小蔓"</f>
        <v>张小蔓</v>
      </c>
      <c r="E419" s="4" t="str">
        <f>"女"</f>
        <v>女</v>
      </c>
      <c r="F419" s="4" t="str">
        <f>"1997-10-09"</f>
        <v>1997-10-09</v>
      </c>
      <c r="G419" s="4" t="str">
        <f t="shared" si="100"/>
        <v>本科</v>
      </c>
      <c r="H419" s="4" t="str">
        <f t="shared" si="99"/>
        <v>学士</v>
      </c>
      <c r="I419" s="4" t="str">
        <f t="shared" si="106"/>
        <v>汉语言文学</v>
      </c>
      <c r="J419" s="4" t="str">
        <f t="shared" si="104"/>
        <v>无</v>
      </c>
    </row>
    <row r="420" spans="1:10" ht="27" customHeight="1">
      <c r="A420" s="4">
        <v>418</v>
      </c>
      <c r="B420" s="4" t="str">
        <f>"225720191218201657226425"</f>
        <v>225720191218201657226425</v>
      </c>
      <c r="C420" s="4" t="s">
        <v>15</v>
      </c>
      <c r="D420" s="4" t="str">
        <f>"黄诚"</f>
        <v>黄诚</v>
      </c>
      <c r="E420" s="4" t="str">
        <f t="shared" si="105"/>
        <v>男</v>
      </c>
      <c r="F420" s="4" t="str">
        <f>"1990-07-06"</f>
        <v>1990-07-06</v>
      </c>
      <c r="G420" s="4" t="str">
        <f t="shared" si="100"/>
        <v>本科</v>
      </c>
      <c r="H420" s="4" t="str">
        <f t="shared" si="99"/>
        <v>学士</v>
      </c>
      <c r="I420" s="4" t="str">
        <f>"土地资源管理"</f>
        <v>土地资源管理</v>
      </c>
      <c r="J420" s="4" t="str">
        <f>"助理工程师"</f>
        <v>助理工程师</v>
      </c>
    </row>
    <row r="421" spans="1:10" ht="27" customHeight="1">
      <c r="A421" s="4">
        <v>419</v>
      </c>
      <c r="B421" s="4" t="str">
        <f>"225720191218202301226429"</f>
        <v>225720191218202301226429</v>
      </c>
      <c r="C421" s="4" t="s">
        <v>12</v>
      </c>
      <c r="D421" s="4" t="str">
        <f>"崔庭博"</f>
        <v>崔庭博</v>
      </c>
      <c r="E421" s="4" t="str">
        <f t="shared" si="105"/>
        <v>男</v>
      </c>
      <c r="F421" s="4" t="str">
        <f>"1995-07-01"</f>
        <v>1995-07-01</v>
      </c>
      <c r="G421" s="4" t="str">
        <f t="shared" si="100"/>
        <v>本科</v>
      </c>
      <c r="H421" s="4" t="str">
        <f t="shared" si="99"/>
        <v>学士</v>
      </c>
      <c r="I421" s="4" t="str">
        <f>"城乡规划"</f>
        <v>城乡规划</v>
      </c>
      <c r="J421" s="4" t="str">
        <f aca="true" t="shared" si="107" ref="J421:J429">"无"</f>
        <v>无</v>
      </c>
    </row>
    <row r="422" spans="1:10" ht="27" customHeight="1">
      <c r="A422" s="4">
        <v>420</v>
      </c>
      <c r="B422" s="4" t="str">
        <f>"225720191218202601226431"</f>
        <v>225720191218202601226431</v>
      </c>
      <c r="C422" s="4" t="s">
        <v>12</v>
      </c>
      <c r="D422" s="4" t="str">
        <f>"劳小薇"</f>
        <v>劳小薇</v>
      </c>
      <c r="E422" s="4" t="str">
        <f aca="true" t="shared" si="108" ref="E422:E428">"女"</f>
        <v>女</v>
      </c>
      <c r="F422" s="4" t="str">
        <f>"1992-05-12"</f>
        <v>1992-05-12</v>
      </c>
      <c r="G422" s="4" t="str">
        <f t="shared" si="100"/>
        <v>本科</v>
      </c>
      <c r="H422" s="4" t="str">
        <f t="shared" si="99"/>
        <v>学士</v>
      </c>
      <c r="I422" s="4" t="str">
        <f t="shared" si="106"/>
        <v>汉语言文学</v>
      </c>
      <c r="J422" s="4" t="str">
        <f t="shared" si="107"/>
        <v>无</v>
      </c>
    </row>
    <row r="423" spans="1:10" ht="27" customHeight="1">
      <c r="A423" s="4">
        <v>421</v>
      </c>
      <c r="B423" s="4" t="str">
        <f>"225720191218203408226434"</f>
        <v>225720191218203408226434</v>
      </c>
      <c r="C423" s="4" t="s">
        <v>12</v>
      </c>
      <c r="D423" s="4" t="str">
        <f>"杨晓君"</f>
        <v>杨晓君</v>
      </c>
      <c r="E423" s="4" t="str">
        <f t="shared" si="108"/>
        <v>女</v>
      </c>
      <c r="F423" s="4" t="str">
        <f>"1990-05-28"</f>
        <v>1990-05-28</v>
      </c>
      <c r="G423" s="4" t="str">
        <f t="shared" si="100"/>
        <v>本科</v>
      </c>
      <c r="H423" s="4" t="str">
        <f t="shared" si="99"/>
        <v>学士</v>
      </c>
      <c r="I423" s="4" t="str">
        <f>"法学专业"</f>
        <v>法学专业</v>
      </c>
      <c r="J423" s="4" t="str">
        <f t="shared" si="107"/>
        <v>无</v>
      </c>
    </row>
    <row r="424" spans="1:10" ht="27" customHeight="1">
      <c r="A424" s="4">
        <v>422</v>
      </c>
      <c r="B424" s="4" t="str">
        <f>"225720191218203741226435"</f>
        <v>225720191218203741226435</v>
      </c>
      <c r="C424" s="4" t="s">
        <v>12</v>
      </c>
      <c r="D424" s="4" t="str">
        <f>"莫家阳"</f>
        <v>莫家阳</v>
      </c>
      <c r="E424" s="4" t="str">
        <f>"男"</f>
        <v>男</v>
      </c>
      <c r="F424" s="4" t="str">
        <f>"1996-06-02"</f>
        <v>1996-06-02</v>
      </c>
      <c r="G424" s="4" t="str">
        <f t="shared" si="100"/>
        <v>本科</v>
      </c>
      <c r="H424" s="4" t="str">
        <f t="shared" si="99"/>
        <v>学士</v>
      </c>
      <c r="I424" s="4" t="str">
        <f>"汉语言文学专业"</f>
        <v>汉语言文学专业</v>
      </c>
      <c r="J424" s="4" t="str">
        <f t="shared" si="107"/>
        <v>无</v>
      </c>
    </row>
    <row r="425" spans="1:10" ht="27" customHeight="1">
      <c r="A425" s="4">
        <v>423</v>
      </c>
      <c r="B425" s="4" t="str">
        <f>"225720191218203815226436"</f>
        <v>225720191218203815226436</v>
      </c>
      <c r="C425" s="4" t="s">
        <v>12</v>
      </c>
      <c r="D425" s="4" t="str">
        <f>"陈姗姗"</f>
        <v>陈姗姗</v>
      </c>
      <c r="E425" s="4" t="str">
        <f t="shared" si="108"/>
        <v>女</v>
      </c>
      <c r="F425" s="4" t="str">
        <f>"1995-09-22"</f>
        <v>1995-09-22</v>
      </c>
      <c r="G425" s="4" t="str">
        <f t="shared" si="100"/>
        <v>本科</v>
      </c>
      <c r="H425" s="4" t="str">
        <f t="shared" si="99"/>
        <v>学士</v>
      </c>
      <c r="I425" s="4" t="str">
        <f>"人文地理与城乡规划"</f>
        <v>人文地理与城乡规划</v>
      </c>
      <c r="J425" s="4" t="str">
        <f t="shared" si="107"/>
        <v>无</v>
      </c>
    </row>
    <row r="426" spans="1:10" ht="27" customHeight="1">
      <c r="A426" s="4">
        <v>424</v>
      </c>
      <c r="B426" s="4" t="str">
        <f>"225720191218205704226441"</f>
        <v>225720191218205704226441</v>
      </c>
      <c r="C426" s="4" t="s">
        <v>19</v>
      </c>
      <c r="D426" s="4" t="str">
        <f>"梁秀颜"</f>
        <v>梁秀颜</v>
      </c>
      <c r="E426" s="4" t="str">
        <f t="shared" si="108"/>
        <v>女</v>
      </c>
      <c r="F426" s="4" t="str">
        <f>"1993-12-16"</f>
        <v>1993-12-16</v>
      </c>
      <c r="G426" s="4" t="str">
        <f t="shared" si="100"/>
        <v>本科</v>
      </c>
      <c r="H426" s="4" t="str">
        <f t="shared" si="99"/>
        <v>学士</v>
      </c>
      <c r="I426" s="4" t="str">
        <f>"信息管理与信息系统"</f>
        <v>信息管理与信息系统</v>
      </c>
      <c r="J426" s="4" t="str">
        <f t="shared" si="107"/>
        <v>无</v>
      </c>
    </row>
    <row r="427" spans="1:10" ht="27" customHeight="1">
      <c r="A427" s="4">
        <v>425</v>
      </c>
      <c r="B427" s="4" t="str">
        <f>"225720191218213050226449"</f>
        <v>225720191218213050226449</v>
      </c>
      <c r="C427" s="4" t="s">
        <v>12</v>
      </c>
      <c r="D427" s="4" t="str">
        <f>"李杰玲"</f>
        <v>李杰玲</v>
      </c>
      <c r="E427" s="4" t="str">
        <f t="shared" si="108"/>
        <v>女</v>
      </c>
      <c r="F427" s="4" t="str">
        <f>"1990-02-03"</f>
        <v>1990-02-03</v>
      </c>
      <c r="G427" s="4" t="str">
        <f t="shared" si="100"/>
        <v>本科</v>
      </c>
      <c r="H427" s="4" t="str">
        <f t="shared" si="99"/>
        <v>学士</v>
      </c>
      <c r="I427" s="4" t="str">
        <f>"汉语言文学专业"</f>
        <v>汉语言文学专业</v>
      </c>
      <c r="J427" s="4" t="str">
        <f t="shared" si="107"/>
        <v>无</v>
      </c>
    </row>
    <row r="428" spans="1:10" ht="27" customHeight="1">
      <c r="A428" s="4">
        <v>426</v>
      </c>
      <c r="B428" s="4" t="str">
        <f>"225720191218214311226453"</f>
        <v>225720191218214311226453</v>
      </c>
      <c r="C428" s="4" t="s">
        <v>12</v>
      </c>
      <c r="D428" s="4" t="str">
        <f>"林媛媛"</f>
        <v>林媛媛</v>
      </c>
      <c r="E428" s="4" t="str">
        <f t="shared" si="108"/>
        <v>女</v>
      </c>
      <c r="F428" s="4" t="str">
        <f>"1996-10-10"</f>
        <v>1996-10-10</v>
      </c>
      <c r="G428" s="4" t="str">
        <f t="shared" si="100"/>
        <v>本科</v>
      </c>
      <c r="H428" s="4" t="str">
        <f t="shared" si="99"/>
        <v>学士</v>
      </c>
      <c r="I428" s="4" t="str">
        <f>"汉语言文学"</f>
        <v>汉语言文学</v>
      </c>
      <c r="J428" s="4" t="str">
        <f t="shared" si="107"/>
        <v>无</v>
      </c>
    </row>
    <row r="429" spans="1:10" ht="27" customHeight="1">
      <c r="A429" s="4">
        <v>427</v>
      </c>
      <c r="B429" s="4" t="str">
        <f>"225720191218214435226454"</f>
        <v>225720191218214435226454</v>
      </c>
      <c r="C429" s="4" t="s">
        <v>17</v>
      </c>
      <c r="D429" s="4" t="str">
        <f>"王优"</f>
        <v>王优</v>
      </c>
      <c r="E429" s="4" t="str">
        <f aca="true" t="shared" si="109" ref="E429:E434">"男"</f>
        <v>男</v>
      </c>
      <c r="F429" s="4" t="str">
        <f>"1994-07-08"</f>
        <v>1994-07-08</v>
      </c>
      <c r="G429" s="4" t="str">
        <f t="shared" si="100"/>
        <v>本科</v>
      </c>
      <c r="H429" s="4" t="str">
        <f t="shared" si="99"/>
        <v>学士</v>
      </c>
      <c r="I429" s="4" t="str">
        <f>"计算机科学与技术"</f>
        <v>计算机科学与技术</v>
      </c>
      <c r="J429" s="4" t="str">
        <f t="shared" si="107"/>
        <v>无</v>
      </c>
    </row>
    <row r="430" spans="1:10" ht="27" customHeight="1">
      <c r="A430" s="4">
        <v>428</v>
      </c>
      <c r="B430" s="4" t="str">
        <f>"225720191218220016226460"</f>
        <v>225720191218220016226460</v>
      </c>
      <c r="C430" s="4" t="s">
        <v>12</v>
      </c>
      <c r="D430" s="4" t="str">
        <f>"蒙波"</f>
        <v>蒙波</v>
      </c>
      <c r="E430" s="4" t="str">
        <f t="shared" si="109"/>
        <v>男</v>
      </c>
      <c r="F430" s="4" t="str">
        <f>"1986-09-16"</f>
        <v>1986-09-16</v>
      </c>
      <c r="G430" s="4" t="str">
        <f t="shared" si="100"/>
        <v>本科</v>
      </c>
      <c r="H430" s="4" t="str">
        <f t="shared" si="99"/>
        <v>学士</v>
      </c>
      <c r="I430" s="4" t="str">
        <f>"城市规划"</f>
        <v>城市规划</v>
      </c>
      <c r="J430" s="4" t="str">
        <f>"助理规划师"</f>
        <v>助理规划师</v>
      </c>
    </row>
    <row r="431" spans="1:10" ht="27" customHeight="1">
      <c r="A431" s="4">
        <v>429</v>
      </c>
      <c r="B431" s="4" t="str">
        <f>"225720191218222712226467"</f>
        <v>225720191218222712226467</v>
      </c>
      <c r="C431" s="4" t="s">
        <v>12</v>
      </c>
      <c r="D431" s="4" t="str">
        <f>"吴惠英"</f>
        <v>吴惠英</v>
      </c>
      <c r="E431" s="4" t="str">
        <f>"女"</f>
        <v>女</v>
      </c>
      <c r="F431" s="4" t="str">
        <f>"1988-02-02"</f>
        <v>1988-02-02</v>
      </c>
      <c r="G431" s="4" t="str">
        <f t="shared" si="100"/>
        <v>本科</v>
      </c>
      <c r="H431" s="4" t="str">
        <f t="shared" si="99"/>
        <v>学士</v>
      </c>
      <c r="I431" s="4" t="str">
        <f>"法学"</f>
        <v>法学</v>
      </c>
      <c r="J431" s="4" t="str">
        <f>"无"</f>
        <v>无</v>
      </c>
    </row>
    <row r="432" spans="1:10" ht="27" customHeight="1">
      <c r="A432" s="4">
        <v>430</v>
      </c>
      <c r="B432" s="4" t="str">
        <f>"225720191218224629226471"</f>
        <v>225720191218224629226471</v>
      </c>
      <c r="C432" s="4" t="s">
        <v>12</v>
      </c>
      <c r="D432" s="4" t="str">
        <f>"谢裕雯"</f>
        <v>谢裕雯</v>
      </c>
      <c r="E432" s="4" t="str">
        <f>"女"</f>
        <v>女</v>
      </c>
      <c r="F432" s="4" t="str">
        <f>"1988-10-23"</f>
        <v>1988-10-23</v>
      </c>
      <c r="G432" s="4" t="str">
        <f t="shared" si="100"/>
        <v>本科</v>
      </c>
      <c r="H432" s="4" t="str">
        <f t="shared" si="99"/>
        <v>学士</v>
      </c>
      <c r="I432" s="4" t="str">
        <f>"汉语言文学"</f>
        <v>汉语言文学</v>
      </c>
      <c r="J432" s="4" t="str">
        <f>"无"</f>
        <v>无</v>
      </c>
    </row>
    <row r="433" spans="1:10" ht="27" customHeight="1">
      <c r="A433" s="4">
        <v>431</v>
      </c>
      <c r="B433" s="4" t="str">
        <f>"225720191218225800226476"</f>
        <v>225720191218225800226476</v>
      </c>
      <c r="C433" s="4" t="s">
        <v>12</v>
      </c>
      <c r="D433" s="4" t="str">
        <f>"王晓娜"</f>
        <v>王晓娜</v>
      </c>
      <c r="E433" s="4" t="str">
        <f>"女"</f>
        <v>女</v>
      </c>
      <c r="F433" s="4" t="str">
        <f>"1993-02-05"</f>
        <v>1993-02-05</v>
      </c>
      <c r="G433" s="4" t="str">
        <f t="shared" si="100"/>
        <v>本科</v>
      </c>
      <c r="H433" s="4" t="str">
        <f t="shared" si="99"/>
        <v>学士</v>
      </c>
      <c r="I433" s="4" t="str">
        <f>"城市规划专业"</f>
        <v>城市规划专业</v>
      </c>
      <c r="J433" s="4" t="str">
        <f>"助理工程师"</f>
        <v>助理工程师</v>
      </c>
    </row>
    <row r="434" spans="1:10" ht="27" customHeight="1">
      <c r="A434" s="4">
        <v>432</v>
      </c>
      <c r="B434" s="4" t="str">
        <f>"225720191218230738226479"</f>
        <v>225720191218230738226479</v>
      </c>
      <c r="C434" s="4" t="s">
        <v>12</v>
      </c>
      <c r="D434" s="4" t="str">
        <f>"陈崇屹"</f>
        <v>陈崇屹</v>
      </c>
      <c r="E434" s="4" t="str">
        <f t="shared" si="109"/>
        <v>男</v>
      </c>
      <c r="F434" s="4" t="str">
        <f>"1997-07-11"</f>
        <v>1997-07-11</v>
      </c>
      <c r="G434" s="4" t="str">
        <f t="shared" si="100"/>
        <v>本科</v>
      </c>
      <c r="H434" s="4" t="str">
        <f t="shared" si="99"/>
        <v>学士</v>
      </c>
      <c r="I434" s="4" t="str">
        <f>"土地资源管理专业"</f>
        <v>土地资源管理专业</v>
      </c>
      <c r="J434" s="4" t="str">
        <f>"无"</f>
        <v>无</v>
      </c>
    </row>
    <row r="435" spans="1:10" ht="27" customHeight="1">
      <c r="A435" s="4">
        <v>433</v>
      </c>
      <c r="B435" s="4" t="str">
        <f>"225720191218232131226483"</f>
        <v>225720191218232131226483</v>
      </c>
      <c r="C435" s="4" t="s">
        <v>16</v>
      </c>
      <c r="D435" s="4" t="str">
        <f>"王小漫"</f>
        <v>王小漫</v>
      </c>
      <c r="E435" s="4" t="str">
        <f>"女"</f>
        <v>女</v>
      </c>
      <c r="F435" s="4" t="str">
        <f>"1991-12-08"</f>
        <v>1991-12-08</v>
      </c>
      <c r="G435" s="4" t="str">
        <f t="shared" si="100"/>
        <v>本科</v>
      </c>
      <c r="H435" s="4" t="str">
        <f t="shared" si="99"/>
        <v>学士</v>
      </c>
      <c r="I435" s="4" t="str">
        <f>"地理信息系统"</f>
        <v>地理信息系统</v>
      </c>
      <c r="J435" s="4" t="str">
        <f>"助理工程师"</f>
        <v>助理工程师</v>
      </c>
    </row>
    <row r="436" spans="1:10" ht="27" customHeight="1">
      <c r="A436" s="4">
        <v>434</v>
      </c>
      <c r="B436" s="4" t="str">
        <f>"225720191219000231226491"</f>
        <v>225720191219000231226491</v>
      </c>
      <c r="C436" s="4" t="s">
        <v>12</v>
      </c>
      <c r="D436" s="4" t="str">
        <f>"严晗雨"</f>
        <v>严晗雨</v>
      </c>
      <c r="E436" s="4" t="str">
        <f>"女"</f>
        <v>女</v>
      </c>
      <c r="F436" s="4" t="str">
        <f>"1996-08-31"</f>
        <v>1996-08-31</v>
      </c>
      <c r="G436" s="4" t="str">
        <f t="shared" si="100"/>
        <v>本科</v>
      </c>
      <c r="H436" s="4" t="str">
        <f t="shared" si="99"/>
        <v>学士</v>
      </c>
      <c r="I436" s="4" t="str">
        <f>"汉语言文学"</f>
        <v>汉语言文学</v>
      </c>
      <c r="J436" s="4" t="str">
        <f>"无"</f>
        <v>无</v>
      </c>
    </row>
    <row r="437" spans="1:10" ht="27" customHeight="1">
      <c r="A437" s="4">
        <v>435</v>
      </c>
      <c r="B437" s="4" t="str">
        <f>"225720191219002024226493"</f>
        <v>225720191219002024226493</v>
      </c>
      <c r="C437" s="4" t="s">
        <v>16</v>
      </c>
      <c r="D437" s="4" t="str">
        <f>"张峻"</f>
        <v>张峻</v>
      </c>
      <c r="E437" s="4" t="str">
        <f>"男"</f>
        <v>男</v>
      </c>
      <c r="F437" s="4" t="str">
        <f>"1989-03-14"</f>
        <v>1989-03-14</v>
      </c>
      <c r="G437" s="4" t="str">
        <f t="shared" si="100"/>
        <v>本科</v>
      </c>
      <c r="H437" s="4" t="str">
        <f t="shared" si="99"/>
        <v>学士</v>
      </c>
      <c r="I437" s="4" t="str">
        <f>"地理信息系统"</f>
        <v>地理信息系统</v>
      </c>
      <c r="J437" s="4" t="str">
        <f>"助理工程师"</f>
        <v>助理工程师</v>
      </c>
    </row>
    <row r="438" spans="1:10" ht="27" customHeight="1">
      <c r="A438" s="4">
        <v>436</v>
      </c>
      <c r="B438" s="4" t="str">
        <f>"225720191219014238226495"</f>
        <v>225720191219014238226495</v>
      </c>
      <c r="C438" s="4" t="s">
        <v>12</v>
      </c>
      <c r="D438" s="4" t="str">
        <f>"林冶纯"</f>
        <v>林冶纯</v>
      </c>
      <c r="E438" s="4" t="str">
        <f>"女"</f>
        <v>女</v>
      </c>
      <c r="F438" s="4" t="str">
        <f>"1997-09-23"</f>
        <v>1997-09-23</v>
      </c>
      <c r="G438" s="4" t="str">
        <f t="shared" si="100"/>
        <v>本科</v>
      </c>
      <c r="H438" s="4" t="str">
        <f t="shared" si="99"/>
        <v>学士</v>
      </c>
      <c r="I438" s="4" t="str">
        <f>"法学"</f>
        <v>法学</v>
      </c>
      <c r="J438" s="4" t="str">
        <f>"无"</f>
        <v>无</v>
      </c>
    </row>
    <row r="439" spans="1:10" ht="27" customHeight="1">
      <c r="A439" s="4">
        <v>437</v>
      </c>
      <c r="B439" s="4" t="str">
        <f>"225720191219084151226502"</f>
        <v>225720191219084151226502</v>
      </c>
      <c r="C439" s="4" t="s">
        <v>17</v>
      </c>
      <c r="D439" s="4" t="str">
        <f>"袁昌伟"</f>
        <v>袁昌伟</v>
      </c>
      <c r="E439" s="4" t="str">
        <f>"男"</f>
        <v>男</v>
      </c>
      <c r="F439" s="4" t="str">
        <f>"1992-08-11"</f>
        <v>1992-08-11</v>
      </c>
      <c r="G439" s="4" t="str">
        <f t="shared" si="100"/>
        <v>本科</v>
      </c>
      <c r="H439" s="4" t="str">
        <f t="shared" si="99"/>
        <v>学士</v>
      </c>
      <c r="I439" s="4" t="str">
        <f>"计算机科学与技术"</f>
        <v>计算机科学与技术</v>
      </c>
      <c r="J439" s="4" t="str">
        <f>"无"</f>
        <v>无</v>
      </c>
    </row>
    <row r="440" spans="1:10" ht="27" customHeight="1">
      <c r="A440" s="4">
        <v>438</v>
      </c>
      <c r="B440" s="4" t="str">
        <f>"225720191219084152226503"</f>
        <v>225720191219084152226503</v>
      </c>
      <c r="C440" s="4" t="s">
        <v>12</v>
      </c>
      <c r="D440" s="4" t="str">
        <f>"龚建华"</f>
        <v>龚建华</v>
      </c>
      <c r="E440" s="4" t="str">
        <f>"女"</f>
        <v>女</v>
      </c>
      <c r="F440" s="4" t="str">
        <f>"1995-02-13"</f>
        <v>1995-02-13</v>
      </c>
      <c r="G440" s="4" t="str">
        <f t="shared" si="100"/>
        <v>本科</v>
      </c>
      <c r="H440" s="4" t="str">
        <f t="shared" si="99"/>
        <v>学士</v>
      </c>
      <c r="I440" s="4" t="str">
        <f>"汉语言文学"</f>
        <v>汉语言文学</v>
      </c>
      <c r="J440" s="4" t="str">
        <f>"无"</f>
        <v>无</v>
      </c>
    </row>
    <row r="441" spans="1:10" ht="27" customHeight="1">
      <c r="A441" s="4">
        <v>439</v>
      </c>
      <c r="B441" s="4" t="str">
        <f>"225720191219085526226508"</f>
        <v>225720191219085526226508</v>
      </c>
      <c r="C441" s="4" t="s">
        <v>12</v>
      </c>
      <c r="D441" s="4" t="str">
        <f>"杨喻捷"</f>
        <v>杨喻捷</v>
      </c>
      <c r="E441" s="4" t="str">
        <f>"女"</f>
        <v>女</v>
      </c>
      <c r="F441" s="4" t="str">
        <f>"1991-08-30"</f>
        <v>1991-08-30</v>
      </c>
      <c r="G441" s="4" t="str">
        <f t="shared" si="100"/>
        <v>本科</v>
      </c>
      <c r="H441" s="4" t="str">
        <f t="shared" si="99"/>
        <v>学士</v>
      </c>
      <c r="I441" s="4" t="str">
        <f>"城市规划"</f>
        <v>城市规划</v>
      </c>
      <c r="J441" s="4" t="str">
        <f>"初级"</f>
        <v>初级</v>
      </c>
    </row>
    <row r="442" spans="1:10" ht="27" customHeight="1">
      <c r="A442" s="4">
        <v>440</v>
      </c>
      <c r="B442" s="4" t="str">
        <f>"225720191219085819226511"</f>
        <v>225720191219085819226511</v>
      </c>
      <c r="C442" s="4" t="s">
        <v>16</v>
      </c>
      <c r="D442" s="4" t="str">
        <f>"梁秀丽"</f>
        <v>梁秀丽</v>
      </c>
      <c r="E442" s="4" t="str">
        <f>"女"</f>
        <v>女</v>
      </c>
      <c r="F442" s="4" t="str">
        <f>"1993-01-12"</f>
        <v>1993-01-12</v>
      </c>
      <c r="G442" s="4" t="str">
        <f t="shared" si="100"/>
        <v>本科</v>
      </c>
      <c r="H442" s="4" t="str">
        <f t="shared" si="99"/>
        <v>学士</v>
      </c>
      <c r="I442" s="4" t="str">
        <f>"资源环境与城乡规划管理"</f>
        <v>资源环境与城乡规划管理</v>
      </c>
      <c r="J442" s="4" t="str">
        <f>"无"</f>
        <v>无</v>
      </c>
    </row>
    <row r="443" spans="1:10" ht="27" customHeight="1">
      <c r="A443" s="4">
        <v>441</v>
      </c>
      <c r="B443" s="4" t="str">
        <f>"225720191219090549226512"</f>
        <v>225720191219090549226512</v>
      </c>
      <c r="C443" s="4" t="s">
        <v>12</v>
      </c>
      <c r="D443" s="4" t="str">
        <f>"吉训臣"</f>
        <v>吉训臣</v>
      </c>
      <c r="E443" s="4" t="str">
        <f>"男"</f>
        <v>男</v>
      </c>
      <c r="F443" s="4" t="str">
        <f>"1995-04-13"</f>
        <v>1995-04-13</v>
      </c>
      <c r="G443" s="4" t="str">
        <f t="shared" si="100"/>
        <v>本科</v>
      </c>
      <c r="H443" s="4" t="str">
        <f t="shared" si="99"/>
        <v>学士</v>
      </c>
      <c r="I443" s="4" t="str">
        <f>"汉语言文学"</f>
        <v>汉语言文学</v>
      </c>
      <c r="J443" s="4" t="str">
        <f>"无"</f>
        <v>无</v>
      </c>
    </row>
    <row r="444" spans="1:10" ht="27" customHeight="1">
      <c r="A444" s="4">
        <v>442</v>
      </c>
      <c r="B444" s="4" t="str">
        <f>"225720191219094737226525"</f>
        <v>225720191219094737226525</v>
      </c>
      <c r="C444" s="4" t="s">
        <v>12</v>
      </c>
      <c r="D444" s="4" t="str">
        <f>"邓晶莹"</f>
        <v>邓晶莹</v>
      </c>
      <c r="E444" s="4" t="str">
        <f aca="true" t="shared" si="110" ref="E444:E455">"女"</f>
        <v>女</v>
      </c>
      <c r="F444" s="4" t="str">
        <f>"1997-04-14"</f>
        <v>1997-04-14</v>
      </c>
      <c r="G444" s="4" t="str">
        <f t="shared" si="100"/>
        <v>本科</v>
      </c>
      <c r="H444" s="4" t="str">
        <f t="shared" si="99"/>
        <v>学士</v>
      </c>
      <c r="I444" s="4" t="str">
        <f>"法学专业"</f>
        <v>法学专业</v>
      </c>
      <c r="J444" s="4" t="str">
        <f>"无"</f>
        <v>无</v>
      </c>
    </row>
    <row r="445" spans="1:10" ht="27" customHeight="1">
      <c r="A445" s="4">
        <v>443</v>
      </c>
      <c r="B445" s="4" t="str">
        <f>"225720191219101631226537"</f>
        <v>225720191219101631226537</v>
      </c>
      <c r="C445" s="4" t="s">
        <v>19</v>
      </c>
      <c r="D445" s="4" t="str">
        <f>"唐晓亮"</f>
        <v>唐晓亮</v>
      </c>
      <c r="E445" s="4" t="str">
        <f>"男"</f>
        <v>男</v>
      </c>
      <c r="F445" s="4" t="str">
        <f>"1990-06-05"</f>
        <v>1990-06-05</v>
      </c>
      <c r="G445" s="4" t="str">
        <f t="shared" si="100"/>
        <v>本科</v>
      </c>
      <c r="H445" s="4" t="str">
        <f>"无"</f>
        <v>无</v>
      </c>
      <c r="I445" s="4" t="str">
        <f>"信息管理与信息系统"</f>
        <v>信息管理与信息系统</v>
      </c>
      <c r="J445" s="4" t="str">
        <f>"无"</f>
        <v>无</v>
      </c>
    </row>
    <row r="446" spans="1:10" ht="27" customHeight="1">
      <c r="A446" s="4">
        <v>444</v>
      </c>
      <c r="B446" s="4" t="str">
        <f>"225720191219102343226540"</f>
        <v>225720191219102343226540</v>
      </c>
      <c r="C446" s="4" t="s">
        <v>12</v>
      </c>
      <c r="D446" s="4" t="str">
        <f>"李儒贤"</f>
        <v>李儒贤</v>
      </c>
      <c r="E446" s="4" t="str">
        <f>"男"</f>
        <v>男</v>
      </c>
      <c r="F446" s="4" t="str">
        <f>"1995-10-28"</f>
        <v>1995-10-28</v>
      </c>
      <c r="G446" s="4" t="str">
        <f t="shared" si="100"/>
        <v>本科</v>
      </c>
      <c r="H446" s="4" t="str">
        <f aca="true" t="shared" si="111" ref="H446:H451">"学士"</f>
        <v>学士</v>
      </c>
      <c r="I446" s="4" t="str">
        <f>"土地资源管理"</f>
        <v>土地资源管理</v>
      </c>
      <c r="J446" s="4" t="str">
        <f>"无"</f>
        <v>无</v>
      </c>
    </row>
    <row r="447" spans="1:10" ht="27" customHeight="1">
      <c r="A447" s="4">
        <v>445</v>
      </c>
      <c r="B447" s="4" t="str">
        <f>"225720191219102727226541"</f>
        <v>225720191219102727226541</v>
      </c>
      <c r="C447" s="4" t="s">
        <v>16</v>
      </c>
      <c r="D447" s="4" t="str">
        <f>"杨鑫"</f>
        <v>杨鑫</v>
      </c>
      <c r="E447" s="4" t="str">
        <f t="shared" si="110"/>
        <v>女</v>
      </c>
      <c r="F447" s="4" t="str">
        <f>"1994-06-25"</f>
        <v>1994-06-25</v>
      </c>
      <c r="G447" s="4" t="str">
        <f t="shared" si="100"/>
        <v>本科</v>
      </c>
      <c r="H447" s="4" t="str">
        <f t="shared" si="111"/>
        <v>学士</v>
      </c>
      <c r="I447" s="4" t="str">
        <f>"资源环境与城乡规划管理"</f>
        <v>资源环境与城乡规划管理</v>
      </c>
      <c r="J447" s="4" t="str">
        <f>"GIS工程师二级"</f>
        <v>GIS工程师二级</v>
      </c>
    </row>
    <row r="448" spans="1:10" ht="27" customHeight="1">
      <c r="A448" s="4">
        <v>446</v>
      </c>
      <c r="B448" s="4" t="str">
        <f>"225720191219103605226546"</f>
        <v>225720191219103605226546</v>
      </c>
      <c r="C448" s="4" t="s">
        <v>12</v>
      </c>
      <c r="D448" s="4" t="str">
        <f>"吴佳鲜"</f>
        <v>吴佳鲜</v>
      </c>
      <c r="E448" s="4" t="str">
        <f t="shared" si="110"/>
        <v>女</v>
      </c>
      <c r="F448" s="4" t="str">
        <f>"1995-01-02"</f>
        <v>1995-01-02</v>
      </c>
      <c r="G448" s="4" t="str">
        <f t="shared" si="100"/>
        <v>本科</v>
      </c>
      <c r="H448" s="4" t="str">
        <f t="shared" si="111"/>
        <v>学士</v>
      </c>
      <c r="I448" s="4" t="str">
        <f>"法学"</f>
        <v>法学</v>
      </c>
      <c r="J448" s="4" t="str">
        <f>"无"</f>
        <v>无</v>
      </c>
    </row>
    <row r="449" spans="1:10" ht="27" customHeight="1">
      <c r="A449" s="4">
        <v>447</v>
      </c>
      <c r="B449" s="4" t="str">
        <f>"225720191219110428226560"</f>
        <v>225720191219110428226560</v>
      </c>
      <c r="C449" s="4" t="s">
        <v>12</v>
      </c>
      <c r="D449" s="4" t="str">
        <f>"叶裕娟"</f>
        <v>叶裕娟</v>
      </c>
      <c r="E449" s="4" t="str">
        <f t="shared" si="110"/>
        <v>女</v>
      </c>
      <c r="F449" s="4" t="str">
        <f>"1994-12-21"</f>
        <v>1994-12-21</v>
      </c>
      <c r="G449" s="4" t="str">
        <f t="shared" si="100"/>
        <v>本科</v>
      </c>
      <c r="H449" s="4" t="str">
        <f t="shared" si="111"/>
        <v>学士</v>
      </c>
      <c r="I449" s="4" t="str">
        <f>"土地资源管理"</f>
        <v>土地资源管理</v>
      </c>
      <c r="J449" s="4" t="str">
        <f>"高级分析员"</f>
        <v>高级分析员</v>
      </c>
    </row>
    <row r="450" spans="1:10" ht="27" customHeight="1">
      <c r="A450" s="4">
        <v>448</v>
      </c>
      <c r="B450" s="4" t="str">
        <f>"225720191219112229226567"</f>
        <v>225720191219112229226567</v>
      </c>
      <c r="C450" s="4" t="s">
        <v>12</v>
      </c>
      <c r="D450" s="4" t="str">
        <f>"王丹"</f>
        <v>王丹</v>
      </c>
      <c r="E450" s="4" t="str">
        <f t="shared" si="110"/>
        <v>女</v>
      </c>
      <c r="F450" s="4" t="str">
        <f>"1995-03-05"</f>
        <v>1995-03-05</v>
      </c>
      <c r="G450" s="4" t="str">
        <f t="shared" si="100"/>
        <v>本科</v>
      </c>
      <c r="H450" s="4" t="str">
        <f t="shared" si="111"/>
        <v>学士</v>
      </c>
      <c r="I450" s="4" t="str">
        <f>"汉语言文学专业"</f>
        <v>汉语言文学专业</v>
      </c>
      <c r="J450" s="4" t="str">
        <f>"无"</f>
        <v>无</v>
      </c>
    </row>
    <row r="451" spans="1:10" ht="27" customHeight="1">
      <c r="A451" s="4">
        <v>449</v>
      </c>
      <c r="B451" s="4" t="str">
        <f>"225720191219114946226571"</f>
        <v>225720191219114946226571</v>
      </c>
      <c r="C451" s="4" t="s">
        <v>16</v>
      </c>
      <c r="D451" s="4" t="str">
        <f>"屈婵"</f>
        <v>屈婵</v>
      </c>
      <c r="E451" s="4" t="str">
        <f t="shared" si="110"/>
        <v>女</v>
      </c>
      <c r="F451" s="4" t="str">
        <f>"1994-01-04"</f>
        <v>1994-01-04</v>
      </c>
      <c r="G451" s="4" t="str">
        <f t="shared" si="100"/>
        <v>本科</v>
      </c>
      <c r="H451" s="4" t="str">
        <f t="shared" si="111"/>
        <v>学士</v>
      </c>
      <c r="I451" s="4" t="str">
        <f>"资源环境与城乡规划管理"</f>
        <v>资源环境与城乡规划管理</v>
      </c>
      <c r="J451" s="4" t="str">
        <f>"助理工程师"</f>
        <v>助理工程师</v>
      </c>
    </row>
    <row r="452" spans="1:10" ht="27" customHeight="1">
      <c r="A452" s="4">
        <v>450</v>
      </c>
      <c r="B452" s="4" t="str">
        <f>"225720191219120443226572"</f>
        <v>225720191219120443226572</v>
      </c>
      <c r="C452" s="4" t="s">
        <v>11</v>
      </c>
      <c r="D452" s="4" t="str">
        <f>"扶月月"</f>
        <v>扶月月</v>
      </c>
      <c r="E452" s="4" t="str">
        <f t="shared" si="110"/>
        <v>女</v>
      </c>
      <c r="F452" s="4" t="str">
        <f>"1994-08-17"</f>
        <v>1994-08-17</v>
      </c>
      <c r="G452" s="4" t="str">
        <f>"研究生"</f>
        <v>研究生</v>
      </c>
      <c r="H452" s="4" t="str">
        <f>"硕士"</f>
        <v>硕士</v>
      </c>
      <c r="I452" s="4" t="str">
        <f>"计算机科学与技术"</f>
        <v>计算机科学与技术</v>
      </c>
      <c r="J452" s="4" t="str">
        <f>"无"</f>
        <v>无</v>
      </c>
    </row>
    <row r="453" spans="1:10" ht="27" customHeight="1">
      <c r="A453" s="4">
        <v>451</v>
      </c>
      <c r="B453" s="4" t="str">
        <f>"225720191219123503226577"</f>
        <v>225720191219123503226577</v>
      </c>
      <c r="C453" s="4" t="s">
        <v>16</v>
      </c>
      <c r="D453" s="4" t="str">
        <f>"蔡金宇"</f>
        <v>蔡金宇</v>
      </c>
      <c r="E453" s="4" t="str">
        <f t="shared" si="110"/>
        <v>女</v>
      </c>
      <c r="F453" s="4" t="str">
        <f>"1996-12-01"</f>
        <v>1996-12-01</v>
      </c>
      <c r="G453" s="4" t="str">
        <f aca="true" t="shared" si="112" ref="G453:G467">"本科"</f>
        <v>本科</v>
      </c>
      <c r="H453" s="4" t="str">
        <f aca="true" t="shared" si="113" ref="H453:H458">"学士"</f>
        <v>学士</v>
      </c>
      <c r="I453" s="4" t="str">
        <f>"地理信息科学"</f>
        <v>地理信息科学</v>
      </c>
      <c r="J453" s="4" t="str">
        <f>"助理工程师"</f>
        <v>助理工程师</v>
      </c>
    </row>
    <row r="454" spans="1:10" ht="27" customHeight="1">
      <c r="A454" s="4">
        <v>452</v>
      </c>
      <c r="B454" s="4" t="str">
        <f>"225720191219124347226581"</f>
        <v>225720191219124347226581</v>
      </c>
      <c r="C454" s="4" t="s">
        <v>12</v>
      </c>
      <c r="D454" s="4" t="str">
        <f>"郭金存"</f>
        <v>郭金存</v>
      </c>
      <c r="E454" s="4" t="str">
        <f t="shared" si="110"/>
        <v>女</v>
      </c>
      <c r="F454" s="4" t="str">
        <f>"1990-05-11"</f>
        <v>1990-05-11</v>
      </c>
      <c r="G454" s="4" t="str">
        <f t="shared" si="112"/>
        <v>本科</v>
      </c>
      <c r="H454" s="4" t="str">
        <f t="shared" si="113"/>
        <v>学士</v>
      </c>
      <c r="I454" s="4" t="str">
        <f>"汉语言文学"</f>
        <v>汉语言文学</v>
      </c>
      <c r="J454" s="4" t="str">
        <f>"无"</f>
        <v>无</v>
      </c>
    </row>
    <row r="455" spans="1:10" ht="27" customHeight="1">
      <c r="A455" s="4">
        <v>453</v>
      </c>
      <c r="B455" s="4" t="str">
        <f>"225720191219135600226595"</f>
        <v>225720191219135600226595</v>
      </c>
      <c r="C455" s="4" t="s">
        <v>16</v>
      </c>
      <c r="D455" s="4" t="str">
        <f>"王明霞"</f>
        <v>王明霞</v>
      </c>
      <c r="E455" s="4" t="str">
        <f t="shared" si="110"/>
        <v>女</v>
      </c>
      <c r="F455" s="4" t="str">
        <f>"1994-11-19"</f>
        <v>1994-11-19</v>
      </c>
      <c r="G455" s="4" t="str">
        <f t="shared" si="112"/>
        <v>本科</v>
      </c>
      <c r="H455" s="4" t="str">
        <f t="shared" si="113"/>
        <v>学士</v>
      </c>
      <c r="I455" s="4" t="str">
        <f>"地理信息系统"</f>
        <v>地理信息系统</v>
      </c>
      <c r="J455" s="4" t="str">
        <f>"无"</f>
        <v>无</v>
      </c>
    </row>
    <row r="456" spans="1:10" ht="27" customHeight="1">
      <c r="A456" s="4">
        <v>454</v>
      </c>
      <c r="B456" s="4" t="str">
        <f>"225720191219140553226597"</f>
        <v>225720191219140553226597</v>
      </c>
      <c r="C456" s="4" t="s">
        <v>12</v>
      </c>
      <c r="D456" s="4" t="str">
        <f>"陈重宜"</f>
        <v>陈重宜</v>
      </c>
      <c r="E456" s="4" t="str">
        <f>"男"</f>
        <v>男</v>
      </c>
      <c r="F456" s="4" t="str">
        <f>"1997-03-25"</f>
        <v>1997-03-25</v>
      </c>
      <c r="G456" s="4" t="str">
        <f t="shared" si="112"/>
        <v>本科</v>
      </c>
      <c r="H456" s="4" t="str">
        <f t="shared" si="113"/>
        <v>学士</v>
      </c>
      <c r="I456" s="4" t="str">
        <f>"法学专业"</f>
        <v>法学专业</v>
      </c>
      <c r="J456" s="4" t="str">
        <f>"无"</f>
        <v>无</v>
      </c>
    </row>
    <row r="457" spans="1:10" ht="27" customHeight="1">
      <c r="A457" s="4">
        <v>455</v>
      </c>
      <c r="B457" s="4" t="str">
        <f>"225720191219145502226608"</f>
        <v>225720191219145502226608</v>
      </c>
      <c r="C457" s="4" t="s">
        <v>11</v>
      </c>
      <c r="D457" s="4" t="str">
        <f>"张跃航"</f>
        <v>张跃航</v>
      </c>
      <c r="E457" s="4" t="str">
        <f>"男"</f>
        <v>男</v>
      </c>
      <c r="F457" s="4" t="str">
        <f>"1992-08-26"</f>
        <v>1992-08-26</v>
      </c>
      <c r="G457" s="4" t="str">
        <f t="shared" si="112"/>
        <v>本科</v>
      </c>
      <c r="H457" s="4" t="str">
        <f t="shared" si="113"/>
        <v>学士</v>
      </c>
      <c r="I457" s="4" t="str">
        <f>"通信工程"</f>
        <v>通信工程</v>
      </c>
      <c r="J457" s="4" t="str">
        <f>"助理工程师"</f>
        <v>助理工程师</v>
      </c>
    </row>
    <row r="458" spans="1:10" ht="27" customHeight="1">
      <c r="A458" s="4">
        <v>456</v>
      </c>
      <c r="B458" s="4" t="str">
        <f>"225720191219152752226617"</f>
        <v>225720191219152752226617</v>
      </c>
      <c r="C458" s="4" t="s">
        <v>11</v>
      </c>
      <c r="D458" s="4" t="str">
        <f>"邹平"</f>
        <v>邹平</v>
      </c>
      <c r="E458" s="4" t="str">
        <f aca="true" t="shared" si="114" ref="E458:E465">"女"</f>
        <v>女</v>
      </c>
      <c r="F458" s="4" t="str">
        <f>"1990-09-02"</f>
        <v>1990-09-02</v>
      </c>
      <c r="G458" s="4" t="str">
        <f t="shared" si="112"/>
        <v>本科</v>
      </c>
      <c r="H458" s="4" t="str">
        <f t="shared" si="113"/>
        <v>学士</v>
      </c>
      <c r="I458" s="4" t="str">
        <f>"计算机科学与技术"</f>
        <v>计算机科学与技术</v>
      </c>
      <c r="J458" s="4" t="str">
        <f>"高校助理教师"</f>
        <v>高校助理教师</v>
      </c>
    </row>
    <row r="459" spans="1:10" ht="27" customHeight="1">
      <c r="A459" s="4">
        <v>457</v>
      </c>
      <c r="B459" s="4" t="str">
        <f>"225720191219160102226627"</f>
        <v>225720191219160102226627</v>
      </c>
      <c r="C459" s="4" t="s">
        <v>15</v>
      </c>
      <c r="D459" s="4" t="str">
        <f>"陈益祥"</f>
        <v>陈益祥</v>
      </c>
      <c r="E459" s="4" t="str">
        <f>"男"</f>
        <v>男</v>
      </c>
      <c r="F459" s="4" t="str">
        <f>"1989-06-15"</f>
        <v>1989-06-15</v>
      </c>
      <c r="G459" s="4" t="str">
        <f t="shared" si="112"/>
        <v>本科</v>
      </c>
      <c r="H459" s="4" t="str">
        <f>"无"</f>
        <v>无</v>
      </c>
      <c r="I459" s="4" t="str">
        <f>"测绘工程"</f>
        <v>测绘工程</v>
      </c>
      <c r="J459" s="4" t="str">
        <f>"助理工程师"</f>
        <v>助理工程师</v>
      </c>
    </row>
    <row r="460" spans="1:10" ht="27" customHeight="1">
      <c r="A460" s="4">
        <v>458</v>
      </c>
      <c r="B460" s="4" t="str">
        <f>"225720191219161029226632"</f>
        <v>225720191219161029226632</v>
      </c>
      <c r="C460" s="4" t="s">
        <v>11</v>
      </c>
      <c r="D460" s="4" t="str">
        <f>"方健威"</f>
        <v>方健威</v>
      </c>
      <c r="E460" s="4" t="str">
        <f>"男"</f>
        <v>男</v>
      </c>
      <c r="F460" s="4" t="str">
        <f>"1987-09-04"</f>
        <v>1987-09-04</v>
      </c>
      <c r="G460" s="4" t="str">
        <f t="shared" si="112"/>
        <v>本科</v>
      </c>
      <c r="H460" s="4" t="str">
        <f aca="true" t="shared" si="115" ref="H460:H467">"学士"</f>
        <v>学士</v>
      </c>
      <c r="I460" s="4" t="str">
        <f>"通信工程"</f>
        <v>通信工程</v>
      </c>
      <c r="J460" s="4" t="str">
        <f>"助理讲师"</f>
        <v>助理讲师</v>
      </c>
    </row>
    <row r="461" spans="1:10" ht="27" customHeight="1">
      <c r="A461" s="4">
        <v>459</v>
      </c>
      <c r="B461" s="4" t="str">
        <f>"225720191219164743226645"</f>
        <v>225720191219164743226645</v>
      </c>
      <c r="C461" s="4" t="s">
        <v>12</v>
      </c>
      <c r="D461" s="4" t="str">
        <f>"蔡洪宇"</f>
        <v>蔡洪宇</v>
      </c>
      <c r="E461" s="4" t="str">
        <f t="shared" si="114"/>
        <v>女</v>
      </c>
      <c r="F461" s="4" t="str">
        <f>"1993-03-05"</f>
        <v>1993-03-05</v>
      </c>
      <c r="G461" s="4" t="str">
        <f t="shared" si="112"/>
        <v>本科</v>
      </c>
      <c r="H461" s="4" t="str">
        <f t="shared" si="115"/>
        <v>学士</v>
      </c>
      <c r="I461" s="4" t="str">
        <f>"汉语言文学（公关与文秘）"</f>
        <v>汉语言文学（公关与文秘）</v>
      </c>
      <c r="J461" s="4" t="str">
        <f aca="true" t="shared" si="116" ref="J461:J467">"无"</f>
        <v>无</v>
      </c>
    </row>
    <row r="462" spans="1:10" ht="27" customHeight="1">
      <c r="A462" s="4">
        <v>460</v>
      </c>
      <c r="B462" s="4" t="str">
        <f>"225720191219170848226652"</f>
        <v>225720191219170848226652</v>
      </c>
      <c r="C462" s="4" t="s">
        <v>12</v>
      </c>
      <c r="D462" s="4" t="str">
        <f>"王若婉"</f>
        <v>王若婉</v>
      </c>
      <c r="E462" s="4" t="str">
        <f t="shared" si="114"/>
        <v>女</v>
      </c>
      <c r="F462" s="4" t="str">
        <f>"1993-01-27"</f>
        <v>1993-01-27</v>
      </c>
      <c r="G462" s="4" t="str">
        <f t="shared" si="112"/>
        <v>本科</v>
      </c>
      <c r="H462" s="4" t="str">
        <f t="shared" si="115"/>
        <v>学士</v>
      </c>
      <c r="I462" s="4" t="str">
        <f>"汉语言文学"</f>
        <v>汉语言文学</v>
      </c>
      <c r="J462" s="4" t="str">
        <f t="shared" si="116"/>
        <v>无</v>
      </c>
    </row>
    <row r="463" spans="1:10" ht="27" customHeight="1">
      <c r="A463" s="4">
        <v>461</v>
      </c>
      <c r="B463" s="4" t="str">
        <f>"225720191219175313226660"</f>
        <v>225720191219175313226660</v>
      </c>
      <c r="C463" s="4" t="s">
        <v>12</v>
      </c>
      <c r="D463" s="4" t="str">
        <f>"占子寒"</f>
        <v>占子寒</v>
      </c>
      <c r="E463" s="4" t="str">
        <f t="shared" si="114"/>
        <v>女</v>
      </c>
      <c r="F463" s="4" t="str">
        <f>"1995-01-16"</f>
        <v>1995-01-16</v>
      </c>
      <c r="G463" s="4" t="str">
        <f t="shared" si="112"/>
        <v>本科</v>
      </c>
      <c r="H463" s="4" t="str">
        <f t="shared" si="115"/>
        <v>学士</v>
      </c>
      <c r="I463" s="4" t="str">
        <f>"汉语言文学"</f>
        <v>汉语言文学</v>
      </c>
      <c r="J463" s="4" t="str">
        <f t="shared" si="116"/>
        <v>无</v>
      </c>
    </row>
    <row r="464" spans="1:10" ht="27" customHeight="1">
      <c r="A464" s="4">
        <v>462</v>
      </c>
      <c r="B464" s="4" t="str">
        <f>"225720191219180926226665"</f>
        <v>225720191219180926226665</v>
      </c>
      <c r="C464" s="4" t="s">
        <v>12</v>
      </c>
      <c r="D464" s="4" t="str">
        <f>"王梓贤"</f>
        <v>王梓贤</v>
      </c>
      <c r="E464" s="4" t="str">
        <f t="shared" si="114"/>
        <v>女</v>
      </c>
      <c r="F464" s="4" t="str">
        <f>"1996-06-13"</f>
        <v>1996-06-13</v>
      </c>
      <c r="G464" s="4" t="str">
        <f t="shared" si="112"/>
        <v>本科</v>
      </c>
      <c r="H464" s="4" t="str">
        <f t="shared" si="115"/>
        <v>学士</v>
      </c>
      <c r="I464" s="4" t="str">
        <f>"法学"</f>
        <v>法学</v>
      </c>
      <c r="J464" s="4" t="str">
        <f t="shared" si="116"/>
        <v>无</v>
      </c>
    </row>
    <row r="465" spans="1:10" ht="27" customHeight="1">
      <c r="A465" s="4">
        <v>463</v>
      </c>
      <c r="B465" s="4" t="str">
        <f>"225720191219184322226670"</f>
        <v>225720191219184322226670</v>
      </c>
      <c r="C465" s="4" t="s">
        <v>12</v>
      </c>
      <c r="D465" s="4" t="str">
        <f>"欧阳丽娜"</f>
        <v>欧阳丽娜</v>
      </c>
      <c r="E465" s="4" t="str">
        <f t="shared" si="114"/>
        <v>女</v>
      </c>
      <c r="F465" s="4" t="str">
        <f>"1997-10-13"</f>
        <v>1997-10-13</v>
      </c>
      <c r="G465" s="4" t="str">
        <f t="shared" si="112"/>
        <v>本科</v>
      </c>
      <c r="H465" s="4" t="str">
        <f t="shared" si="115"/>
        <v>学士</v>
      </c>
      <c r="I465" s="4" t="str">
        <f>"汉语言文学专业"</f>
        <v>汉语言文学专业</v>
      </c>
      <c r="J465" s="4" t="str">
        <f t="shared" si="116"/>
        <v>无</v>
      </c>
    </row>
    <row r="466" spans="1:10" ht="27" customHeight="1">
      <c r="A466" s="4">
        <v>464</v>
      </c>
      <c r="B466" s="4" t="str">
        <f>"225720191219190126226673"</f>
        <v>225720191219190126226673</v>
      </c>
      <c r="C466" s="4" t="s">
        <v>12</v>
      </c>
      <c r="D466" s="4" t="str">
        <f>"陈日东"</f>
        <v>陈日东</v>
      </c>
      <c r="E466" s="4" t="str">
        <f>"男"</f>
        <v>男</v>
      </c>
      <c r="F466" s="4" t="str">
        <f>"1984-10-01"</f>
        <v>1984-10-01</v>
      </c>
      <c r="G466" s="4" t="str">
        <f t="shared" si="112"/>
        <v>本科</v>
      </c>
      <c r="H466" s="4" t="str">
        <f t="shared" si="115"/>
        <v>学士</v>
      </c>
      <c r="I466" s="4" t="str">
        <f>"汉语言文学"</f>
        <v>汉语言文学</v>
      </c>
      <c r="J466" s="4" t="str">
        <f t="shared" si="116"/>
        <v>无</v>
      </c>
    </row>
    <row r="467" spans="1:10" ht="27" customHeight="1">
      <c r="A467" s="4">
        <v>465</v>
      </c>
      <c r="B467" s="4" t="str">
        <f>"225720191219190254226674"</f>
        <v>225720191219190254226674</v>
      </c>
      <c r="C467" s="4" t="s">
        <v>12</v>
      </c>
      <c r="D467" s="4" t="str">
        <f>"王琼娇"</f>
        <v>王琼娇</v>
      </c>
      <c r="E467" s="4" t="str">
        <f>"女"</f>
        <v>女</v>
      </c>
      <c r="F467" s="4" t="str">
        <f>"1990-10-13"</f>
        <v>1990-10-13</v>
      </c>
      <c r="G467" s="4" t="str">
        <f t="shared" si="112"/>
        <v>本科</v>
      </c>
      <c r="H467" s="4" t="str">
        <f t="shared" si="115"/>
        <v>学士</v>
      </c>
      <c r="I467" s="4" t="str">
        <f aca="true" t="shared" si="117" ref="I467:I472">"法学"</f>
        <v>法学</v>
      </c>
      <c r="J467" s="4" t="str">
        <f t="shared" si="116"/>
        <v>无</v>
      </c>
    </row>
    <row r="468" spans="1:10" ht="27" customHeight="1">
      <c r="A468" s="4">
        <v>466</v>
      </c>
      <c r="B468" s="4" t="str">
        <f>"225720191219192429226681"</f>
        <v>225720191219192429226681</v>
      </c>
      <c r="C468" s="4" t="s">
        <v>15</v>
      </c>
      <c r="D468" s="4" t="str">
        <f>"石宇"</f>
        <v>石宇</v>
      </c>
      <c r="E468" s="4" t="str">
        <f>"男"</f>
        <v>男</v>
      </c>
      <c r="F468" s="4" t="str">
        <f>"1984-10-08"</f>
        <v>1984-10-08</v>
      </c>
      <c r="G468" s="4" t="str">
        <f>"研究生"</f>
        <v>研究生</v>
      </c>
      <c r="H468" s="4" t="str">
        <f>"硕士"</f>
        <v>硕士</v>
      </c>
      <c r="I468" s="4" t="str">
        <f>"土地资源管理"</f>
        <v>土地资源管理</v>
      </c>
      <c r="J468" s="4" t="str">
        <f>"工程师"</f>
        <v>工程师</v>
      </c>
    </row>
    <row r="469" spans="1:10" ht="27" customHeight="1">
      <c r="A469" s="4">
        <v>467</v>
      </c>
      <c r="B469" s="4" t="str">
        <f>"225720191219194559226685"</f>
        <v>225720191219194559226685</v>
      </c>
      <c r="C469" s="4" t="s">
        <v>12</v>
      </c>
      <c r="D469" s="4" t="str">
        <f>"林明婉"</f>
        <v>林明婉</v>
      </c>
      <c r="E469" s="4" t="str">
        <f>"女"</f>
        <v>女</v>
      </c>
      <c r="F469" s="4" t="str">
        <f>"1989-03-11"</f>
        <v>1989-03-11</v>
      </c>
      <c r="G469" s="4" t="str">
        <f aca="true" t="shared" si="118" ref="G469:G501">"本科"</f>
        <v>本科</v>
      </c>
      <c r="H469" s="4" t="str">
        <f aca="true" t="shared" si="119" ref="H469:H493">"学士"</f>
        <v>学士</v>
      </c>
      <c r="I469" s="4" t="str">
        <f>"土地资源管理"</f>
        <v>土地资源管理</v>
      </c>
      <c r="J469" s="4" t="str">
        <f>"助理规划师"</f>
        <v>助理规划师</v>
      </c>
    </row>
    <row r="470" spans="1:10" ht="27" customHeight="1">
      <c r="A470" s="4">
        <v>468</v>
      </c>
      <c r="B470" s="4" t="str">
        <f>"225720191219194645226686"</f>
        <v>225720191219194645226686</v>
      </c>
      <c r="C470" s="4" t="s">
        <v>12</v>
      </c>
      <c r="D470" s="4" t="str">
        <f>"顾逢杰"</f>
        <v>顾逢杰</v>
      </c>
      <c r="E470" s="4" t="str">
        <f>"男"</f>
        <v>男</v>
      </c>
      <c r="F470" s="4" t="str">
        <f>"1991-05-16"</f>
        <v>1991-05-16</v>
      </c>
      <c r="G470" s="4" t="str">
        <f t="shared" si="118"/>
        <v>本科</v>
      </c>
      <c r="H470" s="4" t="str">
        <f t="shared" si="119"/>
        <v>学士</v>
      </c>
      <c r="I470" s="4" t="str">
        <f t="shared" si="117"/>
        <v>法学</v>
      </c>
      <c r="J470" s="4" t="str">
        <f aca="true" t="shared" si="120" ref="J470:J481">"无"</f>
        <v>无</v>
      </c>
    </row>
    <row r="471" spans="1:10" ht="27" customHeight="1">
      <c r="A471" s="4">
        <v>469</v>
      </c>
      <c r="B471" s="4" t="str">
        <f>"225720191219201043226694"</f>
        <v>225720191219201043226694</v>
      </c>
      <c r="C471" s="4" t="s">
        <v>12</v>
      </c>
      <c r="D471" s="4" t="str">
        <f>"吉珠蓉"</f>
        <v>吉珠蓉</v>
      </c>
      <c r="E471" s="4" t="str">
        <f>"女"</f>
        <v>女</v>
      </c>
      <c r="F471" s="4" t="str">
        <f>"1995-10-30"</f>
        <v>1995-10-30</v>
      </c>
      <c r="G471" s="4" t="str">
        <f t="shared" si="118"/>
        <v>本科</v>
      </c>
      <c r="H471" s="4" t="str">
        <f t="shared" si="119"/>
        <v>学士</v>
      </c>
      <c r="I471" s="4" t="str">
        <f>"城乡规划"</f>
        <v>城乡规划</v>
      </c>
      <c r="J471" s="4" t="str">
        <f t="shared" si="120"/>
        <v>无</v>
      </c>
    </row>
    <row r="472" spans="1:10" ht="27" customHeight="1">
      <c r="A472" s="4">
        <v>470</v>
      </c>
      <c r="B472" s="4" t="str">
        <f>"225720191219201753226695"</f>
        <v>225720191219201753226695</v>
      </c>
      <c r="C472" s="4" t="s">
        <v>12</v>
      </c>
      <c r="D472" s="4" t="str">
        <f>"陆新风"</f>
        <v>陆新风</v>
      </c>
      <c r="E472" s="4" t="str">
        <f aca="true" t="shared" si="121" ref="E472:E477">"男"</f>
        <v>男</v>
      </c>
      <c r="F472" s="4" t="str">
        <f>"1993-10-28"</f>
        <v>1993-10-28</v>
      </c>
      <c r="G472" s="4" t="str">
        <f t="shared" si="118"/>
        <v>本科</v>
      </c>
      <c r="H472" s="4" t="str">
        <f t="shared" si="119"/>
        <v>学士</v>
      </c>
      <c r="I472" s="4" t="str">
        <f t="shared" si="117"/>
        <v>法学</v>
      </c>
      <c r="J472" s="4" t="str">
        <f t="shared" si="120"/>
        <v>无</v>
      </c>
    </row>
    <row r="473" spans="1:10" ht="27" customHeight="1">
      <c r="A473" s="4">
        <v>471</v>
      </c>
      <c r="B473" s="4" t="str">
        <f>"225720191219202817226697"</f>
        <v>225720191219202817226697</v>
      </c>
      <c r="C473" s="4" t="s">
        <v>16</v>
      </c>
      <c r="D473" s="4" t="str">
        <f>"王彩娜"</f>
        <v>王彩娜</v>
      </c>
      <c r="E473" s="4" t="str">
        <f aca="true" t="shared" si="122" ref="E473:E480">"女"</f>
        <v>女</v>
      </c>
      <c r="F473" s="4" t="str">
        <f>"1994-08-29"</f>
        <v>1994-08-29</v>
      </c>
      <c r="G473" s="4" t="str">
        <f t="shared" si="118"/>
        <v>本科</v>
      </c>
      <c r="H473" s="4" t="str">
        <f t="shared" si="119"/>
        <v>学士</v>
      </c>
      <c r="I473" s="4" t="str">
        <f>"资源环境与城乡规划管理"</f>
        <v>资源环境与城乡规划管理</v>
      </c>
      <c r="J473" s="4" t="str">
        <f t="shared" si="120"/>
        <v>无</v>
      </c>
    </row>
    <row r="474" spans="1:10" ht="27" customHeight="1">
      <c r="A474" s="4">
        <v>472</v>
      </c>
      <c r="B474" s="4" t="str">
        <f>"225720191219205301226700"</f>
        <v>225720191219205301226700</v>
      </c>
      <c r="C474" s="4" t="s">
        <v>12</v>
      </c>
      <c r="D474" s="4" t="str">
        <f>"吴丽果"</f>
        <v>吴丽果</v>
      </c>
      <c r="E474" s="4" t="str">
        <f t="shared" si="122"/>
        <v>女</v>
      </c>
      <c r="F474" s="4" t="str">
        <f>"1995-09-25"</f>
        <v>1995-09-25</v>
      </c>
      <c r="G474" s="4" t="str">
        <f t="shared" si="118"/>
        <v>本科</v>
      </c>
      <c r="H474" s="4" t="str">
        <f t="shared" si="119"/>
        <v>学士</v>
      </c>
      <c r="I474" s="4" t="str">
        <f>"人文地理与城乡规划"</f>
        <v>人文地理与城乡规划</v>
      </c>
      <c r="J474" s="4" t="str">
        <f t="shared" si="120"/>
        <v>无</v>
      </c>
    </row>
    <row r="475" spans="1:10" ht="27" customHeight="1">
      <c r="A475" s="4">
        <v>473</v>
      </c>
      <c r="B475" s="4" t="str">
        <f>"225720191219211546226703"</f>
        <v>225720191219211546226703</v>
      </c>
      <c r="C475" s="4" t="s">
        <v>12</v>
      </c>
      <c r="D475" s="4" t="str">
        <f>"王石"</f>
        <v>王石</v>
      </c>
      <c r="E475" s="4" t="str">
        <f t="shared" si="121"/>
        <v>男</v>
      </c>
      <c r="F475" s="4" t="str">
        <f>"1994-08-10"</f>
        <v>1994-08-10</v>
      </c>
      <c r="G475" s="4" t="str">
        <f t="shared" si="118"/>
        <v>本科</v>
      </c>
      <c r="H475" s="4" t="str">
        <f t="shared" si="119"/>
        <v>学士</v>
      </c>
      <c r="I475" s="4" t="str">
        <f>"汉语言文学"</f>
        <v>汉语言文学</v>
      </c>
      <c r="J475" s="4" t="str">
        <f t="shared" si="120"/>
        <v>无</v>
      </c>
    </row>
    <row r="476" spans="1:10" ht="27" customHeight="1">
      <c r="A476" s="4">
        <v>474</v>
      </c>
      <c r="B476" s="4" t="str">
        <f>"225720191219213729226708"</f>
        <v>225720191219213729226708</v>
      </c>
      <c r="C476" s="4" t="s">
        <v>11</v>
      </c>
      <c r="D476" s="4" t="str">
        <f>"王辉武"</f>
        <v>王辉武</v>
      </c>
      <c r="E476" s="4" t="str">
        <f t="shared" si="121"/>
        <v>男</v>
      </c>
      <c r="F476" s="4" t="str">
        <f>"1992-04-23"</f>
        <v>1992-04-23</v>
      </c>
      <c r="G476" s="4" t="str">
        <f t="shared" si="118"/>
        <v>本科</v>
      </c>
      <c r="H476" s="4" t="str">
        <f t="shared" si="119"/>
        <v>学士</v>
      </c>
      <c r="I476" s="4" t="str">
        <f>"通信工程"</f>
        <v>通信工程</v>
      </c>
      <c r="J476" s="4" t="str">
        <f t="shared" si="120"/>
        <v>无</v>
      </c>
    </row>
    <row r="477" spans="1:10" ht="27" customHeight="1">
      <c r="A477" s="4">
        <v>475</v>
      </c>
      <c r="B477" s="4" t="str">
        <f>"225720191219215520226710"</f>
        <v>225720191219215520226710</v>
      </c>
      <c r="C477" s="4" t="s">
        <v>12</v>
      </c>
      <c r="D477" s="4" t="str">
        <f>"钟兴拥"</f>
        <v>钟兴拥</v>
      </c>
      <c r="E477" s="4" t="str">
        <f t="shared" si="121"/>
        <v>男</v>
      </c>
      <c r="F477" s="4" t="str">
        <f>"1996-08-20"</f>
        <v>1996-08-20</v>
      </c>
      <c r="G477" s="4" t="str">
        <f t="shared" si="118"/>
        <v>本科</v>
      </c>
      <c r="H477" s="4" t="str">
        <f t="shared" si="119"/>
        <v>学士</v>
      </c>
      <c r="I477" s="4" t="str">
        <f>"土地资源管理"</f>
        <v>土地资源管理</v>
      </c>
      <c r="J477" s="4" t="str">
        <f t="shared" si="120"/>
        <v>无</v>
      </c>
    </row>
    <row r="478" spans="1:10" ht="27" customHeight="1">
      <c r="A478" s="4">
        <v>476</v>
      </c>
      <c r="B478" s="4" t="str">
        <f>"225720191219223107226719"</f>
        <v>225720191219223107226719</v>
      </c>
      <c r="C478" s="4" t="s">
        <v>12</v>
      </c>
      <c r="D478" s="4" t="str">
        <f>"周雯"</f>
        <v>周雯</v>
      </c>
      <c r="E478" s="4" t="str">
        <f t="shared" si="122"/>
        <v>女</v>
      </c>
      <c r="F478" s="4" t="str">
        <f>"1991-05-14"</f>
        <v>1991-05-14</v>
      </c>
      <c r="G478" s="4" t="str">
        <f t="shared" si="118"/>
        <v>本科</v>
      </c>
      <c r="H478" s="4" t="str">
        <f t="shared" si="119"/>
        <v>学士</v>
      </c>
      <c r="I478" s="4" t="str">
        <f>"法学"</f>
        <v>法学</v>
      </c>
      <c r="J478" s="4" t="str">
        <f t="shared" si="120"/>
        <v>无</v>
      </c>
    </row>
    <row r="479" spans="1:10" ht="27" customHeight="1">
      <c r="A479" s="4">
        <v>477</v>
      </c>
      <c r="B479" s="4" t="str">
        <f>"225720191219223754226720"</f>
        <v>225720191219223754226720</v>
      </c>
      <c r="C479" s="4" t="s">
        <v>12</v>
      </c>
      <c r="D479" s="4" t="str">
        <f>"程婕"</f>
        <v>程婕</v>
      </c>
      <c r="E479" s="4" t="str">
        <f t="shared" si="122"/>
        <v>女</v>
      </c>
      <c r="F479" s="4" t="str">
        <f>"1997-10-24"</f>
        <v>1997-10-24</v>
      </c>
      <c r="G479" s="4" t="str">
        <f t="shared" si="118"/>
        <v>本科</v>
      </c>
      <c r="H479" s="4" t="str">
        <f t="shared" si="119"/>
        <v>学士</v>
      </c>
      <c r="I479" s="4" t="str">
        <f>"汉语言文学"</f>
        <v>汉语言文学</v>
      </c>
      <c r="J479" s="4" t="str">
        <f t="shared" si="120"/>
        <v>无</v>
      </c>
    </row>
    <row r="480" spans="1:10" ht="27" customHeight="1">
      <c r="A480" s="4">
        <v>478</v>
      </c>
      <c r="B480" s="4" t="str">
        <f>"225720191219223801226721"</f>
        <v>225720191219223801226721</v>
      </c>
      <c r="C480" s="4" t="s">
        <v>12</v>
      </c>
      <c r="D480" s="4" t="str">
        <f>"符映映"</f>
        <v>符映映</v>
      </c>
      <c r="E480" s="4" t="str">
        <f t="shared" si="122"/>
        <v>女</v>
      </c>
      <c r="F480" s="4" t="str">
        <f>"1987-07-30"</f>
        <v>1987-07-30</v>
      </c>
      <c r="G480" s="4" t="str">
        <f t="shared" si="118"/>
        <v>本科</v>
      </c>
      <c r="H480" s="4" t="str">
        <f t="shared" si="119"/>
        <v>学士</v>
      </c>
      <c r="I480" s="4" t="str">
        <f>"法学"</f>
        <v>法学</v>
      </c>
      <c r="J480" s="4" t="str">
        <f t="shared" si="120"/>
        <v>无</v>
      </c>
    </row>
    <row r="481" spans="1:10" ht="27" customHeight="1">
      <c r="A481" s="4">
        <v>479</v>
      </c>
      <c r="B481" s="4" t="str">
        <f>"225720191219224927226723"</f>
        <v>225720191219224927226723</v>
      </c>
      <c r="C481" s="4" t="s">
        <v>12</v>
      </c>
      <c r="D481" s="4" t="str">
        <f>"黄世耀"</f>
        <v>黄世耀</v>
      </c>
      <c r="E481" s="4" t="str">
        <f aca="true" t="shared" si="123" ref="E481:E488">"男"</f>
        <v>男</v>
      </c>
      <c r="F481" s="4" t="str">
        <f>"1992-08-30"</f>
        <v>1992-08-30</v>
      </c>
      <c r="G481" s="4" t="str">
        <f t="shared" si="118"/>
        <v>本科</v>
      </c>
      <c r="H481" s="4" t="str">
        <f t="shared" si="119"/>
        <v>学士</v>
      </c>
      <c r="I481" s="4" t="str">
        <f>"城市规划"</f>
        <v>城市规划</v>
      </c>
      <c r="J481" s="4" t="str">
        <f t="shared" si="120"/>
        <v>无</v>
      </c>
    </row>
    <row r="482" spans="1:10" ht="27" customHeight="1">
      <c r="A482" s="4">
        <v>480</v>
      </c>
      <c r="B482" s="4" t="str">
        <f>"225720191219233907226729"</f>
        <v>225720191219233907226729</v>
      </c>
      <c r="C482" s="4" t="s">
        <v>16</v>
      </c>
      <c r="D482" s="4" t="str">
        <f>"柯行权"</f>
        <v>柯行权</v>
      </c>
      <c r="E482" s="4" t="str">
        <f t="shared" si="123"/>
        <v>男</v>
      </c>
      <c r="F482" s="4" t="str">
        <f>"1986-10-24"</f>
        <v>1986-10-24</v>
      </c>
      <c r="G482" s="4" t="str">
        <f t="shared" si="118"/>
        <v>本科</v>
      </c>
      <c r="H482" s="4" t="str">
        <f t="shared" si="119"/>
        <v>学士</v>
      </c>
      <c r="I482" s="4" t="str">
        <f>"资源环境与城乡规划管理"</f>
        <v>资源环境与城乡规划管理</v>
      </c>
      <c r="J482" s="4" t="str">
        <f>"助理工程师           环保小队长"</f>
        <v>助理工程师           环保小队长</v>
      </c>
    </row>
    <row r="483" spans="1:10" ht="27" customHeight="1">
      <c r="A483" s="4">
        <v>481</v>
      </c>
      <c r="B483" s="4" t="str">
        <f>"225720191220005422226736"</f>
        <v>225720191220005422226736</v>
      </c>
      <c r="C483" s="4" t="s">
        <v>11</v>
      </c>
      <c r="D483" s="4" t="str">
        <f>"李芳芳"</f>
        <v>李芳芳</v>
      </c>
      <c r="E483" s="4" t="str">
        <f>"女"</f>
        <v>女</v>
      </c>
      <c r="F483" s="4" t="str">
        <f>"1984-12-20"</f>
        <v>1984-12-20</v>
      </c>
      <c r="G483" s="4" t="str">
        <f t="shared" si="118"/>
        <v>本科</v>
      </c>
      <c r="H483" s="4" t="str">
        <f t="shared" si="119"/>
        <v>学士</v>
      </c>
      <c r="I483" s="4" t="str">
        <f>"通信工程"</f>
        <v>通信工程</v>
      </c>
      <c r="J483" s="4" t="str">
        <f>"中级"</f>
        <v>中级</v>
      </c>
    </row>
    <row r="484" spans="1:10" ht="27" customHeight="1">
      <c r="A484" s="4">
        <v>482</v>
      </c>
      <c r="B484" s="4" t="str">
        <f>"225720191220084704232369"</f>
        <v>225720191220084704232369</v>
      </c>
      <c r="C484" s="4" t="s">
        <v>11</v>
      </c>
      <c r="D484" s="4" t="str">
        <f>"刘娇君"</f>
        <v>刘娇君</v>
      </c>
      <c r="E484" s="4" t="str">
        <f>"女"</f>
        <v>女</v>
      </c>
      <c r="F484" s="4" t="str">
        <f>"1986-08-20"</f>
        <v>1986-08-20</v>
      </c>
      <c r="G484" s="4" t="str">
        <f t="shared" si="118"/>
        <v>本科</v>
      </c>
      <c r="H484" s="4" t="str">
        <f t="shared" si="119"/>
        <v>学士</v>
      </c>
      <c r="I484" s="4" t="str">
        <f>"通信工程"</f>
        <v>通信工程</v>
      </c>
      <c r="J484" s="4" t="str">
        <f>"坐席员"</f>
        <v>坐席员</v>
      </c>
    </row>
    <row r="485" spans="1:10" ht="27" customHeight="1">
      <c r="A485" s="4">
        <v>483</v>
      </c>
      <c r="B485" s="4" t="str">
        <f>"225720191220084953232371"</f>
        <v>225720191220084953232371</v>
      </c>
      <c r="C485" s="4" t="s">
        <v>12</v>
      </c>
      <c r="D485" s="4" t="str">
        <f>"黄春燕"</f>
        <v>黄春燕</v>
      </c>
      <c r="E485" s="4" t="str">
        <f>"女"</f>
        <v>女</v>
      </c>
      <c r="F485" s="4" t="str">
        <f>"1994-01-21"</f>
        <v>1994-01-21</v>
      </c>
      <c r="G485" s="4" t="str">
        <f t="shared" si="118"/>
        <v>本科</v>
      </c>
      <c r="H485" s="4" t="str">
        <f t="shared" si="119"/>
        <v>学士</v>
      </c>
      <c r="I485" s="4" t="str">
        <f>"汉语言文学"</f>
        <v>汉语言文学</v>
      </c>
      <c r="J485" s="4" t="str">
        <f>"海南政府综合服务热线12345"</f>
        <v>海南政府综合服务热线12345</v>
      </c>
    </row>
    <row r="486" spans="1:10" ht="27" customHeight="1">
      <c r="A486" s="4">
        <v>484</v>
      </c>
      <c r="B486" s="4" t="str">
        <f>"225720191220092051232377"</f>
        <v>225720191220092051232377</v>
      </c>
      <c r="C486" s="4" t="s">
        <v>11</v>
      </c>
      <c r="D486" s="4" t="str">
        <f>"丁成彬"</f>
        <v>丁成彬</v>
      </c>
      <c r="E486" s="4" t="str">
        <f t="shared" si="123"/>
        <v>男</v>
      </c>
      <c r="F486" s="4" t="str">
        <f>"1990-08-11"</f>
        <v>1990-08-11</v>
      </c>
      <c r="G486" s="4" t="str">
        <f t="shared" si="118"/>
        <v>本科</v>
      </c>
      <c r="H486" s="4" t="str">
        <f t="shared" si="119"/>
        <v>学士</v>
      </c>
      <c r="I486" s="4" t="str">
        <f>"计算机科学与技术"</f>
        <v>计算机科学与技术</v>
      </c>
      <c r="J486" s="4" t="str">
        <f>"环境技术管理助理工程师"</f>
        <v>环境技术管理助理工程师</v>
      </c>
    </row>
    <row r="487" spans="1:10" ht="27" customHeight="1">
      <c r="A487" s="4">
        <v>485</v>
      </c>
      <c r="B487" s="4" t="str">
        <f>"225720191220092951232380"</f>
        <v>225720191220092951232380</v>
      </c>
      <c r="C487" s="4" t="s">
        <v>11</v>
      </c>
      <c r="D487" s="4" t="str">
        <f>"陈贤"</f>
        <v>陈贤</v>
      </c>
      <c r="E487" s="4" t="str">
        <f t="shared" si="123"/>
        <v>男</v>
      </c>
      <c r="F487" s="4" t="str">
        <f>"1990-09-20"</f>
        <v>1990-09-20</v>
      </c>
      <c r="G487" s="4" t="str">
        <f t="shared" si="118"/>
        <v>本科</v>
      </c>
      <c r="H487" s="4" t="str">
        <f t="shared" si="119"/>
        <v>学士</v>
      </c>
      <c r="I487" s="4" t="str">
        <f>"通信工程"</f>
        <v>通信工程</v>
      </c>
      <c r="J487" s="4" t="str">
        <f>"网络工程师"</f>
        <v>网络工程师</v>
      </c>
    </row>
    <row r="488" spans="1:10" ht="27" customHeight="1">
      <c r="A488" s="4">
        <v>486</v>
      </c>
      <c r="B488" s="4" t="str">
        <f>"225720191220093012232381"</f>
        <v>225720191220093012232381</v>
      </c>
      <c r="C488" s="4" t="s">
        <v>11</v>
      </c>
      <c r="D488" s="4" t="str">
        <f>"劳邦腾"</f>
        <v>劳邦腾</v>
      </c>
      <c r="E488" s="4" t="str">
        <f t="shared" si="123"/>
        <v>男</v>
      </c>
      <c r="F488" s="4" t="str">
        <f>"1988-01-12"</f>
        <v>1988-01-12</v>
      </c>
      <c r="G488" s="4" t="str">
        <f t="shared" si="118"/>
        <v>本科</v>
      </c>
      <c r="H488" s="4" t="str">
        <f t="shared" si="119"/>
        <v>学士</v>
      </c>
      <c r="I488" s="4" t="str">
        <f>"计算机科学与技术"</f>
        <v>计算机科学与技术</v>
      </c>
      <c r="J488" s="4" t="str">
        <f>"无"</f>
        <v>无</v>
      </c>
    </row>
    <row r="489" spans="1:10" ht="27" customHeight="1">
      <c r="A489" s="4">
        <v>487</v>
      </c>
      <c r="B489" s="4" t="str">
        <f>"225720191220095301232386"</f>
        <v>225720191220095301232386</v>
      </c>
      <c r="C489" s="4" t="s">
        <v>19</v>
      </c>
      <c r="D489" s="4" t="str">
        <f>"李丽娟"</f>
        <v>李丽娟</v>
      </c>
      <c r="E489" s="4" t="str">
        <f aca="true" t="shared" si="124" ref="E489:E494">"女"</f>
        <v>女</v>
      </c>
      <c r="F489" s="4" t="str">
        <f>"1988-08-15"</f>
        <v>1988-08-15</v>
      </c>
      <c r="G489" s="4" t="str">
        <f t="shared" si="118"/>
        <v>本科</v>
      </c>
      <c r="H489" s="4" t="str">
        <f t="shared" si="119"/>
        <v>学士</v>
      </c>
      <c r="I489" s="4" t="str">
        <f>"信息管理与信息系统"</f>
        <v>信息管理与信息系统</v>
      </c>
      <c r="J489" s="4" t="str">
        <f>"无"</f>
        <v>无</v>
      </c>
    </row>
    <row r="490" spans="1:10" ht="27" customHeight="1">
      <c r="A490" s="4">
        <v>488</v>
      </c>
      <c r="B490" s="4" t="str">
        <f>"225720191220095840232388"</f>
        <v>225720191220095840232388</v>
      </c>
      <c r="C490" s="4" t="s">
        <v>12</v>
      </c>
      <c r="D490" s="4" t="str">
        <f>"何精杯"</f>
        <v>何精杯</v>
      </c>
      <c r="E490" s="4" t="str">
        <f t="shared" si="124"/>
        <v>女</v>
      </c>
      <c r="F490" s="4" t="str">
        <f>"1997-04-15"</f>
        <v>1997-04-15</v>
      </c>
      <c r="G490" s="4" t="str">
        <f t="shared" si="118"/>
        <v>本科</v>
      </c>
      <c r="H490" s="4" t="str">
        <f t="shared" si="119"/>
        <v>学士</v>
      </c>
      <c r="I490" s="4" t="str">
        <f>"法学"</f>
        <v>法学</v>
      </c>
      <c r="J490" s="4" t="str">
        <f>"无"</f>
        <v>无</v>
      </c>
    </row>
    <row r="491" spans="1:10" ht="27" customHeight="1">
      <c r="A491" s="4">
        <v>489</v>
      </c>
      <c r="B491" s="4" t="str">
        <f>"225720191220101013232390"</f>
        <v>225720191220101013232390</v>
      </c>
      <c r="C491" s="4" t="s">
        <v>12</v>
      </c>
      <c r="D491" s="4" t="str">
        <f>"何金芳"</f>
        <v>何金芳</v>
      </c>
      <c r="E491" s="4" t="str">
        <f t="shared" si="124"/>
        <v>女</v>
      </c>
      <c r="F491" s="4" t="str">
        <f>"1990-10-18"</f>
        <v>1990-10-18</v>
      </c>
      <c r="G491" s="4" t="str">
        <f t="shared" si="118"/>
        <v>本科</v>
      </c>
      <c r="H491" s="4" t="str">
        <f t="shared" si="119"/>
        <v>学士</v>
      </c>
      <c r="I491" s="4" t="str">
        <f>"法学"</f>
        <v>法学</v>
      </c>
      <c r="J491" s="4" t="str">
        <f>"无"</f>
        <v>无</v>
      </c>
    </row>
    <row r="492" spans="1:10" ht="27" customHeight="1">
      <c r="A492" s="4">
        <v>490</v>
      </c>
      <c r="B492" s="4" t="str">
        <f>"225720191220104551232401"</f>
        <v>225720191220104551232401</v>
      </c>
      <c r="C492" s="4" t="s">
        <v>18</v>
      </c>
      <c r="D492" s="4" t="str">
        <f>"陈二联"</f>
        <v>陈二联</v>
      </c>
      <c r="E492" s="4" t="str">
        <f t="shared" si="124"/>
        <v>女</v>
      </c>
      <c r="F492" s="4" t="str">
        <f>"1990-05-03"</f>
        <v>1990-05-03</v>
      </c>
      <c r="G492" s="4" t="str">
        <f t="shared" si="118"/>
        <v>本科</v>
      </c>
      <c r="H492" s="4" t="str">
        <f t="shared" si="119"/>
        <v>学士</v>
      </c>
      <c r="I492" s="4" t="str">
        <f>"财务管理"</f>
        <v>财务管理</v>
      </c>
      <c r="J492" s="4" t="str">
        <f>"会计专业技术初级职称"</f>
        <v>会计专业技术初级职称</v>
      </c>
    </row>
    <row r="493" spans="1:10" ht="27" customHeight="1">
      <c r="A493" s="4">
        <v>491</v>
      </c>
      <c r="B493" s="4" t="str">
        <f>"225720191220105144232402"</f>
        <v>225720191220105144232402</v>
      </c>
      <c r="C493" s="4" t="s">
        <v>13</v>
      </c>
      <c r="D493" s="4" t="str">
        <f>"李娇珠"</f>
        <v>李娇珠</v>
      </c>
      <c r="E493" s="4" t="str">
        <f t="shared" si="124"/>
        <v>女</v>
      </c>
      <c r="F493" s="4" t="str">
        <f>"1986-06-08"</f>
        <v>1986-06-08</v>
      </c>
      <c r="G493" s="4" t="str">
        <f t="shared" si="118"/>
        <v>本科</v>
      </c>
      <c r="H493" s="4" t="str">
        <f t="shared" si="119"/>
        <v>学士</v>
      </c>
      <c r="I493" s="4" t="str">
        <f>"新闻学"</f>
        <v>新闻学</v>
      </c>
      <c r="J493" s="4" t="str">
        <f aca="true" t="shared" si="125" ref="J493:J500">"无"</f>
        <v>无</v>
      </c>
    </row>
    <row r="494" spans="1:10" ht="27" customHeight="1">
      <c r="A494" s="4">
        <v>492</v>
      </c>
      <c r="B494" s="4" t="str">
        <f>"225720191220110001232403"</f>
        <v>225720191220110001232403</v>
      </c>
      <c r="C494" s="4" t="s">
        <v>12</v>
      </c>
      <c r="D494" s="4" t="str">
        <f>"林鸿翔"</f>
        <v>林鸿翔</v>
      </c>
      <c r="E494" s="4" t="str">
        <f t="shared" si="124"/>
        <v>女</v>
      </c>
      <c r="F494" s="4" t="str">
        <f>"1992-10-11"</f>
        <v>1992-10-11</v>
      </c>
      <c r="G494" s="4" t="str">
        <f t="shared" si="118"/>
        <v>本科</v>
      </c>
      <c r="H494" s="4" t="str">
        <f>"无"</f>
        <v>无</v>
      </c>
      <c r="I494" s="4" t="str">
        <f>"汉语言文学"</f>
        <v>汉语言文学</v>
      </c>
      <c r="J494" s="4" t="str">
        <f t="shared" si="125"/>
        <v>无</v>
      </c>
    </row>
    <row r="495" spans="1:10" ht="27" customHeight="1">
      <c r="A495" s="4">
        <v>493</v>
      </c>
      <c r="B495" s="4" t="str">
        <f>"225720191220114321232414"</f>
        <v>225720191220114321232414</v>
      </c>
      <c r="C495" s="4" t="s">
        <v>12</v>
      </c>
      <c r="D495" s="4" t="str">
        <f>"吴星"</f>
        <v>吴星</v>
      </c>
      <c r="E495" s="4" t="str">
        <f>"男"</f>
        <v>男</v>
      </c>
      <c r="F495" s="4" t="str">
        <f>"1992-04-07"</f>
        <v>1992-04-07</v>
      </c>
      <c r="G495" s="4" t="str">
        <f t="shared" si="118"/>
        <v>本科</v>
      </c>
      <c r="H495" s="4" t="str">
        <f aca="true" t="shared" si="126" ref="H495:H501">"学士"</f>
        <v>学士</v>
      </c>
      <c r="I495" s="4" t="str">
        <f>"城乡规划"</f>
        <v>城乡规划</v>
      </c>
      <c r="J495" s="4" t="str">
        <f t="shared" si="125"/>
        <v>无</v>
      </c>
    </row>
    <row r="496" spans="1:10" ht="27" customHeight="1">
      <c r="A496" s="4">
        <v>494</v>
      </c>
      <c r="B496" s="4" t="str">
        <f>"225720191220114331232415"</f>
        <v>225720191220114331232415</v>
      </c>
      <c r="C496" s="4" t="s">
        <v>17</v>
      </c>
      <c r="D496" s="4" t="str">
        <f>"陈运鹰"</f>
        <v>陈运鹰</v>
      </c>
      <c r="E496" s="4" t="str">
        <f aca="true" t="shared" si="127" ref="E496:E503">"女"</f>
        <v>女</v>
      </c>
      <c r="F496" s="4" t="str">
        <f>"1990-11-22"</f>
        <v>1990-11-22</v>
      </c>
      <c r="G496" s="4" t="str">
        <f t="shared" si="118"/>
        <v>本科</v>
      </c>
      <c r="H496" s="4" t="str">
        <f t="shared" si="126"/>
        <v>学士</v>
      </c>
      <c r="I496" s="4" t="str">
        <f>"计算机科学与技术"</f>
        <v>计算机科学与技术</v>
      </c>
      <c r="J496" s="4" t="str">
        <f t="shared" si="125"/>
        <v>无</v>
      </c>
    </row>
    <row r="497" spans="1:10" ht="27" customHeight="1">
      <c r="A497" s="4">
        <v>495</v>
      </c>
      <c r="B497" s="4" t="str">
        <f>"225720191220115644232416"</f>
        <v>225720191220115644232416</v>
      </c>
      <c r="C497" s="4" t="s">
        <v>12</v>
      </c>
      <c r="D497" s="4" t="str">
        <f>"符莉云"</f>
        <v>符莉云</v>
      </c>
      <c r="E497" s="4" t="str">
        <f t="shared" si="127"/>
        <v>女</v>
      </c>
      <c r="F497" s="4" t="str">
        <f>"1991-11-15"</f>
        <v>1991-11-15</v>
      </c>
      <c r="G497" s="4" t="str">
        <f t="shared" si="118"/>
        <v>本科</v>
      </c>
      <c r="H497" s="4" t="str">
        <f t="shared" si="126"/>
        <v>学士</v>
      </c>
      <c r="I497" s="4" t="str">
        <f>"法学"</f>
        <v>法学</v>
      </c>
      <c r="J497" s="4" t="str">
        <f t="shared" si="125"/>
        <v>无</v>
      </c>
    </row>
    <row r="498" spans="1:10" ht="27" customHeight="1">
      <c r="A498" s="4">
        <v>496</v>
      </c>
      <c r="B498" s="4" t="str">
        <f>"225720191220120351232417"</f>
        <v>225720191220120351232417</v>
      </c>
      <c r="C498" s="4" t="s">
        <v>12</v>
      </c>
      <c r="D498" s="4" t="str">
        <f>"谢永"</f>
        <v>谢永</v>
      </c>
      <c r="E498" s="4" t="str">
        <f>"男"</f>
        <v>男</v>
      </c>
      <c r="F498" s="4" t="str">
        <f>"1990-04-12"</f>
        <v>1990-04-12</v>
      </c>
      <c r="G498" s="4" t="str">
        <f t="shared" si="118"/>
        <v>本科</v>
      </c>
      <c r="H498" s="4" t="str">
        <f t="shared" si="126"/>
        <v>学士</v>
      </c>
      <c r="I498" s="4" t="str">
        <f>"汉语言文学"</f>
        <v>汉语言文学</v>
      </c>
      <c r="J498" s="4" t="str">
        <f t="shared" si="125"/>
        <v>无</v>
      </c>
    </row>
    <row r="499" spans="1:10" ht="27" customHeight="1">
      <c r="A499" s="4">
        <v>497</v>
      </c>
      <c r="B499" s="4" t="str">
        <f>"225720191220123421232420"</f>
        <v>225720191220123421232420</v>
      </c>
      <c r="C499" s="4" t="s">
        <v>12</v>
      </c>
      <c r="D499" s="4" t="str">
        <f>"徐宏瑶"</f>
        <v>徐宏瑶</v>
      </c>
      <c r="E499" s="4" t="str">
        <f t="shared" si="127"/>
        <v>女</v>
      </c>
      <c r="F499" s="4" t="str">
        <f>"1994-05-05"</f>
        <v>1994-05-05</v>
      </c>
      <c r="G499" s="4" t="str">
        <f t="shared" si="118"/>
        <v>本科</v>
      </c>
      <c r="H499" s="4" t="str">
        <f t="shared" si="126"/>
        <v>学士</v>
      </c>
      <c r="I499" s="4" t="str">
        <f>"法学"</f>
        <v>法学</v>
      </c>
      <c r="J499" s="4" t="str">
        <f t="shared" si="125"/>
        <v>无</v>
      </c>
    </row>
    <row r="500" spans="1:10" ht="27" customHeight="1">
      <c r="A500" s="4">
        <v>498</v>
      </c>
      <c r="B500" s="4" t="str">
        <f>"225720191220130250232425"</f>
        <v>225720191220130250232425</v>
      </c>
      <c r="C500" s="4" t="s">
        <v>16</v>
      </c>
      <c r="D500" s="4" t="str">
        <f>"符玉"</f>
        <v>符玉</v>
      </c>
      <c r="E500" s="4" t="str">
        <f t="shared" si="127"/>
        <v>女</v>
      </c>
      <c r="F500" s="4" t="str">
        <f>"1993-09-23"</f>
        <v>1993-09-23</v>
      </c>
      <c r="G500" s="4" t="str">
        <f t="shared" si="118"/>
        <v>本科</v>
      </c>
      <c r="H500" s="4" t="str">
        <f t="shared" si="126"/>
        <v>学士</v>
      </c>
      <c r="I500" s="4" t="str">
        <f>"资源环境与城乡规划管理"</f>
        <v>资源环境与城乡规划管理</v>
      </c>
      <c r="J500" s="4" t="str">
        <f t="shared" si="125"/>
        <v>无</v>
      </c>
    </row>
    <row r="501" spans="1:10" ht="27" customHeight="1">
      <c r="A501" s="4">
        <v>499</v>
      </c>
      <c r="B501" s="4" t="str">
        <f>"225720191220132249232430"</f>
        <v>225720191220132249232430</v>
      </c>
      <c r="C501" s="4" t="s">
        <v>19</v>
      </c>
      <c r="D501" s="4" t="str">
        <f>"周文瑶"</f>
        <v>周文瑶</v>
      </c>
      <c r="E501" s="4" t="str">
        <f t="shared" si="127"/>
        <v>女</v>
      </c>
      <c r="F501" s="4" t="str">
        <f>"1992-07-03"</f>
        <v>1992-07-03</v>
      </c>
      <c r="G501" s="4" t="str">
        <f t="shared" si="118"/>
        <v>本科</v>
      </c>
      <c r="H501" s="4" t="str">
        <f t="shared" si="126"/>
        <v>学士</v>
      </c>
      <c r="I501" s="4" t="str">
        <f>"信息管理与信息系统"</f>
        <v>信息管理与信息系统</v>
      </c>
      <c r="J501" s="4" t="str">
        <f>"助理经济师"</f>
        <v>助理经济师</v>
      </c>
    </row>
    <row r="502" spans="1:10" ht="27" customHeight="1">
      <c r="A502" s="4">
        <v>500</v>
      </c>
      <c r="B502" s="4" t="str">
        <f>"225720191220133044232432"</f>
        <v>225720191220133044232432</v>
      </c>
      <c r="C502" s="4" t="s">
        <v>12</v>
      </c>
      <c r="D502" s="4" t="str">
        <f>"马文颖"</f>
        <v>马文颖</v>
      </c>
      <c r="E502" s="4" t="str">
        <f t="shared" si="127"/>
        <v>女</v>
      </c>
      <c r="F502" s="4" t="str">
        <f>"1985-08-29"</f>
        <v>1985-08-29</v>
      </c>
      <c r="G502" s="4" t="str">
        <f>"研究生"</f>
        <v>研究生</v>
      </c>
      <c r="H502" s="4" t="str">
        <f>"硕士"</f>
        <v>硕士</v>
      </c>
      <c r="I502" s="4" t="str">
        <f>"汉语言文学 "</f>
        <v>汉语言文学 </v>
      </c>
      <c r="J502" s="4" t="str">
        <f aca="true" t="shared" si="128" ref="J502:J508">"无"</f>
        <v>无</v>
      </c>
    </row>
    <row r="503" spans="1:10" ht="27" customHeight="1">
      <c r="A503" s="4">
        <v>501</v>
      </c>
      <c r="B503" s="4" t="str">
        <f>"225720191220134830232433"</f>
        <v>225720191220134830232433</v>
      </c>
      <c r="C503" s="4" t="s">
        <v>12</v>
      </c>
      <c r="D503" s="4" t="str">
        <f>"朱怡"</f>
        <v>朱怡</v>
      </c>
      <c r="E503" s="4" t="str">
        <f t="shared" si="127"/>
        <v>女</v>
      </c>
      <c r="F503" s="4" t="str">
        <f>"1995-04-06"</f>
        <v>1995-04-06</v>
      </c>
      <c r="G503" s="4" t="str">
        <f aca="true" t="shared" si="129" ref="G503:G524">"本科"</f>
        <v>本科</v>
      </c>
      <c r="H503" s="4" t="str">
        <f aca="true" t="shared" si="130" ref="H503:H517">"学士"</f>
        <v>学士</v>
      </c>
      <c r="I503" s="4" t="str">
        <f>"人文地理与城乡规划"</f>
        <v>人文地理与城乡规划</v>
      </c>
      <c r="J503" s="4" t="str">
        <f t="shared" si="128"/>
        <v>无</v>
      </c>
    </row>
    <row r="504" spans="1:10" ht="27" customHeight="1">
      <c r="A504" s="4">
        <v>502</v>
      </c>
      <c r="B504" s="4" t="str">
        <f>"225720191220135042232434"</f>
        <v>225720191220135042232434</v>
      </c>
      <c r="C504" s="4" t="s">
        <v>12</v>
      </c>
      <c r="D504" s="4" t="str">
        <f>"符克播"</f>
        <v>符克播</v>
      </c>
      <c r="E504" s="4" t="str">
        <f>"男"</f>
        <v>男</v>
      </c>
      <c r="F504" s="4" t="str">
        <f>"1994-12-12"</f>
        <v>1994-12-12</v>
      </c>
      <c r="G504" s="4" t="str">
        <f t="shared" si="129"/>
        <v>本科</v>
      </c>
      <c r="H504" s="4" t="str">
        <f t="shared" si="130"/>
        <v>学士</v>
      </c>
      <c r="I504" s="4" t="str">
        <f>"汉语言文学"</f>
        <v>汉语言文学</v>
      </c>
      <c r="J504" s="4" t="str">
        <f t="shared" si="128"/>
        <v>无</v>
      </c>
    </row>
    <row r="505" spans="1:10" ht="27" customHeight="1">
      <c r="A505" s="4">
        <v>503</v>
      </c>
      <c r="B505" s="4" t="str">
        <f>"225720191220135926232436"</f>
        <v>225720191220135926232436</v>
      </c>
      <c r="C505" s="4" t="s">
        <v>16</v>
      </c>
      <c r="D505" s="4" t="str">
        <f>"羊位善"</f>
        <v>羊位善</v>
      </c>
      <c r="E505" s="4" t="str">
        <f>"男"</f>
        <v>男</v>
      </c>
      <c r="F505" s="4" t="str">
        <f>"1991-06-30"</f>
        <v>1991-06-30</v>
      </c>
      <c r="G505" s="4" t="str">
        <f t="shared" si="129"/>
        <v>本科</v>
      </c>
      <c r="H505" s="4" t="str">
        <f t="shared" si="130"/>
        <v>学士</v>
      </c>
      <c r="I505" s="4" t="str">
        <f>"地理信息系统"</f>
        <v>地理信息系统</v>
      </c>
      <c r="J505" s="4" t="str">
        <f t="shared" si="128"/>
        <v>无</v>
      </c>
    </row>
    <row r="506" spans="1:10" ht="27" customHeight="1">
      <c r="A506" s="4">
        <v>504</v>
      </c>
      <c r="B506" s="4" t="str">
        <f>"225720191220140727232438"</f>
        <v>225720191220140727232438</v>
      </c>
      <c r="C506" s="4" t="s">
        <v>12</v>
      </c>
      <c r="D506" s="4" t="str">
        <f>"林程鼎"</f>
        <v>林程鼎</v>
      </c>
      <c r="E506" s="4" t="str">
        <f>"男"</f>
        <v>男</v>
      </c>
      <c r="F506" s="4" t="str">
        <f>"1993-06-22"</f>
        <v>1993-06-22</v>
      </c>
      <c r="G506" s="4" t="str">
        <f t="shared" si="129"/>
        <v>本科</v>
      </c>
      <c r="H506" s="4" t="str">
        <f t="shared" si="130"/>
        <v>学士</v>
      </c>
      <c r="I506" s="4" t="str">
        <f>"汉语言文学"</f>
        <v>汉语言文学</v>
      </c>
      <c r="J506" s="4" t="str">
        <f t="shared" si="128"/>
        <v>无</v>
      </c>
    </row>
    <row r="507" spans="1:10" ht="27" customHeight="1">
      <c r="A507" s="4">
        <v>505</v>
      </c>
      <c r="B507" s="4" t="str">
        <f>"225720191220144741232442"</f>
        <v>225720191220144741232442</v>
      </c>
      <c r="C507" s="4" t="s">
        <v>17</v>
      </c>
      <c r="D507" s="4" t="str">
        <f>"吴春燕"</f>
        <v>吴春燕</v>
      </c>
      <c r="E507" s="4" t="str">
        <f aca="true" t="shared" si="131" ref="E507:E512">"女"</f>
        <v>女</v>
      </c>
      <c r="F507" s="4" t="str">
        <f>"1991-11-04"</f>
        <v>1991-11-04</v>
      </c>
      <c r="G507" s="4" t="str">
        <f t="shared" si="129"/>
        <v>本科</v>
      </c>
      <c r="H507" s="4" t="str">
        <f t="shared" si="130"/>
        <v>学士</v>
      </c>
      <c r="I507" s="4" t="str">
        <f>"计算机科学与技术"</f>
        <v>计算机科学与技术</v>
      </c>
      <c r="J507" s="4" t="str">
        <f t="shared" si="128"/>
        <v>无</v>
      </c>
    </row>
    <row r="508" spans="1:10" ht="27" customHeight="1">
      <c r="A508" s="4">
        <v>506</v>
      </c>
      <c r="B508" s="4" t="str">
        <f>"225720191220150458232448"</f>
        <v>225720191220150458232448</v>
      </c>
      <c r="C508" s="4" t="s">
        <v>12</v>
      </c>
      <c r="D508" s="4" t="str">
        <f>"蔡扬帅"</f>
        <v>蔡扬帅</v>
      </c>
      <c r="E508" s="4" t="str">
        <f aca="true" t="shared" si="132" ref="E508:E513">"男"</f>
        <v>男</v>
      </c>
      <c r="F508" s="4" t="str">
        <f>"1994-06-30"</f>
        <v>1994-06-30</v>
      </c>
      <c r="G508" s="4" t="str">
        <f t="shared" si="129"/>
        <v>本科</v>
      </c>
      <c r="H508" s="4" t="str">
        <f t="shared" si="130"/>
        <v>学士</v>
      </c>
      <c r="I508" s="4" t="str">
        <f>"人文地理与城乡规划"</f>
        <v>人文地理与城乡规划</v>
      </c>
      <c r="J508" s="4" t="str">
        <f t="shared" si="128"/>
        <v>无</v>
      </c>
    </row>
    <row r="509" spans="1:10" ht="27" customHeight="1">
      <c r="A509" s="4">
        <v>507</v>
      </c>
      <c r="B509" s="4" t="str">
        <f>"225720191220150520232449"</f>
        <v>225720191220150520232449</v>
      </c>
      <c r="C509" s="4" t="s">
        <v>18</v>
      </c>
      <c r="D509" s="4" t="str">
        <f>"王思宁"</f>
        <v>王思宁</v>
      </c>
      <c r="E509" s="4" t="str">
        <f t="shared" si="131"/>
        <v>女</v>
      </c>
      <c r="F509" s="4" t="str">
        <f>"1994-07-31"</f>
        <v>1994-07-31</v>
      </c>
      <c r="G509" s="4" t="str">
        <f t="shared" si="129"/>
        <v>本科</v>
      </c>
      <c r="H509" s="4" t="str">
        <f t="shared" si="130"/>
        <v>学士</v>
      </c>
      <c r="I509" s="4" t="str">
        <f>"会计学（CPA注册会计师方向）"</f>
        <v>会计学（CPA注册会计师方向）</v>
      </c>
      <c r="J509" s="4" t="str">
        <f>"初级会计师职称"</f>
        <v>初级会计师职称</v>
      </c>
    </row>
    <row r="510" spans="1:10" ht="27" customHeight="1">
      <c r="A510" s="4">
        <v>508</v>
      </c>
      <c r="B510" s="4" t="str">
        <f>"225720191220152416232460"</f>
        <v>225720191220152416232460</v>
      </c>
      <c r="C510" s="4" t="s">
        <v>11</v>
      </c>
      <c r="D510" s="4" t="str">
        <f>"蒋文"</f>
        <v>蒋文</v>
      </c>
      <c r="E510" s="4" t="str">
        <f t="shared" si="132"/>
        <v>男</v>
      </c>
      <c r="F510" s="4" t="str">
        <f>"1992-09-10"</f>
        <v>1992-09-10</v>
      </c>
      <c r="G510" s="4" t="str">
        <f t="shared" si="129"/>
        <v>本科</v>
      </c>
      <c r="H510" s="4" t="str">
        <f t="shared" si="130"/>
        <v>学士</v>
      </c>
      <c r="I510" s="4" t="str">
        <f>"通信工程"</f>
        <v>通信工程</v>
      </c>
      <c r="J510" s="4" t="str">
        <f aca="true" t="shared" si="133" ref="J510:J519">"无"</f>
        <v>无</v>
      </c>
    </row>
    <row r="511" spans="1:10" ht="27" customHeight="1">
      <c r="A511" s="4">
        <v>509</v>
      </c>
      <c r="B511" s="4" t="str">
        <f>"225720191220152538232461"</f>
        <v>225720191220152538232461</v>
      </c>
      <c r="C511" s="4" t="s">
        <v>12</v>
      </c>
      <c r="D511" s="4" t="str">
        <f>"王梓萱"</f>
        <v>王梓萱</v>
      </c>
      <c r="E511" s="4" t="str">
        <f t="shared" si="131"/>
        <v>女</v>
      </c>
      <c r="F511" s="4" t="str">
        <f>"1993-09-21"</f>
        <v>1993-09-21</v>
      </c>
      <c r="G511" s="4" t="str">
        <f t="shared" si="129"/>
        <v>本科</v>
      </c>
      <c r="H511" s="4" t="str">
        <f t="shared" si="130"/>
        <v>学士</v>
      </c>
      <c r="I511" s="4" t="str">
        <f>"法学"</f>
        <v>法学</v>
      </c>
      <c r="J511" s="4" t="str">
        <f t="shared" si="133"/>
        <v>无</v>
      </c>
    </row>
    <row r="512" spans="1:10" ht="27" customHeight="1">
      <c r="A512" s="4">
        <v>510</v>
      </c>
      <c r="B512" s="4" t="str">
        <f>"225720191220153544232466"</f>
        <v>225720191220153544232466</v>
      </c>
      <c r="C512" s="4" t="s">
        <v>12</v>
      </c>
      <c r="D512" s="4" t="str">
        <f>"王丰娇"</f>
        <v>王丰娇</v>
      </c>
      <c r="E512" s="4" t="str">
        <f t="shared" si="131"/>
        <v>女</v>
      </c>
      <c r="F512" s="4" t="str">
        <f>"1996-11-13"</f>
        <v>1996-11-13</v>
      </c>
      <c r="G512" s="4" t="str">
        <f t="shared" si="129"/>
        <v>本科</v>
      </c>
      <c r="H512" s="4" t="str">
        <f t="shared" si="130"/>
        <v>学士</v>
      </c>
      <c r="I512" s="4" t="str">
        <f>"人文地理与城乡规划"</f>
        <v>人文地理与城乡规划</v>
      </c>
      <c r="J512" s="4" t="str">
        <f t="shared" si="133"/>
        <v>无</v>
      </c>
    </row>
    <row r="513" spans="1:10" ht="27" customHeight="1">
      <c r="A513" s="4">
        <v>511</v>
      </c>
      <c r="B513" s="4" t="str">
        <f>"225720191220160944233495"</f>
        <v>225720191220160944233495</v>
      </c>
      <c r="C513" s="4" t="s">
        <v>12</v>
      </c>
      <c r="D513" s="4" t="str">
        <f>"李章健"</f>
        <v>李章健</v>
      </c>
      <c r="E513" s="4" t="str">
        <f t="shared" si="132"/>
        <v>男</v>
      </c>
      <c r="F513" s="4" t="str">
        <f>"1988-10-03"</f>
        <v>1988-10-03</v>
      </c>
      <c r="G513" s="4" t="str">
        <f t="shared" si="129"/>
        <v>本科</v>
      </c>
      <c r="H513" s="4" t="str">
        <f t="shared" si="130"/>
        <v>学士</v>
      </c>
      <c r="I513" s="4" t="str">
        <f>"土地资源管理"</f>
        <v>土地资源管理</v>
      </c>
      <c r="J513" s="4" t="str">
        <f t="shared" si="133"/>
        <v>无</v>
      </c>
    </row>
    <row r="514" spans="1:10" ht="27" customHeight="1">
      <c r="A514" s="4">
        <v>512</v>
      </c>
      <c r="B514" s="4" t="str">
        <f>"225720191220174613233509"</f>
        <v>225720191220174613233509</v>
      </c>
      <c r="C514" s="4" t="s">
        <v>12</v>
      </c>
      <c r="D514" s="4" t="str">
        <f>"符溶"</f>
        <v>符溶</v>
      </c>
      <c r="E514" s="4" t="str">
        <f aca="true" t="shared" si="134" ref="E514:E528">"女"</f>
        <v>女</v>
      </c>
      <c r="F514" s="4" t="str">
        <f>"1996-06-28"</f>
        <v>1996-06-28</v>
      </c>
      <c r="G514" s="4" t="str">
        <f t="shared" si="129"/>
        <v>本科</v>
      </c>
      <c r="H514" s="4" t="str">
        <f t="shared" si="130"/>
        <v>学士</v>
      </c>
      <c r="I514" s="4" t="str">
        <f>"人文地理与城乡规划"</f>
        <v>人文地理与城乡规划</v>
      </c>
      <c r="J514" s="4" t="str">
        <f t="shared" si="133"/>
        <v>无</v>
      </c>
    </row>
    <row r="515" spans="1:10" ht="27" customHeight="1">
      <c r="A515" s="4">
        <v>513</v>
      </c>
      <c r="B515" s="4" t="str">
        <f>"225720191220190322233521"</f>
        <v>225720191220190322233521</v>
      </c>
      <c r="C515" s="4" t="s">
        <v>12</v>
      </c>
      <c r="D515" s="4" t="str">
        <f>"吴洋帆"</f>
        <v>吴洋帆</v>
      </c>
      <c r="E515" s="4" t="str">
        <f>"男"</f>
        <v>男</v>
      </c>
      <c r="F515" s="4" t="str">
        <f>"1992-10-25"</f>
        <v>1992-10-25</v>
      </c>
      <c r="G515" s="4" t="str">
        <f t="shared" si="129"/>
        <v>本科</v>
      </c>
      <c r="H515" s="4" t="str">
        <f t="shared" si="130"/>
        <v>学士</v>
      </c>
      <c r="I515" s="4" t="str">
        <f>"汉语言文学"</f>
        <v>汉语言文学</v>
      </c>
      <c r="J515" s="4" t="str">
        <f t="shared" si="133"/>
        <v>无</v>
      </c>
    </row>
    <row r="516" spans="1:10" ht="27" customHeight="1">
      <c r="A516" s="4">
        <v>514</v>
      </c>
      <c r="B516" s="4" t="str">
        <f>"225720191220202137233525"</f>
        <v>225720191220202137233525</v>
      </c>
      <c r="C516" s="4" t="s">
        <v>12</v>
      </c>
      <c r="D516" s="4" t="str">
        <f>"陈珺媛"</f>
        <v>陈珺媛</v>
      </c>
      <c r="E516" s="4" t="str">
        <f t="shared" si="134"/>
        <v>女</v>
      </c>
      <c r="F516" s="4" t="str">
        <f>"1996-12-30"</f>
        <v>1996-12-30</v>
      </c>
      <c r="G516" s="4" t="str">
        <f t="shared" si="129"/>
        <v>本科</v>
      </c>
      <c r="H516" s="4" t="str">
        <f t="shared" si="130"/>
        <v>学士</v>
      </c>
      <c r="I516" s="4" t="str">
        <f>"汉语言文学"</f>
        <v>汉语言文学</v>
      </c>
      <c r="J516" s="4" t="str">
        <f t="shared" si="133"/>
        <v>无</v>
      </c>
    </row>
    <row r="517" spans="1:10" ht="27" customHeight="1">
      <c r="A517" s="4">
        <v>515</v>
      </c>
      <c r="B517" s="4" t="str">
        <f>"225720191220212103233529"</f>
        <v>225720191220212103233529</v>
      </c>
      <c r="C517" s="4" t="s">
        <v>16</v>
      </c>
      <c r="D517" s="4" t="str">
        <f>"何晓婷"</f>
        <v>何晓婷</v>
      </c>
      <c r="E517" s="4" t="str">
        <f t="shared" si="134"/>
        <v>女</v>
      </c>
      <c r="F517" s="4" t="str">
        <f>"1993-10-06"</f>
        <v>1993-10-06</v>
      </c>
      <c r="G517" s="4" t="str">
        <f t="shared" si="129"/>
        <v>本科</v>
      </c>
      <c r="H517" s="4" t="str">
        <f t="shared" si="130"/>
        <v>学士</v>
      </c>
      <c r="I517" s="4" t="str">
        <f>"资源环境与城乡规划管理"</f>
        <v>资源环境与城乡规划管理</v>
      </c>
      <c r="J517" s="4" t="str">
        <f t="shared" si="133"/>
        <v>无</v>
      </c>
    </row>
    <row r="518" spans="1:10" ht="27" customHeight="1">
      <c r="A518" s="4">
        <v>516</v>
      </c>
      <c r="B518" s="4" t="str">
        <f>"225720191220224047233536"</f>
        <v>225720191220224047233536</v>
      </c>
      <c r="C518" s="4" t="s">
        <v>16</v>
      </c>
      <c r="D518" s="4" t="str">
        <f>"陈淑慧"</f>
        <v>陈淑慧</v>
      </c>
      <c r="E518" s="4" t="str">
        <f t="shared" si="134"/>
        <v>女</v>
      </c>
      <c r="F518" s="4" t="str">
        <f>"1991-11-10"</f>
        <v>1991-11-10</v>
      </c>
      <c r="G518" s="4" t="str">
        <f t="shared" si="129"/>
        <v>本科</v>
      </c>
      <c r="H518" s="4" t="str">
        <f>"无"</f>
        <v>无</v>
      </c>
      <c r="I518" s="4" t="str">
        <f>"资源环境与城乡规划管理"</f>
        <v>资源环境与城乡规划管理</v>
      </c>
      <c r="J518" s="4" t="str">
        <f t="shared" si="133"/>
        <v>无</v>
      </c>
    </row>
    <row r="519" spans="1:10" ht="27" customHeight="1">
      <c r="A519" s="4">
        <v>517</v>
      </c>
      <c r="B519" s="4" t="str">
        <f>"225720191220225335233537"</f>
        <v>225720191220225335233537</v>
      </c>
      <c r="C519" s="4" t="s">
        <v>12</v>
      </c>
      <c r="D519" s="4" t="str">
        <f>"吴晓朋"</f>
        <v>吴晓朋</v>
      </c>
      <c r="E519" s="4" t="str">
        <f t="shared" si="134"/>
        <v>女</v>
      </c>
      <c r="F519" s="4" t="str">
        <f>"1994-02-19"</f>
        <v>1994-02-19</v>
      </c>
      <c r="G519" s="4" t="str">
        <f t="shared" si="129"/>
        <v>本科</v>
      </c>
      <c r="H519" s="4" t="str">
        <f aca="true" t="shared" si="135" ref="H519:H524">"学士"</f>
        <v>学士</v>
      </c>
      <c r="I519" s="4" t="str">
        <f>"土地资源管理"</f>
        <v>土地资源管理</v>
      </c>
      <c r="J519" s="4" t="str">
        <f t="shared" si="133"/>
        <v>无</v>
      </c>
    </row>
    <row r="520" spans="1:10" ht="27" customHeight="1">
      <c r="A520" s="4">
        <v>518</v>
      </c>
      <c r="B520" s="4" t="str">
        <f>"225720191220234426233541"</f>
        <v>225720191220234426233541</v>
      </c>
      <c r="C520" s="4" t="s">
        <v>12</v>
      </c>
      <c r="D520" s="4" t="str">
        <f>"王蕾"</f>
        <v>王蕾</v>
      </c>
      <c r="E520" s="4" t="str">
        <f t="shared" si="134"/>
        <v>女</v>
      </c>
      <c r="F520" s="4" t="str">
        <f>"1993-10-06"</f>
        <v>1993-10-06</v>
      </c>
      <c r="G520" s="4" t="str">
        <f t="shared" si="129"/>
        <v>本科</v>
      </c>
      <c r="H520" s="4" t="str">
        <f t="shared" si="135"/>
        <v>学士</v>
      </c>
      <c r="I520" s="4" t="str">
        <f>"土地资源管理"</f>
        <v>土地资源管理</v>
      </c>
      <c r="J520" s="4" t="str">
        <f>"土地信息工程助理工程师"</f>
        <v>土地信息工程助理工程师</v>
      </c>
    </row>
    <row r="521" spans="1:10" ht="27" customHeight="1">
      <c r="A521" s="4">
        <v>519</v>
      </c>
      <c r="B521" s="4" t="str">
        <f>"225720191221005831233544"</f>
        <v>225720191221005831233544</v>
      </c>
      <c r="C521" s="4" t="s">
        <v>12</v>
      </c>
      <c r="D521" s="4" t="str">
        <f>"符玲玉"</f>
        <v>符玲玉</v>
      </c>
      <c r="E521" s="4" t="str">
        <f t="shared" si="134"/>
        <v>女</v>
      </c>
      <c r="F521" s="4" t="str">
        <f>"1995-08-24"</f>
        <v>1995-08-24</v>
      </c>
      <c r="G521" s="4" t="str">
        <f t="shared" si="129"/>
        <v>本科</v>
      </c>
      <c r="H521" s="4" t="str">
        <f t="shared" si="135"/>
        <v>学士</v>
      </c>
      <c r="I521" s="4" t="str">
        <f>"法学"</f>
        <v>法学</v>
      </c>
      <c r="J521" s="4" t="str">
        <f aca="true" t="shared" si="136" ref="J521:J529">"无"</f>
        <v>无</v>
      </c>
    </row>
    <row r="522" spans="1:10" ht="27" customHeight="1">
      <c r="A522" s="4">
        <v>520</v>
      </c>
      <c r="B522" s="4" t="str">
        <f>"225720191221093008233546"</f>
        <v>225720191221093008233546</v>
      </c>
      <c r="C522" s="4" t="s">
        <v>18</v>
      </c>
      <c r="D522" s="4" t="str">
        <f>"符丹虹"</f>
        <v>符丹虹</v>
      </c>
      <c r="E522" s="4" t="str">
        <f t="shared" si="134"/>
        <v>女</v>
      </c>
      <c r="F522" s="4" t="str">
        <f>"1991-11-11"</f>
        <v>1991-11-11</v>
      </c>
      <c r="G522" s="4" t="str">
        <f t="shared" si="129"/>
        <v>本科</v>
      </c>
      <c r="H522" s="4" t="str">
        <f t="shared" si="135"/>
        <v>学士</v>
      </c>
      <c r="I522" s="4" t="str">
        <f>"会计学"</f>
        <v>会计学</v>
      </c>
      <c r="J522" s="4" t="str">
        <f>"初级会计职称"</f>
        <v>初级会计职称</v>
      </c>
    </row>
    <row r="523" spans="1:10" ht="27" customHeight="1">
      <c r="A523" s="4">
        <v>521</v>
      </c>
      <c r="B523" s="4" t="str">
        <f>"225720191221103220233555"</f>
        <v>225720191221103220233555</v>
      </c>
      <c r="C523" s="4" t="s">
        <v>13</v>
      </c>
      <c r="D523" s="4" t="str">
        <f>"谢芳"</f>
        <v>谢芳</v>
      </c>
      <c r="E523" s="4" t="str">
        <f t="shared" si="134"/>
        <v>女</v>
      </c>
      <c r="F523" s="4" t="str">
        <f>"1993-09-13"</f>
        <v>1993-09-13</v>
      </c>
      <c r="G523" s="4" t="str">
        <f t="shared" si="129"/>
        <v>本科</v>
      </c>
      <c r="H523" s="4" t="str">
        <f t="shared" si="135"/>
        <v>学士</v>
      </c>
      <c r="I523" s="4" t="str">
        <f>"新闻学"</f>
        <v>新闻学</v>
      </c>
      <c r="J523" s="4" t="str">
        <f t="shared" si="136"/>
        <v>无</v>
      </c>
    </row>
    <row r="524" spans="1:10" ht="27" customHeight="1">
      <c r="A524" s="4">
        <v>522</v>
      </c>
      <c r="B524" s="4" t="str">
        <f>"225720191221104122233560"</f>
        <v>225720191221104122233560</v>
      </c>
      <c r="C524" s="4" t="s">
        <v>16</v>
      </c>
      <c r="D524" s="4" t="str">
        <f>"谢有珍"</f>
        <v>谢有珍</v>
      </c>
      <c r="E524" s="4" t="str">
        <f t="shared" si="134"/>
        <v>女</v>
      </c>
      <c r="F524" s="4" t="str">
        <f>"1987-06-28"</f>
        <v>1987-06-28</v>
      </c>
      <c r="G524" s="4" t="str">
        <f t="shared" si="129"/>
        <v>本科</v>
      </c>
      <c r="H524" s="4" t="str">
        <f t="shared" si="135"/>
        <v>学士</v>
      </c>
      <c r="I524" s="4" t="str">
        <f>"资源环境与城乡规划管理"</f>
        <v>资源环境与城乡规划管理</v>
      </c>
      <c r="J524" s="4" t="str">
        <f t="shared" si="136"/>
        <v>无</v>
      </c>
    </row>
    <row r="525" spans="1:10" ht="27" customHeight="1">
      <c r="A525" s="4">
        <v>523</v>
      </c>
      <c r="B525" s="4" t="str">
        <f>"225720191221104514233561"</f>
        <v>225720191221104514233561</v>
      </c>
      <c r="C525" s="4" t="s">
        <v>12</v>
      </c>
      <c r="D525" s="4" t="str">
        <f>"陆梅"</f>
        <v>陆梅</v>
      </c>
      <c r="E525" s="4" t="str">
        <f t="shared" si="134"/>
        <v>女</v>
      </c>
      <c r="F525" s="4" t="str">
        <f>"1991-05-16"</f>
        <v>1991-05-16</v>
      </c>
      <c r="G525" s="4" t="str">
        <f>"研究生"</f>
        <v>研究生</v>
      </c>
      <c r="H525" s="4" t="str">
        <f>"硕士"</f>
        <v>硕士</v>
      </c>
      <c r="I525" s="4" t="str">
        <f>"汉语言文学"</f>
        <v>汉语言文学</v>
      </c>
      <c r="J525" s="4" t="str">
        <f t="shared" si="136"/>
        <v>无</v>
      </c>
    </row>
    <row r="526" spans="1:10" ht="27" customHeight="1">
      <c r="A526" s="4">
        <v>524</v>
      </c>
      <c r="B526" s="4" t="str">
        <f>"225720191221110125233563"</f>
        <v>225720191221110125233563</v>
      </c>
      <c r="C526" s="4" t="s">
        <v>12</v>
      </c>
      <c r="D526" s="4" t="str">
        <f>"符卓慧"</f>
        <v>符卓慧</v>
      </c>
      <c r="E526" s="4" t="str">
        <f t="shared" si="134"/>
        <v>女</v>
      </c>
      <c r="F526" s="4" t="str">
        <f>"1997-10-01"</f>
        <v>1997-10-01</v>
      </c>
      <c r="G526" s="4" t="str">
        <f aca="true" t="shared" si="137" ref="G526:G589">"本科"</f>
        <v>本科</v>
      </c>
      <c r="H526" s="4" t="str">
        <f aca="true" t="shared" si="138" ref="H526:H549">"学士"</f>
        <v>学士</v>
      </c>
      <c r="I526" s="4" t="str">
        <f>"汉语言文学（公关与文秘）"</f>
        <v>汉语言文学（公关与文秘）</v>
      </c>
      <c r="J526" s="4" t="str">
        <f t="shared" si="136"/>
        <v>无</v>
      </c>
    </row>
    <row r="527" spans="1:10" ht="27" customHeight="1">
      <c r="A527" s="4">
        <v>525</v>
      </c>
      <c r="B527" s="4" t="str">
        <f>"225720191221112649233565"</f>
        <v>225720191221112649233565</v>
      </c>
      <c r="C527" s="4" t="s">
        <v>11</v>
      </c>
      <c r="D527" s="4" t="str">
        <f>"唐月丽"</f>
        <v>唐月丽</v>
      </c>
      <c r="E527" s="4" t="str">
        <f t="shared" si="134"/>
        <v>女</v>
      </c>
      <c r="F527" s="4" t="str">
        <f>"1994-03-04"</f>
        <v>1994-03-04</v>
      </c>
      <c r="G527" s="4" t="str">
        <f t="shared" si="137"/>
        <v>本科</v>
      </c>
      <c r="H527" s="4" t="str">
        <f t="shared" si="138"/>
        <v>学士</v>
      </c>
      <c r="I527" s="4" t="str">
        <f>"通信工程"</f>
        <v>通信工程</v>
      </c>
      <c r="J527" s="4" t="str">
        <f t="shared" si="136"/>
        <v>无</v>
      </c>
    </row>
    <row r="528" spans="1:10" ht="27" customHeight="1">
      <c r="A528" s="4">
        <v>526</v>
      </c>
      <c r="B528" s="4" t="str">
        <f>"225720191221114023233567"</f>
        <v>225720191221114023233567</v>
      </c>
      <c r="C528" s="4" t="s">
        <v>12</v>
      </c>
      <c r="D528" s="4" t="str">
        <f>"黄甜甜"</f>
        <v>黄甜甜</v>
      </c>
      <c r="E528" s="4" t="str">
        <f t="shared" si="134"/>
        <v>女</v>
      </c>
      <c r="F528" s="4" t="str">
        <f>"1993-07-18"</f>
        <v>1993-07-18</v>
      </c>
      <c r="G528" s="4" t="str">
        <f t="shared" si="137"/>
        <v>本科</v>
      </c>
      <c r="H528" s="4" t="str">
        <f t="shared" si="138"/>
        <v>学士</v>
      </c>
      <c r="I528" s="4" t="str">
        <f>"汉语言文学"</f>
        <v>汉语言文学</v>
      </c>
      <c r="J528" s="4" t="str">
        <f t="shared" si="136"/>
        <v>无</v>
      </c>
    </row>
    <row r="529" spans="1:10" ht="27" customHeight="1">
      <c r="A529" s="4">
        <v>527</v>
      </c>
      <c r="B529" s="4" t="str">
        <f>"225720191221120802233570"</f>
        <v>225720191221120802233570</v>
      </c>
      <c r="C529" s="4" t="s">
        <v>12</v>
      </c>
      <c r="D529" s="4" t="str">
        <f>"余永多"</f>
        <v>余永多</v>
      </c>
      <c r="E529" s="4" t="str">
        <f aca="true" t="shared" si="139" ref="E529:E537">"男"</f>
        <v>男</v>
      </c>
      <c r="F529" s="4" t="str">
        <f>"1996-04-09"</f>
        <v>1996-04-09</v>
      </c>
      <c r="G529" s="4" t="str">
        <f t="shared" si="137"/>
        <v>本科</v>
      </c>
      <c r="H529" s="4" t="str">
        <f t="shared" si="138"/>
        <v>学士</v>
      </c>
      <c r="I529" s="4" t="str">
        <f>"法学"</f>
        <v>法学</v>
      </c>
      <c r="J529" s="4" t="str">
        <f t="shared" si="136"/>
        <v>无</v>
      </c>
    </row>
    <row r="530" spans="1:10" ht="27" customHeight="1">
      <c r="A530" s="4">
        <v>528</v>
      </c>
      <c r="B530" s="4" t="str">
        <f>"225720191221121618233571"</f>
        <v>225720191221121618233571</v>
      </c>
      <c r="C530" s="4" t="s">
        <v>15</v>
      </c>
      <c r="D530" s="4" t="str">
        <f>"蔡亚弟"</f>
        <v>蔡亚弟</v>
      </c>
      <c r="E530" s="4" t="str">
        <f t="shared" si="139"/>
        <v>男</v>
      </c>
      <c r="F530" s="4" t="str">
        <f>"1988-10-02"</f>
        <v>1988-10-02</v>
      </c>
      <c r="G530" s="4" t="str">
        <f t="shared" si="137"/>
        <v>本科</v>
      </c>
      <c r="H530" s="4" t="str">
        <f t="shared" si="138"/>
        <v>学士</v>
      </c>
      <c r="I530" s="4" t="str">
        <f>"测绘工程"</f>
        <v>测绘工程</v>
      </c>
      <c r="J530" s="4" t="str">
        <f>"助理工程师"</f>
        <v>助理工程师</v>
      </c>
    </row>
    <row r="531" spans="1:10" ht="27" customHeight="1">
      <c r="A531" s="4">
        <v>529</v>
      </c>
      <c r="B531" s="4" t="str">
        <f>"225720191221125743233574"</f>
        <v>225720191221125743233574</v>
      </c>
      <c r="C531" s="4" t="s">
        <v>18</v>
      </c>
      <c r="D531" s="4" t="str">
        <f>"文和丹"</f>
        <v>文和丹</v>
      </c>
      <c r="E531" s="4" t="str">
        <f>"女"</f>
        <v>女</v>
      </c>
      <c r="F531" s="4" t="str">
        <f>"1994-10-12"</f>
        <v>1994-10-12</v>
      </c>
      <c r="G531" s="4" t="str">
        <f t="shared" si="137"/>
        <v>本科</v>
      </c>
      <c r="H531" s="4" t="str">
        <f t="shared" si="138"/>
        <v>学士</v>
      </c>
      <c r="I531" s="4" t="str">
        <f>"财务管理"</f>
        <v>财务管理</v>
      </c>
      <c r="J531" s="4" t="str">
        <f>"初级会计职称"</f>
        <v>初级会计职称</v>
      </c>
    </row>
    <row r="532" spans="1:10" ht="27" customHeight="1">
      <c r="A532" s="4">
        <v>530</v>
      </c>
      <c r="B532" s="4" t="str">
        <f>"225720191221130954233576"</f>
        <v>225720191221130954233576</v>
      </c>
      <c r="C532" s="4" t="s">
        <v>12</v>
      </c>
      <c r="D532" s="4" t="str">
        <f>"张春丽"</f>
        <v>张春丽</v>
      </c>
      <c r="E532" s="4" t="str">
        <f>"女"</f>
        <v>女</v>
      </c>
      <c r="F532" s="4" t="str">
        <f>"1994-09-02"</f>
        <v>1994-09-02</v>
      </c>
      <c r="G532" s="4" t="str">
        <f t="shared" si="137"/>
        <v>本科</v>
      </c>
      <c r="H532" s="4" t="str">
        <f t="shared" si="138"/>
        <v>学士</v>
      </c>
      <c r="I532" s="4" t="str">
        <f>"汉语言文学"</f>
        <v>汉语言文学</v>
      </c>
      <c r="J532" s="4" t="str">
        <f aca="true" t="shared" si="140" ref="J532:J541">"无"</f>
        <v>无</v>
      </c>
    </row>
    <row r="533" spans="1:10" ht="27" customHeight="1">
      <c r="A533" s="4">
        <v>531</v>
      </c>
      <c r="B533" s="4" t="str">
        <f>"225720191221132542233579"</f>
        <v>225720191221132542233579</v>
      </c>
      <c r="C533" s="4" t="s">
        <v>12</v>
      </c>
      <c r="D533" s="4" t="str">
        <f>"蔡汝芬"</f>
        <v>蔡汝芬</v>
      </c>
      <c r="E533" s="4" t="str">
        <f t="shared" si="139"/>
        <v>男</v>
      </c>
      <c r="F533" s="4" t="str">
        <f>"1993-07-02"</f>
        <v>1993-07-02</v>
      </c>
      <c r="G533" s="4" t="str">
        <f t="shared" si="137"/>
        <v>本科</v>
      </c>
      <c r="H533" s="4" t="str">
        <f t="shared" si="138"/>
        <v>学士</v>
      </c>
      <c r="I533" s="4" t="str">
        <f>"土地资源管理专业"</f>
        <v>土地资源管理专业</v>
      </c>
      <c r="J533" s="4" t="str">
        <f>"土地开发整理助理工程师"</f>
        <v>土地开发整理助理工程师</v>
      </c>
    </row>
    <row r="534" spans="1:10" ht="27" customHeight="1">
      <c r="A534" s="4">
        <v>532</v>
      </c>
      <c r="B534" s="4" t="str">
        <f>"225720191221132627233581"</f>
        <v>225720191221132627233581</v>
      </c>
      <c r="C534" s="4" t="s">
        <v>17</v>
      </c>
      <c r="D534" s="4" t="str">
        <f>"陈利翔"</f>
        <v>陈利翔</v>
      </c>
      <c r="E534" s="4" t="str">
        <f t="shared" si="139"/>
        <v>男</v>
      </c>
      <c r="F534" s="4" t="str">
        <f>"1992-10-09"</f>
        <v>1992-10-09</v>
      </c>
      <c r="G534" s="4" t="str">
        <f t="shared" si="137"/>
        <v>本科</v>
      </c>
      <c r="H534" s="4" t="str">
        <f t="shared" si="138"/>
        <v>学士</v>
      </c>
      <c r="I534" s="4" t="str">
        <f>"计算机科学与技术专业"</f>
        <v>计算机科学与技术专业</v>
      </c>
      <c r="J534" s="4" t="str">
        <f t="shared" si="140"/>
        <v>无</v>
      </c>
    </row>
    <row r="535" spans="1:10" ht="27" customHeight="1">
      <c r="A535" s="4">
        <v>533</v>
      </c>
      <c r="B535" s="4" t="str">
        <f>"225720191221134403233583"</f>
        <v>225720191221134403233583</v>
      </c>
      <c r="C535" s="4" t="s">
        <v>12</v>
      </c>
      <c r="D535" s="4" t="str">
        <f>"朱正相"</f>
        <v>朱正相</v>
      </c>
      <c r="E535" s="4" t="str">
        <f t="shared" si="139"/>
        <v>男</v>
      </c>
      <c r="F535" s="4" t="str">
        <f>"1994-10-01"</f>
        <v>1994-10-01</v>
      </c>
      <c r="G535" s="4" t="str">
        <f t="shared" si="137"/>
        <v>本科</v>
      </c>
      <c r="H535" s="4" t="str">
        <f t="shared" si="138"/>
        <v>学士</v>
      </c>
      <c r="I535" s="4" t="str">
        <f>"土地资源管理"</f>
        <v>土地资源管理</v>
      </c>
      <c r="J535" s="4" t="str">
        <f>"采购岗"</f>
        <v>采购岗</v>
      </c>
    </row>
    <row r="536" spans="1:10" ht="27" customHeight="1">
      <c r="A536" s="4">
        <v>534</v>
      </c>
      <c r="B536" s="4" t="str">
        <f>"225720191221151841233592"</f>
        <v>225720191221151841233592</v>
      </c>
      <c r="C536" s="4" t="s">
        <v>11</v>
      </c>
      <c r="D536" s="4" t="str">
        <f>"邱泉文"</f>
        <v>邱泉文</v>
      </c>
      <c r="E536" s="4" t="str">
        <f t="shared" si="139"/>
        <v>男</v>
      </c>
      <c r="F536" s="4" t="str">
        <f>"1990-10-27"</f>
        <v>1990-10-27</v>
      </c>
      <c r="G536" s="4" t="str">
        <f t="shared" si="137"/>
        <v>本科</v>
      </c>
      <c r="H536" s="4" t="str">
        <f t="shared" si="138"/>
        <v>学士</v>
      </c>
      <c r="I536" s="4" t="str">
        <f>"计算机科学与技术"</f>
        <v>计算机科学与技术</v>
      </c>
      <c r="J536" s="4" t="str">
        <f>"信息处理技术员"</f>
        <v>信息处理技术员</v>
      </c>
    </row>
    <row r="537" spans="1:10" ht="27" customHeight="1">
      <c r="A537" s="4">
        <v>535</v>
      </c>
      <c r="B537" s="4" t="str">
        <f>"225720191221201231233616"</f>
        <v>225720191221201231233616</v>
      </c>
      <c r="C537" s="4" t="s">
        <v>12</v>
      </c>
      <c r="D537" s="4" t="str">
        <f>"刘悦"</f>
        <v>刘悦</v>
      </c>
      <c r="E537" s="4" t="str">
        <f t="shared" si="139"/>
        <v>男</v>
      </c>
      <c r="F537" s="4" t="str">
        <f>"1995-10-06"</f>
        <v>1995-10-06</v>
      </c>
      <c r="G537" s="4" t="str">
        <f t="shared" si="137"/>
        <v>本科</v>
      </c>
      <c r="H537" s="4" t="str">
        <f t="shared" si="138"/>
        <v>学士</v>
      </c>
      <c r="I537" s="4" t="str">
        <f>"土地资源管理"</f>
        <v>土地资源管理</v>
      </c>
      <c r="J537" s="4" t="str">
        <f t="shared" si="140"/>
        <v>无</v>
      </c>
    </row>
    <row r="538" spans="1:10" ht="27" customHeight="1">
      <c r="A538" s="4">
        <v>536</v>
      </c>
      <c r="B538" s="4" t="str">
        <f>"225720191221210354233619"</f>
        <v>225720191221210354233619</v>
      </c>
      <c r="C538" s="4" t="s">
        <v>12</v>
      </c>
      <c r="D538" s="4" t="str">
        <f>"陈云"</f>
        <v>陈云</v>
      </c>
      <c r="E538" s="4" t="str">
        <f>"女"</f>
        <v>女</v>
      </c>
      <c r="F538" s="4" t="str">
        <f>"1994-06-18"</f>
        <v>1994-06-18</v>
      </c>
      <c r="G538" s="4" t="str">
        <f t="shared" si="137"/>
        <v>本科</v>
      </c>
      <c r="H538" s="4" t="str">
        <f t="shared" si="138"/>
        <v>学士</v>
      </c>
      <c r="I538" s="4" t="str">
        <f>"土地资源管理"</f>
        <v>土地资源管理</v>
      </c>
      <c r="J538" s="4" t="str">
        <f t="shared" si="140"/>
        <v>无</v>
      </c>
    </row>
    <row r="539" spans="1:10" ht="27" customHeight="1">
      <c r="A539" s="4">
        <v>537</v>
      </c>
      <c r="B539" s="4" t="str">
        <f>"225720191221211704233621"</f>
        <v>225720191221211704233621</v>
      </c>
      <c r="C539" s="4" t="s">
        <v>12</v>
      </c>
      <c r="D539" s="4" t="str">
        <f>"黄峰"</f>
        <v>黄峰</v>
      </c>
      <c r="E539" s="4" t="str">
        <f>"男"</f>
        <v>男</v>
      </c>
      <c r="F539" s="4" t="str">
        <f>"1997-06-07"</f>
        <v>1997-06-07</v>
      </c>
      <c r="G539" s="4" t="str">
        <f t="shared" si="137"/>
        <v>本科</v>
      </c>
      <c r="H539" s="4" t="str">
        <f t="shared" si="138"/>
        <v>学士</v>
      </c>
      <c r="I539" s="4" t="str">
        <f>"法学"</f>
        <v>法学</v>
      </c>
      <c r="J539" s="4" t="str">
        <f t="shared" si="140"/>
        <v>无</v>
      </c>
    </row>
    <row r="540" spans="1:10" ht="27" customHeight="1">
      <c r="A540" s="4">
        <v>538</v>
      </c>
      <c r="B540" s="4" t="str">
        <f>"225720191221214234233624"</f>
        <v>225720191221214234233624</v>
      </c>
      <c r="C540" s="4" t="s">
        <v>12</v>
      </c>
      <c r="D540" s="4" t="str">
        <f>"杨霖"</f>
        <v>杨霖</v>
      </c>
      <c r="E540" s="4" t="str">
        <f>"女"</f>
        <v>女</v>
      </c>
      <c r="F540" s="4" t="str">
        <f>"1997-09-13"</f>
        <v>1997-09-13</v>
      </c>
      <c r="G540" s="4" t="str">
        <f t="shared" si="137"/>
        <v>本科</v>
      </c>
      <c r="H540" s="4" t="str">
        <f t="shared" si="138"/>
        <v>学士</v>
      </c>
      <c r="I540" s="4" t="str">
        <f>"土地资源管理"</f>
        <v>土地资源管理</v>
      </c>
      <c r="J540" s="4" t="str">
        <f t="shared" si="140"/>
        <v>无</v>
      </c>
    </row>
    <row r="541" spans="1:10" ht="27" customHeight="1">
      <c r="A541" s="4">
        <v>539</v>
      </c>
      <c r="B541" s="4" t="str">
        <f>"225720191221223531233629"</f>
        <v>225720191221223531233629</v>
      </c>
      <c r="C541" s="4" t="s">
        <v>12</v>
      </c>
      <c r="D541" s="4" t="str">
        <f>"薛秋花"</f>
        <v>薛秋花</v>
      </c>
      <c r="E541" s="4" t="str">
        <f>"女"</f>
        <v>女</v>
      </c>
      <c r="F541" s="4" t="str">
        <f>"1996-10-19"</f>
        <v>1996-10-19</v>
      </c>
      <c r="G541" s="4" t="str">
        <f t="shared" si="137"/>
        <v>本科</v>
      </c>
      <c r="H541" s="4" t="str">
        <f t="shared" si="138"/>
        <v>学士</v>
      </c>
      <c r="I541" s="4" t="str">
        <f>"人文地理与城乡规划（房地产经营方向）"</f>
        <v>人文地理与城乡规划（房地产经营方向）</v>
      </c>
      <c r="J541" s="4" t="str">
        <f t="shared" si="140"/>
        <v>无</v>
      </c>
    </row>
    <row r="542" spans="1:10" ht="27" customHeight="1">
      <c r="A542" s="4">
        <v>540</v>
      </c>
      <c r="B542" s="4" t="str">
        <f>"225720191221233854233635"</f>
        <v>225720191221233854233635</v>
      </c>
      <c r="C542" s="4" t="s">
        <v>12</v>
      </c>
      <c r="D542" s="4" t="str">
        <f>"王嘉钰"</f>
        <v>王嘉钰</v>
      </c>
      <c r="E542" s="4" t="str">
        <f>"女"</f>
        <v>女</v>
      </c>
      <c r="F542" s="4" t="str">
        <f>"1996-04-09"</f>
        <v>1996-04-09</v>
      </c>
      <c r="G542" s="4" t="str">
        <f t="shared" si="137"/>
        <v>本科</v>
      </c>
      <c r="H542" s="4" t="str">
        <f t="shared" si="138"/>
        <v>学士</v>
      </c>
      <c r="I542" s="4" t="str">
        <f>"城乡规划"</f>
        <v>城乡规划</v>
      </c>
      <c r="J542" s="4" t="str">
        <f>"初级规划师"</f>
        <v>初级规划师</v>
      </c>
    </row>
    <row r="543" spans="1:10" ht="27" customHeight="1">
      <c r="A543" s="4">
        <v>541</v>
      </c>
      <c r="B543" s="4" t="str">
        <f>"225720191221234640233636"</f>
        <v>225720191221234640233636</v>
      </c>
      <c r="C543" s="4" t="s">
        <v>16</v>
      </c>
      <c r="D543" s="4" t="str">
        <f>"王怡达"</f>
        <v>王怡达</v>
      </c>
      <c r="E543" s="4" t="str">
        <f aca="true" t="shared" si="141" ref="E543:E550">"男"</f>
        <v>男</v>
      </c>
      <c r="F543" s="4" t="str">
        <f>"1985-12-26"</f>
        <v>1985-12-26</v>
      </c>
      <c r="G543" s="4" t="str">
        <f t="shared" si="137"/>
        <v>本科</v>
      </c>
      <c r="H543" s="4" t="str">
        <f t="shared" si="138"/>
        <v>学士</v>
      </c>
      <c r="I543" s="4" t="str">
        <f>"资源环境与城乡规划管理"</f>
        <v>资源环境与城乡规划管理</v>
      </c>
      <c r="J543" s="4" t="str">
        <f>"中级城市规划师"</f>
        <v>中级城市规划师</v>
      </c>
    </row>
    <row r="544" spans="1:10" ht="27" customHeight="1">
      <c r="A544" s="4">
        <v>542</v>
      </c>
      <c r="B544" s="4" t="str">
        <f>"225720191222101904233712"</f>
        <v>225720191222101904233712</v>
      </c>
      <c r="C544" s="4" t="s">
        <v>17</v>
      </c>
      <c r="D544" s="4" t="str">
        <f>"梁琼露"</f>
        <v>梁琼露</v>
      </c>
      <c r="E544" s="4" t="str">
        <f>"女"</f>
        <v>女</v>
      </c>
      <c r="F544" s="4" t="str">
        <f>"1988-05-28"</f>
        <v>1988-05-28</v>
      </c>
      <c r="G544" s="4" t="str">
        <f t="shared" si="137"/>
        <v>本科</v>
      </c>
      <c r="H544" s="4" t="str">
        <f t="shared" si="138"/>
        <v>学士</v>
      </c>
      <c r="I544" s="4" t="str">
        <f>"计算机科学与技术"</f>
        <v>计算机科学与技术</v>
      </c>
      <c r="J544" s="4" t="str">
        <f aca="true" t="shared" si="142" ref="J544:J550">"无"</f>
        <v>无</v>
      </c>
    </row>
    <row r="545" spans="1:10" ht="27" customHeight="1">
      <c r="A545" s="4">
        <v>543</v>
      </c>
      <c r="B545" s="4" t="str">
        <f>"225720191222104345233731"</f>
        <v>225720191222104345233731</v>
      </c>
      <c r="C545" s="4" t="s">
        <v>12</v>
      </c>
      <c r="D545" s="4" t="str">
        <f>"王芹"</f>
        <v>王芹</v>
      </c>
      <c r="E545" s="4" t="str">
        <f>"女"</f>
        <v>女</v>
      </c>
      <c r="F545" s="4" t="str">
        <f>"1987-06-05"</f>
        <v>1987-06-05</v>
      </c>
      <c r="G545" s="4" t="str">
        <f t="shared" si="137"/>
        <v>本科</v>
      </c>
      <c r="H545" s="4" t="str">
        <f t="shared" si="138"/>
        <v>学士</v>
      </c>
      <c r="I545" s="4" t="str">
        <f>"汉语言文学"</f>
        <v>汉语言文学</v>
      </c>
      <c r="J545" s="4" t="str">
        <f t="shared" si="142"/>
        <v>无</v>
      </c>
    </row>
    <row r="546" spans="1:10" ht="27" customHeight="1">
      <c r="A546" s="4">
        <v>544</v>
      </c>
      <c r="B546" s="4" t="str">
        <f>"225720191222112444233756"</f>
        <v>225720191222112444233756</v>
      </c>
      <c r="C546" s="4" t="s">
        <v>12</v>
      </c>
      <c r="D546" s="4" t="str">
        <f>"陈慧银"</f>
        <v>陈慧银</v>
      </c>
      <c r="E546" s="4" t="str">
        <f>"女"</f>
        <v>女</v>
      </c>
      <c r="F546" s="4" t="str">
        <f>"1997-12-09"</f>
        <v>1997-12-09</v>
      </c>
      <c r="G546" s="4" t="str">
        <f t="shared" si="137"/>
        <v>本科</v>
      </c>
      <c r="H546" s="4" t="str">
        <f t="shared" si="138"/>
        <v>学士</v>
      </c>
      <c r="I546" s="4" t="str">
        <f>"汉语言文学"</f>
        <v>汉语言文学</v>
      </c>
      <c r="J546" s="4" t="str">
        <f t="shared" si="142"/>
        <v>无</v>
      </c>
    </row>
    <row r="547" spans="1:10" ht="27" customHeight="1">
      <c r="A547" s="4">
        <v>545</v>
      </c>
      <c r="B547" s="4" t="str">
        <f>"225720191222134652233800"</f>
        <v>225720191222134652233800</v>
      </c>
      <c r="C547" s="4" t="s">
        <v>16</v>
      </c>
      <c r="D547" s="4" t="str">
        <f>"严礼卡"</f>
        <v>严礼卡</v>
      </c>
      <c r="E547" s="4" t="str">
        <f t="shared" si="141"/>
        <v>男</v>
      </c>
      <c r="F547" s="4" t="str">
        <f>"1989-08-16"</f>
        <v>1989-08-16</v>
      </c>
      <c r="G547" s="4" t="str">
        <f t="shared" si="137"/>
        <v>本科</v>
      </c>
      <c r="H547" s="4" t="str">
        <f t="shared" si="138"/>
        <v>学士</v>
      </c>
      <c r="I547" s="4" t="str">
        <f>"资源环境与城乡规划管理"</f>
        <v>资源环境与城乡规划管理</v>
      </c>
      <c r="J547" s="4" t="str">
        <f t="shared" si="142"/>
        <v>无</v>
      </c>
    </row>
    <row r="548" spans="1:10" ht="27" customHeight="1">
      <c r="A548" s="4">
        <v>546</v>
      </c>
      <c r="B548" s="4" t="str">
        <f>"225720191222140448233811"</f>
        <v>225720191222140448233811</v>
      </c>
      <c r="C548" s="4" t="s">
        <v>12</v>
      </c>
      <c r="D548" s="4" t="str">
        <f>"吴威宏"</f>
        <v>吴威宏</v>
      </c>
      <c r="E548" s="4" t="str">
        <f t="shared" si="141"/>
        <v>男</v>
      </c>
      <c r="F548" s="4" t="str">
        <f>"1997-08-01"</f>
        <v>1997-08-01</v>
      </c>
      <c r="G548" s="4" t="str">
        <f t="shared" si="137"/>
        <v>本科</v>
      </c>
      <c r="H548" s="4" t="str">
        <f t="shared" si="138"/>
        <v>学士</v>
      </c>
      <c r="I548" s="4" t="str">
        <f>"人文地理与城乡规划"</f>
        <v>人文地理与城乡规划</v>
      </c>
      <c r="J548" s="4" t="str">
        <f t="shared" si="142"/>
        <v>无</v>
      </c>
    </row>
    <row r="549" spans="1:10" ht="27" customHeight="1">
      <c r="A549" s="4">
        <v>547</v>
      </c>
      <c r="B549" s="4" t="str">
        <f>"225720191222145952233825"</f>
        <v>225720191222145952233825</v>
      </c>
      <c r="C549" s="4" t="s">
        <v>12</v>
      </c>
      <c r="D549" s="4" t="str">
        <f>"韩旭"</f>
        <v>韩旭</v>
      </c>
      <c r="E549" s="4" t="str">
        <f t="shared" si="141"/>
        <v>男</v>
      </c>
      <c r="F549" s="4" t="str">
        <f>"1997-07-18"</f>
        <v>1997-07-18</v>
      </c>
      <c r="G549" s="4" t="str">
        <f t="shared" si="137"/>
        <v>本科</v>
      </c>
      <c r="H549" s="4" t="str">
        <f t="shared" si="138"/>
        <v>学士</v>
      </c>
      <c r="I549" s="4" t="str">
        <f>"城乡规划"</f>
        <v>城乡规划</v>
      </c>
      <c r="J549" s="4" t="str">
        <f t="shared" si="142"/>
        <v>无</v>
      </c>
    </row>
    <row r="550" spans="1:10" ht="27" customHeight="1">
      <c r="A550" s="4">
        <v>548</v>
      </c>
      <c r="B550" s="4" t="str">
        <f>"225720191222152127233834"</f>
        <v>225720191222152127233834</v>
      </c>
      <c r="C550" s="4" t="s">
        <v>16</v>
      </c>
      <c r="D550" s="4" t="str">
        <f>"张亮"</f>
        <v>张亮</v>
      </c>
      <c r="E550" s="4" t="str">
        <f t="shared" si="141"/>
        <v>男</v>
      </c>
      <c r="F550" s="4" t="str">
        <f>"1994-02-19"</f>
        <v>1994-02-19</v>
      </c>
      <c r="G550" s="4" t="str">
        <f t="shared" si="137"/>
        <v>本科</v>
      </c>
      <c r="H550" s="4" t="str">
        <f>"无"</f>
        <v>无</v>
      </c>
      <c r="I550" s="4" t="str">
        <f>"地理信息系统"</f>
        <v>地理信息系统</v>
      </c>
      <c r="J550" s="4" t="str">
        <f t="shared" si="142"/>
        <v>无</v>
      </c>
    </row>
    <row r="551" spans="1:10" ht="27" customHeight="1">
      <c r="A551" s="4">
        <v>549</v>
      </c>
      <c r="B551" s="4" t="str">
        <f>"225720191222162709233858"</f>
        <v>225720191222162709233858</v>
      </c>
      <c r="C551" s="4" t="s">
        <v>12</v>
      </c>
      <c r="D551" s="4" t="str">
        <f>"符兰芬"</f>
        <v>符兰芬</v>
      </c>
      <c r="E551" s="4" t="str">
        <f aca="true" t="shared" si="143" ref="E551:E556">"女"</f>
        <v>女</v>
      </c>
      <c r="F551" s="4" t="str">
        <f>"1993-05-12"</f>
        <v>1993-05-12</v>
      </c>
      <c r="G551" s="4" t="str">
        <f t="shared" si="137"/>
        <v>本科</v>
      </c>
      <c r="H551" s="4" t="str">
        <f aca="true" t="shared" si="144" ref="H551:H603">"学士"</f>
        <v>学士</v>
      </c>
      <c r="I551" s="4" t="str">
        <f>"汉语言文学"</f>
        <v>汉语言文学</v>
      </c>
      <c r="J551" s="4" t="str">
        <f>"纸媒部副主任"</f>
        <v>纸媒部副主任</v>
      </c>
    </row>
    <row r="552" spans="1:10" ht="27" customHeight="1">
      <c r="A552" s="4">
        <v>550</v>
      </c>
      <c r="B552" s="4" t="str">
        <f>"225720191222191027234033"</f>
        <v>225720191222191027234033</v>
      </c>
      <c r="C552" s="4" t="s">
        <v>12</v>
      </c>
      <c r="D552" s="4" t="str">
        <f>"符珏"</f>
        <v>符珏</v>
      </c>
      <c r="E552" s="4" t="str">
        <f t="shared" si="143"/>
        <v>女</v>
      </c>
      <c r="F552" s="4" t="str">
        <f>"1996-09-18"</f>
        <v>1996-09-18</v>
      </c>
      <c r="G552" s="4" t="str">
        <f t="shared" si="137"/>
        <v>本科</v>
      </c>
      <c r="H552" s="4" t="str">
        <f t="shared" si="144"/>
        <v>学士</v>
      </c>
      <c r="I552" s="4" t="str">
        <f>"法学"</f>
        <v>法学</v>
      </c>
      <c r="J552" s="4" t="str">
        <f>"无"</f>
        <v>无</v>
      </c>
    </row>
    <row r="553" spans="1:10" ht="27" customHeight="1">
      <c r="A553" s="4">
        <v>551</v>
      </c>
      <c r="B553" s="4" t="str">
        <f>"225720191222193826234039"</f>
        <v>225720191222193826234039</v>
      </c>
      <c r="C553" s="4" t="s">
        <v>12</v>
      </c>
      <c r="D553" s="4" t="str">
        <f>"冯学钰"</f>
        <v>冯学钰</v>
      </c>
      <c r="E553" s="4" t="str">
        <f>"男"</f>
        <v>男</v>
      </c>
      <c r="F553" s="4" t="str">
        <f>"1995-11-15"</f>
        <v>1995-11-15</v>
      </c>
      <c r="G553" s="4" t="str">
        <f t="shared" si="137"/>
        <v>本科</v>
      </c>
      <c r="H553" s="4" t="str">
        <f t="shared" si="144"/>
        <v>学士</v>
      </c>
      <c r="I553" s="4" t="str">
        <f>"法学"</f>
        <v>法学</v>
      </c>
      <c r="J553" s="4" t="str">
        <f>"无"</f>
        <v>无</v>
      </c>
    </row>
    <row r="554" spans="1:10" ht="27" customHeight="1">
      <c r="A554" s="4">
        <v>552</v>
      </c>
      <c r="B554" s="4" t="str">
        <f>"225720191222203234234052"</f>
        <v>225720191222203234234052</v>
      </c>
      <c r="C554" s="4" t="s">
        <v>12</v>
      </c>
      <c r="D554" s="4" t="str">
        <f>"沈飞"</f>
        <v>沈飞</v>
      </c>
      <c r="E554" s="4" t="str">
        <f t="shared" si="143"/>
        <v>女</v>
      </c>
      <c r="F554" s="4" t="str">
        <f>"1996-01-19"</f>
        <v>1996-01-19</v>
      </c>
      <c r="G554" s="4" t="str">
        <f t="shared" si="137"/>
        <v>本科</v>
      </c>
      <c r="H554" s="4" t="str">
        <f t="shared" si="144"/>
        <v>学士</v>
      </c>
      <c r="I554" s="4" t="str">
        <f>"法学"</f>
        <v>法学</v>
      </c>
      <c r="J554" s="4" t="str">
        <f>"无"</f>
        <v>无</v>
      </c>
    </row>
    <row r="555" spans="1:10" ht="27" customHeight="1">
      <c r="A555" s="4">
        <v>553</v>
      </c>
      <c r="B555" s="4" t="str">
        <f>"225720191222203600234053"</f>
        <v>225720191222203600234053</v>
      </c>
      <c r="C555" s="4" t="s">
        <v>12</v>
      </c>
      <c r="D555" s="4" t="str">
        <f>"羊淑香"</f>
        <v>羊淑香</v>
      </c>
      <c r="E555" s="4" t="str">
        <f t="shared" si="143"/>
        <v>女</v>
      </c>
      <c r="F555" s="4" t="str">
        <f>"1994-11-02"</f>
        <v>1994-11-02</v>
      </c>
      <c r="G555" s="4" t="str">
        <f t="shared" si="137"/>
        <v>本科</v>
      </c>
      <c r="H555" s="4" t="str">
        <f t="shared" si="144"/>
        <v>学士</v>
      </c>
      <c r="I555" s="4" t="str">
        <f>"汉语言文学"</f>
        <v>汉语言文学</v>
      </c>
      <c r="J555" s="4" t="str">
        <f>"无"</f>
        <v>无</v>
      </c>
    </row>
    <row r="556" spans="1:10" ht="27" customHeight="1">
      <c r="A556" s="4">
        <v>554</v>
      </c>
      <c r="B556" s="4" t="str">
        <f>"225720191222204211234054"</f>
        <v>225720191222204211234054</v>
      </c>
      <c r="C556" s="4" t="s">
        <v>12</v>
      </c>
      <c r="D556" s="4" t="str">
        <f>"符莹"</f>
        <v>符莹</v>
      </c>
      <c r="E556" s="4" t="str">
        <f t="shared" si="143"/>
        <v>女</v>
      </c>
      <c r="F556" s="4" t="str">
        <f>"1993-01-12"</f>
        <v>1993-01-12</v>
      </c>
      <c r="G556" s="4" t="str">
        <f t="shared" si="137"/>
        <v>本科</v>
      </c>
      <c r="H556" s="4" t="str">
        <f t="shared" si="144"/>
        <v>学士</v>
      </c>
      <c r="I556" s="4" t="str">
        <f>"城乡规划"</f>
        <v>城乡规划</v>
      </c>
      <c r="J556" s="4" t="str">
        <f>"助理规划师"</f>
        <v>助理规划师</v>
      </c>
    </row>
    <row r="557" spans="1:10" ht="27" customHeight="1">
      <c r="A557" s="4">
        <v>555</v>
      </c>
      <c r="B557" s="4" t="str">
        <f>"225720191222204248234055"</f>
        <v>225720191222204248234055</v>
      </c>
      <c r="C557" s="4" t="s">
        <v>16</v>
      </c>
      <c r="D557" s="4" t="str">
        <f>"林道飞"</f>
        <v>林道飞</v>
      </c>
      <c r="E557" s="4" t="str">
        <f>"男"</f>
        <v>男</v>
      </c>
      <c r="F557" s="4" t="str">
        <f>"1992-09-23"</f>
        <v>1992-09-23</v>
      </c>
      <c r="G557" s="4" t="str">
        <f t="shared" si="137"/>
        <v>本科</v>
      </c>
      <c r="H557" s="4" t="str">
        <f t="shared" si="144"/>
        <v>学士</v>
      </c>
      <c r="I557" s="4" t="str">
        <f>"地理信息系统"</f>
        <v>地理信息系统</v>
      </c>
      <c r="J557" s="4" t="str">
        <f aca="true" t="shared" si="145" ref="J557:J567">"无"</f>
        <v>无</v>
      </c>
    </row>
    <row r="558" spans="1:10" ht="27" customHeight="1">
      <c r="A558" s="4">
        <v>556</v>
      </c>
      <c r="B558" s="4" t="str">
        <f>"225720191222205402234061"</f>
        <v>225720191222205402234061</v>
      </c>
      <c r="C558" s="4" t="s">
        <v>12</v>
      </c>
      <c r="D558" s="4" t="str">
        <f>"陈旭"</f>
        <v>陈旭</v>
      </c>
      <c r="E558" s="4" t="str">
        <f>"女"</f>
        <v>女</v>
      </c>
      <c r="F558" s="4" t="str">
        <f>"1992-06-08"</f>
        <v>1992-06-08</v>
      </c>
      <c r="G558" s="4" t="str">
        <f t="shared" si="137"/>
        <v>本科</v>
      </c>
      <c r="H558" s="4" t="str">
        <f t="shared" si="144"/>
        <v>学士</v>
      </c>
      <c r="I558" s="4" t="str">
        <f>"汉语言文学"</f>
        <v>汉语言文学</v>
      </c>
      <c r="J558" s="4" t="str">
        <f t="shared" si="145"/>
        <v>无</v>
      </c>
    </row>
    <row r="559" spans="1:10" ht="27" customHeight="1">
      <c r="A559" s="4">
        <v>557</v>
      </c>
      <c r="B559" s="4" t="str">
        <f>"225720191222211518234066"</f>
        <v>225720191222211518234066</v>
      </c>
      <c r="C559" s="4" t="s">
        <v>12</v>
      </c>
      <c r="D559" s="4" t="str">
        <f>"陈一菁"</f>
        <v>陈一菁</v>
      </c>
      <c r="E559" s="4" t="str">
        <f>"女"</f>
        <v>女</v>
      </c>
      <c r="F559" s="4" t="str">
        <f>"1997-01-13"</f>
        <v>1997-01-13</v>
      </c>
      <c r="G559" s="4" t="str">
        <f t="shared" si="137"/>
        <v>本科</v>
      </c>
      <c r="H559" s="4" t="str">
        <f t="shared" si="144"/>
        <v>学士</v>
      </c>
      <c r="I559" s="4" t="str">
        <f>"法学"</f>
        <v>法学</v>
      </c>
      <c r="J559" s="4" t="str">
        <f>" 无"</f>
        <v> 无</v>
      </c>
    </row>
    <row r="560" spans="1:10" ht="27" customHeight="1">
      <c r="A560" s="4">
        <v>558</v>
      </c>
      <c r="B560" s="4" t="str">
        <f>"225720191222224411234080"</f>
        <v>225720191222224411234080</v>
      </c>
      <c r="C560" s="4" t="s">
        <v>13</v>
      </c>
      <c r="D560" s="4" t="str">
        <f>"韦雪梅"</f>
        <v>韦雪梅</v>
      </c>
      <c r="E560" s="4" t="str">
        <f>"女"</f>
        <v>女</v>
      </c>
      <c r="F560" s="4" t="str">
        <f>"1985-04-05"</f>
        <v>1985-04-05</v>
      </c>
      <c r="G560" s="4" t="str">
        <f t="shared" si="137"/>
        <v>本科</v>
      </c>
      <c r="H560" s="4" t="str">
        <f t="shared" si="144"/>
        <v>学士</v>
      </c>
      <c r="I560" s="4" t="str">
        <f>"新闻学"</f>
        <v>新闻学</v>
      </c>
      <c r="J560" s="4" t="str">
        <f>"助理记者"</f>
        <v>助理记者</v>
      </c>
    </row>
    <row r="561" spans="1:10" ht="27" customHeight="1">
      <c r="A561" s="4">
        <v>559</v>
      </c>
      <c r="B561" s="4" t="str">
        <f>"225720191222225016234083"</f>
        <v>225720191222225016234083</v>
      </c>
      <c r="C561" s="4" t="s">
        <v>12</v>
      </c>
      <c r="D561" s="4" t="str">
        <f>"王璐颖"</f>
        <v>王璐颖</v>
      </c>
      <c r="E561" s="4" t="str">
        <f>"女"</f>
        <v>女</v>
      </c>
      <c r="F561" s="4" t="str">
        <f>"1995-08-24"</f>
        <v>1995-08-24</v>
      </c>
      <c r="G561" s="4" t="str">
        <f t="shared" si="137"/>
        <v>本科</v>
      </c>
      <c r="H561" s="4" t="str">
        <f t="shared" si="144"/>
        <v>学士</v>
      </c>
      <c r="I561" s="4" t="str">
        <f>"汉语言文学"</f>
        <v>汉语言文学</v>
      </c>
      <c r="J561" s="4" t="str">
        <f t="shared" si="145"/>
        <v>无</v>
      </c>
    </row>
    <row r="562" spans="1:10" ht="27" customHeight="1">
      <c r="A562" s="4">
        <v>560</v>
      </c>
      <c r="B562" s="4" t="str">
        <f>"225720191222230951234086"</f>
        <v>225720191222230951234086</v>
      </c>
      <c r="C562" s="4" t="s">
        <v>12</v>
      </c>
      <c r="D562" s="4" t="str">
        <f>"李华曦"</f>
        <v>李华曦</v>
      </c>
      <c r="E562" s="4" t="str">
        <f>"女"</f>
        <v>女</v>
      </c>
      <c r="F562" s="4" t="str">
        <f>"1991-12-17"</f>
        <v>1991-12-17</v>
      </c>
      <c r="G562" s="4" t="str">
        <f t="shared" si="137"/>
        <v>本科</v>
      </c>
      <c r="H562" s="4" t="str">
        <f t="shared" si="144"/>
        <v>学士</v>
      </c>
      <c r="I562" s="4" t="str">
        <f>"法学"</f>
        <v>法学</v>
      </c>
      <c r="J562" s="4" t="str">
        <f t="shared" si="145"/>
        <v>无</v>
      </c>
    </row>
    <row r="563" spans="1:10" ht="27" customHeight="1">
      <c r="A563" s="4">
        <v>561</v>
      </c>
      <c r="B563" s="4" t="str">
        <f>"225720191222234809234093"</f>
        <v>225720191222234809234093</v>
      </c>
      <c r="C563" s="4" t="s">
        <v>16</v>
      </c>
      <c r="D563" s="4" t="str">
        <f>"冯佰欣"</f>
        <v>冯佰欣</v>
      </c>
      <c r="E563" s="4" t="str">
        <f>"男"</f>
        <v>男</v>
      </c>
      <c r="F563" s="4" t="str">
        <f>"1993-02-21"</f>
        <v>1993-02-21</v>
      </c>
      <c r="G563" s="4" t="str">
        <f t="shared" si="137"/>
        <v>本科</v>
      </c>
      <c r="H563" s="4" t="str">
        <f t="shared" si="144"/>
        <v>学士</v>
      </c>
      <c r="I563" s="4" t="str">
        <f>"地理信息系统"</f>
        <v>地理信息系统</v>
      </c>
      <c r="J563" s="4" t="str">
        <f t="shared" si="145"/>
        <v>无</v>
      </c>
    </row>
    <row r="564" spans="1:10" ht="27" customHeight="1">
      <c r="A564" s="4">
        <v>562</v>
      </c>
      <c r="B564" s="4" t="str">
        <f>"225720191223002818234099"</f>
        <v>225720191223002818234099</v>
      </c>
      <c r="C564" s="4" t="s">
        <v>13</v>
      </c>
      <c r="D564" s="4" t="str">
        <f>"王静"</f>
        <v>王静</v>
      </c>
      <c r="E564" s="4" t="str">
        <f aca="true" t="shared" si="146" ref="E564:E575">"女"</f>
        <v>女</v>
      </c>
      <c r="F564" s="4" t="str">
        <f>"1985-08-12"</f>
        <v>1985-08-12</v>
      </c>
      <c r="G564" s="4" t="str">
        <f t="shared" si="137"/>
        <v>本科</v>
      </c>
      <c r="H564" s="4" t="str">
        <f t="shared" si="144"/>
        <v>学士</v>
      </c>
      <c r="I564" s="4" t="str">
        <f>"新闻学"</f>
        <v>新闻学</v>
      </c>
      <c r="J564" s="4" t="str">
        <f t="shared" si="145"/>
        <v>无</v>
      </c>
    </row>
    <row r="565" spans="1:10" ht="27" customHeight="1">
      <c r="A565" s="4">
        <v>563</v>
      </c>
      <c r="B565" s="4" t="str">
        <f>"225720191223003108234100"</f>
        <v>225720191223003108234100</v>
      </c>
      <c r="C565" s="4" t="s">
        <v>15</v>
      </c>
      <c r="D565" s="4" t="str">
        <f>"宋洋"</f>
        <v>宋洋</v>
      </c>
      <c r="E565" s="4" t="str">
        <f t="shared" si="146"/>
        <v>女</v>
      </c>
      <c r="F565" s="4" t="str">
        <f>"1996-01-25"</f>
        <v>1996-01-25</v>
      </c>
      <c r="G565" s="4" t="str">
        <f t="shared" si="137"/>
        <v>本科</v>
      </c>
      <c r="H565" s="4" t="str">
        <f t="shared" si="144"/>
        <v>学士</v>
      </c>
      <c r="I565" s="4" t="str">
        <f>"土地资源管理"</f>
        <v>土地资源管理</v>
      </c>
      <c r="J565" s="4" t="str">
        <f t="shared" si="145"/>
        <v>无</v>
      </c>
    </row>
    <row r="566" spans="1:10" ht="27" customHeight="1">
      <c r="A566" s="4">
        <v>564</v>
      </c>
      <c r="B566" s="4" t="str">
        <f>"225720191223003831234102"</f>
        <v>225720191223003831234102</v>
      </c>
      <c r="C566" s="4" t="s">
        <v>15</v>
      </c>
      <c r="D566" s="4" t="str">
        <f>"吴清波"</f>
        <v>吴清波</v>
      </c>
      <c r="E566" s="4" t="str">
        <f t="shared" si="146"/>
        <v>女</v>
      </c>
      <c r="F566" s="4" t="str">
        <f>"1994-11-11"</f>
        <v>1994-11-11</v>
      </c>
      <c r="G566" s="4" t="str">
        <f t="shared" si="137"/>
        <v>本科</v>
      </c>
      <c r="H566" s="4" t="str">
        <f t="shared" si="144"/>
        <v>学士</v>
      </c>
      <c r="I566" s="4" t="str">
        <f>"测绘工程专业"</f>
        <v>测绘工程专业</v>
      </c>
      <c r="J566" s="4" t="str">
        <f t="shared" si="145"/>
        <v>无</v>
      </c>
    </row>
    <row r="567" spans="1:10" ht="27" customHeight="1">
      <c r="A567" s="4">
        <v>565</v>
      </c>
      <c r="B567" s="4" t="str">
        <f>"225720191223011253234103"</f>
        <v>225720191223011253234103</v>
      </c>
      <c r="C567" s="4" t="s">
        <v>12</v>
      </c>
      <c r="D567" s="4" t="str">
        <f>"符慧"</f>
        <v>符慧</v>
      </c>
      <c r="E567" s="4" t="str">
        <f t="shared" si="146"/>
        <v>女</v>
      </c>
      <c r="F567" s="4" t="str">
        <f>"1997-06-18"</f>
        <v>1997-06-18</v>
      </c>
      <c r="G567" s="4" t="str">
        <f t="shared" si="137"/>
        <v>本科</v>
      </c>
      <c r="H567" s="4" t="str">
        <f t="shared" si="144"/>
        <v>学士</v>
      </c>
      <c r="I567" s="4" t="str">
        <f>"汉语言文学"</f>
        <v>汉语言文学</v>
      </c>
      <c r="J567" s="4" t="str">
        <f t="shared" si="145"/>
        <v>无</v>
      </c>
    </row>
    <row r="568" spans="1:10" ht="27" customHeight="1">
      <c r="A568" s="4">
        <v>566</v>
      </c>
      <c r="B568" s="4" t="str">
        <f>"225720191223011739234104"</f>
        <v>225720191223011739234104</v>
      </c>
      <c r="C568" s="4" t="s">
        <v>12</v>
      </c>
      <c r="D568" s="4" t="str">
        <f>"陆来利"</f>
        <v>陆来利</v>
      </c>
      <c r="E568" s="4" t="str">
        <f t="shared" si="146"/>
        <v>女</v>
      </c>
      <c r="F568" s="4" t="str">
        <f>"1995-03-10"</f>
        <v>1995-03-10</v>
      </c>
      <c r="G568" s="4" t="str">
        <f t="shared" si="137"/>
        <v>本科</v>
      </c>
      <c r="H568" s="4" t="str">
        <f t="shared" si="144"/>
        <v>学士</v>
      </c>
      <c r="I568" s="4" t="str">
        <f>"土地资源管理"</f>
        <v>土地资源管理</v>
      </c>
      <c r="J568" s="4" t="str">
        <f>"职员"</f>
        <v>职员</v>
      </c>
    </row>
    <row r="569" spans="1:10" ht="27" customHeight="1">
      <c r="A569" s="4">
        <v>567</v>
      </c>
      <c r="B569" s="4" t="str">
        <f>"225720191223081825234117"</f>
        <v>225720191223081825234117</v>
      </c>
      <c r="C569" s="4" t="s">
        <v>18</v>
      </c>
      <c r="D569" s="4" t="str">
        <f>"李晶"</f>
        <v>李晶</v>
      </c>
      <c r="E569" s="4" t="str">
        <f t="shared" si="146"/>
        <v>女</v>
      </c>
      <c r="F569" s="4" t="str">
        <f>"1985-11-05"</f>
        <v>1985-11-05</v>
      </c>
      <c r="G569" s="4" t="str">
        <f t="shared" si="137"/>
        <v>本科</v>
      </c>
      <c r="H569" s="4" t="str">
        <f t="shared" si="144"/>
        <v>学士</v>
      </c>
      <c r="I569" s="4" t="str">
        <f>"会计学"</f>
        <v>会计学</v>
      </c>
      <c r="J569" s="4" t="str">
        <f>"中级会计职称"</f>
        <v>中级会计职称</v>
      </c>
    </row>
    <row r="570" spans="1:10" ht="27" customHeight="1">
      <c r="A570" s="4">
        <v>568</v>
      </c>
      <c r="B570" s="4" t="str">
        <f>"225720191223082625234122"</f>
        <v>225720191223082625234122</v>
      </c>
      <c r="C570" s="4" t="s">
        <v>12</v>
      </c>
      <c r="D570" s="4" t="str">
        <f>"符秋霞"</f>
        <v>符秋霞</v>
      </c>
      <c r="E570" s="4" t="str">
        <f t="shared" si="146"/>
        <v>女</v>
      </c>
      <c r="F570" s="4" t="str">
        <f>"1992-04-11"</f>
        <v>1992-04-11</v>
      </c>
      <c r="G570" s="4" t="str">
        <f t="shared" si="137"/>
        <v>本科</v>
      </c>
      <c r="H570" s="4" t="str">
        <f t="shared" si="144"/>
        <v>学士</v>
      </c>
      <c r="I570" s="4" t="str">
        <f>"汉语言文学"</f>
        <v>汉语言文学</v>
      </c>
      <c r="J570" s="4" t="str">
        <f aca="true" t="shared" si="147" ref="J570:J581">"无"</f>
        <v>无</v>
      </c>
    </row>
    <row r="571" spans="1:10" ht="27" customHeight="1">
      <c r="A571" s="4">
        <v>569</v>
      </c>
      <c r="B571" s="4" t="str">
        <f>"225720191223084959234137"</f>
        <v>225720191223084959234137</v>
      </c>
      <c r="C571" s="4" t="s">
        <v>12</v>
      </c>
      <c r="D571" s="4" t="str">
        <f>"赵元云"</f>
        <v>赵元云</v>
      </c>
      <c r="E571" s="4" t="str">
        <f t="shared" si="146"/>
        <v>女</v>
      </c>
      <c r="F571" s="4" t="str">
        <f>"1992-04-04"</f>
        <v>1992-04-04</v>
      </c>
      <c r="G571" s="4" t="str">
        <f t="shared" si="137"/>
        <v>本科</v>
      </c>
      <c r="H571" s="4" t="str">
        <f t="shared" si="144"/>
        <v>学士</v>
      </c>
      <c r="I571" s="4" t="str">
        <f>"汉语言文学专业"</f>
        <v>汉语言文学专业</v>
      </c>
      <c r="J571" s="4" t="str">
        <f t="shared" si="147"/>
        <v>无</v>
      </c>
    </row>
    <row r="572" spans="1:10" ht="27" customHeight="1">
      <c r="A572" s="4">
        <v>570</v>
      </c>
      <c r="B572" s="4" t="str">
        <f>"225720191223090510234200"</f>
        <v>225720191223090510234200</v>
      </c>
      <c r="C572" s="4" t="s">
        <v>18</v>
      </c>
      <c r="D572" s="4" t="str">
        <f>"符晓"</f>
        <v>符晓</v>
      </c>
      <c r="E572" s="4" t="str">
        <f t="shared" si="146"/>
        <v>女</v>
      </c>
      <c r="F572" s="4" t="str">
        <f>"1994-01-20"</f>
        <v>1994-01-20</v>
      </c>
      <c r="G572" s="4" t="str">
        <f t="shared" si="137"/>
        <v>本科</v>
      </c>
      <c r="H572" s="4" t="str">
        <f t="shared" si="144"/>
        <v>学士</v>
      </c>
      <c r="I572" s="4" t="str">
        <f>"财务管理专业"</f>
        <v>财务管理专业</v>
      </c>
      <c r="J572" s="4" t="str">
        <f>"海南省海口市秀英区文章村八队"</f>
        <v>海南省海口市秀英区文章村八队</v>
      </c>
    </row>
    <row r="573" spans="1:10" ht="27" customHeight="1">
      <c r="A573" s="4">
        <v>571</v>
      </c>
      <c r="B573" s="4" t="str">
        <f>"225720191223091922234286"</f>
        <v>225720191223091922234286</v>
      </c>
      <c r="C573" s="4" t="s">
        <v>12</v>
      </c>
      <c r="D573" s="4" t="str">
        <f>"李梅娜"</f>
        <v>李梅娜</v>
      </c>
      <c r="E573" s="4" t="str">
        <f t="shared" si="146"/>
        <v>女</v>
      </c>
      <c r="F573" s="4" t="str">
        <f>"1994-05-24"</f>
        <v>1994-05-24</v>
      </c>
      <c r="G573" s="4" t="str">
        <f t="shared" si="137"/>
        <v>本科</v>
      </c>
      <c r="H573" s="4" t="str">
        <f t="shared" si="144"/>
        <v>学士</v>
      </c>
      <c r="I573" s="4" t="str">
        <f>"土地资源管理"</f>
        <v>土地资源管理</v>
      </c>
      <c r="J573" s="4" t="str">
        <f t="shared" si="147"/>
        <v>无</v>
      </c>
    </row>
    <row r="574" spans="1:10" ht="27" customHeight="1">
      <c r="A574" s="4">
        <v>572</v>
      </c>
      <c r="B574" s="4" t="str">
        <f>"225720191223092011234291"</f>
        <v>225720191223092011234291</v>
      </c>
      <c r="C574" s="4" t="s">
        <v>19</v>
      </c>
      <c r="D574" s="4" t="str">
        <f>"赵巧娘"</f>
        <v>赵巧娘</v>
      </c>
      <c r="E574" s="4" t="str">
        <f t="shared" si="146"/>
        <v>女</v>
      </c>
      <c r="F574" s="4" t="str">
        <f>"1989-12-09"</f>
        <v>1989-12-09</v>
      </c>
      <c r="G574" s="4" t="str">
        <f t="shared" si="137"/>
        <v>本科</v>
      </c>
      <c r="H574" s="4" t="str">
        <f t="shared" si="144"/>
        <v>学士</v>
      </c>
      <c r="I574" s="4" t="str">
        <f>"信息管理与信息系统"</f>
        <v>信息管理与信息系统</v>
      </c>
      <c r="J574" s="4" t="str">
        <f t="shared" si="147"/>
        <v>无</v>
      </c>
    </row>
    <row r="575" spans="1:10" ht="27" customHeight="1">
      <c r="A575" s="4">
        <v>573</v>
      </c>
      <c r="B575" s="4" t="str">
        <f>"225720191223093120234350"</f>
        <v>225720191223093120234350</v>
      </c>
      <c r="C575" s="4" t="s">
        <v>12</v>
      </c>
      <c r="D575" s="4" t="str">
        <f>"叶洁"</f>
        <v>叶洁</v>
      </c>
      <c r="E575" s="4" t="str">
        <f t="shared" si="146"/>
        <v>女</v>
      </c>
      <c r="F575" s="4" t="str">
        <f>"1996-02-12"</f>
        <v>1996-02-12</v>
      </c>
      <c r="G575" s="4" t="str">
        <f t="shared" si="137"/>
        <v>本科</v>
      </c>
      <c r="H575" s="4" t="str">
        <f t="shared" si="144"/>
        <v>学士</v>
      </c>
      <c r="I575" s="4" t="str">
        <f>"人文地理与城乡规划"</f>
        <v>人文地理与城乡规划</v>
      </c>
      <c r="J575" s="4" t="str">
        <f t="shared" si="147"/>
        <v>无</v>
      </c>
    </row>
    <row r="576" spans="1:10" ht="27" customHeight="1">
      <c r="A576" s="4">
        <v>574</v>
      </c>
      <c r="B576" s="4" t="str">
        <f>"225720191223093230234358"</f>
        <v>225720191223093230234358</v>
      </c>
      <c r="C576" s="4" t="s">
        <v>11</v>
      </c>
      <c r="D576" s="4" t="str">
        <f>"符育超"</f>
        <v>符育超</v>
      </c>
      <c r="E576" s="4" t="str">
        <f aca="true" t="shared" si="148" ref="E576:E584">"男"</f>
        <v>男</v>
      </c>
      <c r="F576" s="4" t="str">
        <f>"1985-12-10"</f>
        <v>1985-12-10</v>
      </c>
      <c r="G576" s="4" t="str">
        <f t="shared" si="137"/>
        <v>本科</v>
      </c>
      <c r="H576" s="4" t="str">
        <f t="shared" si="144"/>
        <v>学士</v>
      </c>
      <c r="I576" s="4" t="str">
        <f>"通信工程"</f>
        <v>通信工程</v>
      </c>
      <c r="J576" s="4" t="str">
        <f t="shared" si="147"/>
        <v>无</v>
      </c>
    </row>
    <row r="577" spans="1:10" ht="27" customHeight="1">
      <c r="A577" s="4">
        <v>575</v>
      </c>
      <c r="B577" s="4" t="str">
        <f>"225720191223093614234378"</f>
        <v>225720191223093614234378</v>
      </c>
      <c r="C577" s="4" t="s">
        <v>12</v>
      </c>
      <c r="D577" s="4" t="str">
        <f>"郑桂妹"</f>
        <v>郑桂妹</v>
      </c>
      <c r="E577" s="4" t="str">
        <f>"女"</f>
        <v>女</v>
      </c>
      <c r="F577" s="4" t="str">
        <f>"1996-06-12"</f>
        <v>1996-06-12</v>
      </c>
      <c r="G577" s="4" t="str">
        <f t="shared" si="137"/>
        <v>本科</v>
      </c>
      <c r="H577" s="4" t="str">
        <f t="shared" si="144"/>
        <v>学士</v>
      </c>
      <c r="I577" s="4" t="str">
        <f>"土地资源管理专业"</f>
        <v>土地资源管理专业</v>
      </c>
      <c r="J577" s="4" t="str">
        <f t="shared" si="147"/>
        <v>无</v>
      </c>
    </row>
    <row r="578" spans="1:10" ht="27" customHeight="1">
      <c r="A578" s="4">
        <v>576</v>
      </c>
      <c r="B578" s="4" t="str">
        <f>"225720191223094756234414"</f>
        <v>225720191223094756234414</v>
      </c>
      <c r="C578" s="4" t="s">
        <v>12</v>
      </c>
      <c r="D578" s="4" t="str">
        <f>"韩青芯"</f>
        <v>韩青芯</v>
      </c>
      <c r="E578" s="4" t="str">
        <f>"女"</f>
        <v>女</v>
      </c>
      <c r="F578" s="4" t="str">
        <f>"1987-09-28"</f>
        <v>1987-09-28</v>
      </c>
      <c r="G578" s="4" t="str">
        <f t="shared" si="137"/>
        <v>本科</v>
      </c>
      <c r="H578" s="4" t="str">
        <f t="shared" si="144"/>
        <v>学士</v>
      </c>
      <c r="I578" s="4" t="str">
        <f>"法学"</f>
        <v>法学</v>
      </c>
      <c r="J578" s="4" t="str">
        <f t="shared" si="147"/>
        <v>无</v>
      </c>
    </row>
    <row r="579" spans="1:10" ht="27" customHeight="1">
      <c r="A579" s="4">
        <v>577</v>
      </c>
      <c r="B579" s="4" t="str">
        <f>"225720191223095453234442"</f>
        <v>225720191223095453234442</v>
      </c>
      <c r="C579" s="4" t="s">
        <v>12</v>
      </c>
      <c r="D579" s="4" t="str">
        <f>"周亚贞"</f>
        <v>周亚贞</v>
      </c>
      <c r="E579" s="4" t="str">
        <f>"女"</f>
        <v>女</v>
      </c>
      <c r="F579" s="4" t="str">
        <f>"1994-11-12"</f>
        <v>1994-11-12</v>
      </c>
      <c r="G579" s="4" t="str">
        <f t="shared" si="137"/>
        <v>本科</v>
      </c>
      <c r="H579" s="4" t="str">
        <f t="shared" si="144"/>
        <v>学士</v>
      </c>
      <c r="I579" s="4" t="str">
        <f>"汉语言文学"</f>
        <v>汉语言文学</v>
      </c>
      <c r="J579" s="4" t="str">
        <f t="shared" si="147"/>
        <v>无</v>
      </c>
    </row>
    <row r="580" spans="1:10" ht="27" customHeight="1">
      <c r="A580" s="4">
        <v>578</v>
      </c>
      <c r="B580" s="4" t="str">
        <f>"225720191223095940234461"</f>
        <v>225720191223095940234461</v>
      </c>
      <c r="C580" s="4" t="s">
        <v>12</v>
      </c>
      <c r="D580" s="4" t="str">
        <f>"吴多健"</f>
        <v>吴多健</v>
      </c>
      <c r="E580" s="4" t="str">
        <f t="shared" si="148"/>
        <v>男</v>
      </c>
      <c r="F580" s="4" t="str">
        <f>"1997-12-02"</f>
        <v>1997-12-02</v>
      </c>
      <c r="G580" s="4" t="str">
        <f t="shared" si="137"/>
        <v>本科</v>
      </c>
      <c r="H580" s="4" t="str">
        <f t="shared" si="144"/>
        <v>学士</v>
      </c>
      <c r="I580" s="4" t="str">
        <f>"法学"</f>
        <v>法学</v>
      </c>
      <c r="J580" s="4" t="str">
        <f t="shared" si="147"/>
        <v>无</v>
      </c>
    </row>
    <row r="581" spans="1:10" ht="27" customHeight="1">
      <c r="A581" s="4">
        <v>579</v>
      </c>
      <c r="B581" s="4" t="str">
        <f>"225720191223111736234710"</f>
        <v>225720191223111736234710</v>
      </c>
      <c r="C581" s="4" t="s">
        <v>12</v>
      </c>
      <c r="D581" s="4" t="str">
        <f>"张洪铭"</f>
        <v>张洪铭</v>
      </c>
      <c r="E581" s="4" t="str">
        <f t="shared" si="148"/>
        <v>男</v>
      </c>
      <c r="F581" s="4" t="str">
        <f>"1996-06-18"</f>
        <v>1996-06-18</v>
      </c>
      <c r="G581" s="4" t="str">
        <f t="shared" si="137"/>
        <v>本科</v>
      </c>
      <c r="H581" s="4" t="str">
        <f t="shared" si="144"/>
        <v>学士</v>
      </c>
      <c r="I581" s="4" t="str">
        <f>"城乡规划"</f>
        <v>城乡规划</v>
      </c>
      <c r="J581" s="4" t="str">
        <f t="shared" si="147"/>
        <v>无</v>
      </c>
    </row>
    <row r="582" spans="1:10" ht="27" customHeight="1">
      <c r="A582" s="4">
        <v>580</v>
      </c>
      <c r="B582" s="4" t="str">
        <f>"225720191223111749234711"</f>
        <v>225720191223111749234711</v>
      </c>
      <c r="C582" s="4" t="s">
        <v>11</v>
      </c>
      <c r="D582" s="4" t="str">
        <f>"徐华兵"</f>
        <v>徐华兵</v>
      </c>
      <c r="E582" s="4" t="str">
        <f t="shared" si="148"/>
        <v>男</v>
      </c>
      <c r="F582" s="4" t="str">
        <f>"1991-07-05"</f>
        <v>1991-07-05</v>
      </c>
      <c r="G582" s="4" t="str">
        <f t="shared" si="137"/>
        <v>本科</v>
      </c>
      <c r="H582" s="4" t="str">
        <f t="shared" si="144"/>
        <v>学士</v>
      </c>
      <c r="I582" s="4" t="str">
        <f>"网络工程"</f>
        <v>网络工程</v>
      </c>
      <c r="J582" s="4" t="str">
        <f>"中级网络工程师"</f>
        <v>中级网络工程师</v>
      </c>
    </row>
    <row r="583" spans="1:10" ht="27" customHeight="1">
      <c r="A583" s="4">
        <v>581</v>
      </c>
      <c r="B583" s="4" t="str">
        <f>"225720191223115421234795"</f>
        <v>225720191223115421234795</v>
      </c>
      <c r="C583" s="4" t="s">
        <v>12</v>
      </c>
      <c r="D583" s="4" t="str">
        <f>"何声宏"</f>
        <v>何声宏</v>
      </c>
      <c r="E583" s="4" t="str">
        <f t="shared" si="148"/>
        <v>男</v>
      </c>
      <c r="F583" s="4" t="str">
        <f>"1997-11-02"</f>
        <v>1997-11-02</v>
      </c>
      <c r="G583" s="4" t="str">
        <f t="shared" si="137"/>
        <v>本科</v>
      </c>
      <c r="H583" s="4" t="str">
        <f t="shared" si="144"/>
        <v>学士</v>
      </c>
      <c r="I583" s="4" t="str">
        <f>"城乡规划"</f>
        <v>城乡规划</v>
      </c>
      <c r="J583" s="4" t="str">
        <f>"无"</f>
        <v>无</v>
      </c>
    </row>
    <row r="584" spans="1:10" ht="27" customHeight="1">
      <c r="A584" s="4">
        <v>582</v>
      </c>
      <c r="B584" s="4" t="str">
        <f>"225720191223124623234929"</f>
        <v>225720191223124623234929</v>
      </c>
      <c r="C584" s="4" t="s">
        <v>11</v>
      </c>
      <c r="D584" s="4" t="str">
        <f>"何艺东"</f>
        <v>何艺东</v>
      </c>
      <c r="E584" s="4" t="str">
        <f t="shared" si="148"/>
        <v>男</v>
      </c>
      <c r="F584" s="4" t="str">
        <f>"1995-02-21"</f>
        <v>1995-02-21</v>
      </c>
      <c r="G584" s="4" t="str">
        <f t="shared" si="137"/>
        <v>本科</v>
      </c>
      <c r="H584" s="4" t="str">
        <f t="shared" si="144"/>
        <v>学士</v>
      </c>
      <c r="I584" s="4" t="str">
        <f>"计算机科学与技术"</f>
        <v>计算机科学与技术</v>
      </c>
      <c r="J584" s="4" t="str">
        <f>"无"</f>
        <v>无</v>
      </c>
    </row>
    <row r="585" spans="1:10" ht="27" customHeight="1">
      <c r="A585" s="4">
        <v>583</v>
      </c>
      <c r="B585" s="4" t="str">
        <f>"225720191223124718234933"</f>
        <v>225720191223124718234933</v>
      </c>
      <c r="C585" s="4" t="s">
        <v>12</v>
      </c>
      <c r="D585" s="4" t="str">
        <f>"王柏"</f>
        <v>王柏</v>
      </c>
      <c r="E585" s="4" t="str">
        <f aca="true" t="shared" si="149" ref="E585:E590">"女"</f>
        <v>女</v>
      </c>
      <c r="F585" s="4" t="str">
        <f>"1996-12-20"</f>
        <v>1996-12-20</v>
      </c>
      <c r="G585" s="4" t="str">
        <f t="shared" si="137"/>
        <v>本科</v>
      </c>
      <c r="H585" s="4" t="str">
        <f t="shared" si="144"/>
        <v>学士</v>
      </c>
      <c r="I585" s="4" t="str">
        <f>"汉语言文学专业"</f>
        <v>汉语言文学专业</v>
      </c>
      <c r="J585" s="4" t="str">
        <f>"无"</f>
        <v>无</v>
      </c>
    </row>
    <row r="586" spans="1:10" ht="27" customHeight="1">
      <c r="A586" s="4">
        <v>584</v>
      </c>
      <c r="B586" s="4" t="str">
        <f>"225720191223125456234949"</f>
        <v>225720191223125456234949</v>
      </c>
      <c r="C586" s="4" t="s">
        <v>12</v>
      </c>
      <c r="D586" s="4" t="str">
        <f>"陈哲洲"</f>
        <v>陈哲洲</v>
      </c>
      <c r="E586" s="4" t="str">
        <f>"男"</f>
        <v>男</v>
      </c>
      <c r="F586" s="4" t="str">
        <f>"1997-04-04"</f>
        <v>1997-04-04</v>
      </c>
      <c r="G586" s="4" t="str">
        <f t="shared" si="137"/>
        <v>本科</v>
      </c>
      <c r="H586" s="4" t="str">
        <f t="shared" si="144"/>
        <v>学士</v>
      </c>
      <c r="I586" s="4" t="str">
        <f>"法学"</f>
        <v>法学</v>
      </c>
      <c r="J586" s="4" t="str">
        <f>"无"</f>
        <v>无</v>
      </c>
    </row>
    <row r="587" spans="1:10" ht="27" customHeight="1">
      <c r="A587" s="4">
        <v>585</v>
      </c>
      <c r="B587" s="4" t="str">
        <f>"225720191223130023234965"</f>
        <v>225720191223130023234965</v>
      </c>
      <c r="C587" s="4" t="s">
        <v>12</v>
      </c>
      <c r="D587" s="4" t="str">
        <f>"陈美琼"</f>
        <v>陈美琼</v>
      </c>
      <c r="E587" s="4" t="str">
        <f t="shared" si="149"/>
        <v>女</v>
      </c>
      <c r="F587" s="4" t="str">
        <f>"1997-11-02"</f>
        <v>1997-11-02</v>
      </c>
      <c r="G587" s="4" t="str">
        <f t="shared" si="137"/>
        <v>本科</v>
      </c>
      <c r="H587" s="4" t="str">
        <f t="shared" si="144"/>
        <v>学士</v>
      </c>
      <c r="I587" s="4" t="str">
        <f>"汉语言文学专业"</f>
        <v>汉语言文学专业</v>
      </c>
      <c r="J587" s="4" t="str">
        <f>"无"</f>
        <v>无</v>
      </c>
    </row>
    <row r="588" spans="1:10" ht="27" customHeight="1">
      <c r="A588" s="4">
        <v>586</v>
      </c>
      <c r="B588" s="4" t="str">
        <f>"225720191223130323234970"</f>
        <v>225720191223130323234970</v>
      </c>
      <c r="C588" s="4" t="s">
        <v>15</v>
      </c>
      <c r="D588" s="4" t="str">
        <f>"宋嘉"</f>
        <v>宋嘉</v>
      </c>
      <c r="E588" s="4" t="str">
        <f>"男"</f>
        <v>男</v>
      </c>
      <c r="F588" s="4" t="str">
        <f>"1994-11-16"</f>
        <v>1994-11-16</v>
      </c>
      <c r="G588" s="4" t="str">
        <f t="shared" si="137"/>
        <v>本科</v>
      </c>
      <c r="H588" s="4" t="str">
        <f t="shared" si="144"/>
        <v>学士</v>
      </c>
      <c r="I588" s="4" t="str">
        <f>"测绘工程"</f>
        <v>测绘工程</v>
      </c>
      <c r="J588" s="4" t="str">
        <f>"助理工程师"</f>
        <v>助理工程师</v>
      </c>
    </row>
    <row r="589" spans="1:10" ht="27" customHeight="1">
      <c r="A589" s="4">
        <v>587</v>
      </c>
      <c r="B589" s="4" t="str">
        <f>"225720191223130549234980"</f>
        <v>225720191223130549234980</v>
      </c>
      <c r="C589" s="4" t="s">
        <v>12</v>
      </c>
      <c r="D589" s="4" t="str">
        <f>"韩翔程"</f>
        <v>韩翔程</v>
      </c>
      <c r="E589" s="4" t="str">
        <f>"男"</f>
        <v>男</v>
      </c>
      <c r="F589" s="4" t="str">
        <f>"1992-05-07"</f>
        <v>1992-05-07</v>
      </c>
      <c r="G589" s="4" t="str">
        <f t="shared" si="137"/>
        <v>本科</v>
      </c>
      <c r="H589" s="4" t="str">
        <f t="shared" si="144"/>
        <v>学士</v>
      </c>
      <c r="I589" s="4" t="str">
        <f>"城乡规划"</f>
        <v>城乡规划</v>
      </c>
      <c r="J589" s="4" t="str">
        <f aca="true" t="shared" si="150" ref="J589:J595">"无"</f>
        <v>无</v>
      </c>
    </row>
    <row r="590" spans="1:10" ht="27" customHeight="1">
      <c r="A590" s="4">
        <v>588</v>
      </c>
      <c r="B590" s="4" t="str">
        <f>"225720191223133329235035"</f>
        <v>225720191223133329235035</v>
      </c>
      <c r="C590" s="4" t="s">
        <v>18</v>
      </c>
      <c r="D590" s="4" t="str">
        <f>"廖星星"</f>
        <v>廖星星</v>
      </c>
      <c r="E590" s="4" t="str">
        <f t="shared" si="149"/>
        <v>女</v>
      </c>
      <c r="F590" s="4" t="str">
        <f>"1992-01-27"</f>
        <v>1992-01-27</v>
      </c>
      <c r="G590" s="4" t="str">
        <f aca="true" t="shared" si="151" ref="G590:G628">"本科"</f>
        <v>本科</v>
      </c>
      <c r="H590" s="4" t="str">
        <f t="shared" si="144"/>
        <v>学士</v>
      </c>
      <c r="I590" s="4" t="str">
        <f>"会计学"</f>
        <v>会计学</v>
      </c>
      <c r="J590" s="4" t="str">
        <f>"中级会计师"</f>
        <v>中级会计师</v>
      </c>
    </row>
    <row r="591" spans="1:10" ht="27" customHeight="1">
      <c r="A591" s="4">
        <v>589</v>
      </c>
      <c r="B591" s="4" t="str">
        <f>"225720191223134306235049"</f>
        <v>225720191223134306235049</v>
      </c>
      <c r="C591" s="4" t="s">
        <v>12</v>
      </c>
      <c r="D591" s="4" t="str">
        <f>"麦初弟"</f>
        <v>麦初弟</v>
      </c>
      <c r="E591" s="4" t="str">
        <f>"男"</f>
        <v>男</v>
      </c>
      <c r="F591" s="4" t="str">
        <f>"1996-03-25"</f>
        <v>1996-03-25</v>
      </c>
      <c r="G591" s="4" t="str">
        <f t="shared" si="151"/>
        <v>本科</v>
      </c>
      <c r="H591" s="4" t="str">
        <f t="shared" si="144"/>
        <v>学士</v>
      </c>
      <c r="I591" s="4" t="str">
        <f>"法学"</f>
        <v>法学</v>
      </c>
      <c r="J591" s="4" t="str">
        <f>"综合柜员"</f>
        <v>综合柜员</v>
      </c>
    </row>
    <row r="592" spans="1:10" ht="27" customHeight="1">
      <c r="A592" s="4">
        <v>590</v>
      </c>
      <c r="B592" s="4" t="str">
        <f>"225720191223144208235132"</f>
        <v>225720191223144208235132</v>
      </c>
      <c r="C592" s="4" t="s">
        <v>12</v>
      </c>
      <c r="D592" s="4" t="str">
        <f>"罗井助"</f>
        <v>罗井助</v>
      </c>
      <c r="E592" s="4" t="str">
        <f aca="true" t="shared" si="152" ref="E592:E600">"女"</f>
        <v>女</v>
      </c>
      <c r="F592" s="4" t="str">
        <f>"1991-02-20"</f>
        <v>1991-02-20</v>
      </c>
      <c r="G592" s="4" t="str">
        <f t="shared" si="151"/>
        <v>本科</v>
      </c>
      <c r="H592" s="4" t="str">
        <f t="shared" si="144"/>
        <v>学士</v>
      </c>
      <c r="I592" s="4" t="str">
        <f aca="true" t="shared" si="153" ref="I592:I597">"汉语言文学"</f>
        <v>汉语言文学</v>
      </c>
      <c r="J592" s="4" t="str">
        <f t="shared" si="150"/>
        <v>无</v>
      </c>
    </row>
    <row r="593" spans="1:10" ht="27" customHeight="1">
      <c r="A593" s="4">
        <v>591</v>
      </c>
      <c r="B593" s="4" t="str">
        <f>"225720191223144303235135"</f>
        <v>225720191223144303235135</v>
      </c>
      <c r="C593" s="4" t="s">
        <v>12</v>
      </c>
      <c r="D593" s="4" t="str">
        <f>"胡家月"</f>
        <v>胡家月</v>
      </c>
      <c r="E593" s="4" t="str">
        <f t="shared" si="152"/>
        <v>女</v>
      </c>
      <c r="F593" s="4" t="str">
        <f>"1995-02-15"</f>
        <v>1995-02-15</v>
      </c>
      <c r="G593" s="4" t="str">
        <f t="shared" si="151"/>
        <v>本科</v>
      </c>
      <c r="H593" s="4" t="str">
        <f t="shared" si="144"/>
        <v>学士</v>
      </c>
      <c r="I593" s="4" t="str">
        <f t="shared" si="153"/>
        <v>汉语言文学</v>
      </c>
      <c r="J593" s="4" t="str">
        <f t="shared" si="150"/>
        <v>无</v>
      </c>
    </row>
    <row r="594" spans="1:10" ht="27" customHeight="1">
      <c r="A594" s="4">
        <v>592</v>
      </c>
      <c r="B594" s="4" t="str">
        <f>"225720191223144712235146"</f>
        <v>225720191223144712235146</v>
      </c>
      <c r="C594" s="4" t="s">
        <v>12</v>
      </c>
      <c r="D594" s="4" t="str">
        <f>"杜琨"</f>
        <v>杜琨</v>
      </c>
      <c r="E594" s="4" t="str">
        <f>"男"</f>
        <v>男</v>
      </c>
      <c r="F594" s="4" t="str">
        <f>"1990-03-10"</f>
        <v>1990-03-10</v>
      </c>
      <c r="G594" s="4" t="str">
        <f t="shared" si="151"/>
        <v>本科</v>
      </c>
      <c r="H594" s="4" t="str">
        <f t="shared" si="144"/>
        <v>学士</v>
      </c>
      <c r="I594" s="4" t="str">
        <f>"法学专业"</f>
        <v>法学专业</v>
      </c>
      <c r="J594" s="4" t="str">
        <f t="shared" si="150"/>
        <v>无</v>
      </c>
    </row>
    <row r="595" spans="1:10" ht="27" customHeight="1">
      <c r="A595" s="4">
        <v>593</v>
      </c>
      <c r="B595" s="4" t="str">
        <f>"225720191223145212235154"</f>
        <v>225720191223145212235154</v>
      </c>
      <c r="C595" s="4" t="s">
        <v>12</v>
      </c>
      <c r="D595" s="4" t="str">
        <f>"耿雨欣"</f>
        <v>耿雨欣</v>
      </c>
      <c r="E595" s="4" t="str">
        <f t="shared" si="152"/>
        <v>女</v>
      </c>
      <c r="F595" s="4" t="str">
        <f>"1997-10-25"</f>
        <v>1997-10-25</v>
      </c>
      <c r="G595" s="4" t="str">
        <f t="shared" si="151"/>
        <v>本科</v>
      </c>
      <c r="H595" s="4" t="str">
        <f t="shared" si="144"/>
        <v>学士</v>
      </c>
      <c r="I595" s="4" t="str">
        <f>"城乡规划"</f>
        <v>城乡规划</v>
      </c>
      <c r="J595" s="4" t="str">
        <f t="shared" si="150"/>
        <v>无</v>
      </c>
    </row>
    <row r="596" spans="1:10" ht="27" customHeight="1">
      <c r="A596" s="4">
        <v>594</v>
      </c>
      <c r="B596" s="4" t="str">
        <f>"225720191223145303235157"</f>
        <v>225720191223145303235157</v>
      </c>
      <c r="C596" s="4" t="s">
        <v>18</v>
      </c>
      <c r="D596" s="4" t="str">
        <f>"蔡柠羽"</f>
        <v>蔡柠羽</v>
      </c>
      <c r="E596" s="4" t="str">
        <f t="shared" si="152"/>
        <v>女</v>
      </c>
      <c r="F596" s="4" t="str">
        <f>"1985-12-05"</f>
        <v>1985-12-05</v>
      </c>
      <c r="G596" s="4" t="str">
        <f t="shared" si="151"/>
        <v>本科</v>
      </c>
      <c r="H596" s="4" t="str">
        <f t="shared" si="144"/>
        <v>学士</v>
      </c>
      <c r="I596" s="4" t="str">
        <f>"会计学"</f>
        <v>会计学</v>
      </c>
      <c r="J596" s="4" t="str">
        <f>"初级"</f>
        <v>初级</v>
      </c>
    </row>
    <row r="597" spans="1:10" ht="27" customHeight="1">
      <c r="A597" s="4">
        <v>595</v>
      </c>
      <c r="B597" s="4" t="str">
        <f>"225720191223150300235181"</f>
        <v>225720191223150300235181</v>
      </c>
      <c r="C597" s="4" t="s">
        <v>12</v>
      </c>
      <c r="D597" s="4" t="str">
        <f>"曾月香"</f>
        <v>曾月香</v>
      </c>
      <c r="E597" s="4" t="str">
        <f t="shared" si="152"/>
        <v>女</v>
      </c>
      <c r="F597" s="4" t="str">
        <f>"1991-10-08"</f>
        <v>1991-10-08</v>
      </c>
      <c r="G597" s="4" t="str">
        <f t="shared" si="151"/>
        <v>本科</v>
      </c>
      <c r="H597" s="4" t="str">
        <f t="shared" si="144"/>
        <v>学士</v>
      </c>
      <c r="I597" s="4" t="str">
        <f t="shared" si="153"/>
        <v>汉语言文学</v>
      </c>
      <c r="J597" s="4" t="str">
        <f aca="true" t="shared" si="154" ref="J597:J612">"无"</f>
        <v>无</v>
      </c>
    </row>
    <row r="598" spans="1:10" ht="27" customHeight="1">
      <c r="A598" s="4">
        <v>596</v>
      </c>
      <c r="B598" s="4" t="str">
        <f>"225720191223150808235193"</f>
        <v>225720191223150808235193</v>
      </c>
      <c r="C598" s="4" t="s">
        <v>12</v>
      </c>
      <c r="D598" s="4" t="str">
        <f>"黄雅琪"</f>
        <v>黄雅琪</v>
      </c>
      <c r="E598" s="4" t="str">
        <f t="shared" si="152"/>
        <v>女</v>
      </c>
      <c r="F598" s="4" t="str">
        <f>"1992-05-18"</f>
        <v>1992-05-18</v>
      </c>
      <c r="G598" s="4" t="str">
        <f t="shared" si="151"/>
        <v>本科</v>
      </c>
      <c r="H598" s="4" t="str">
        <f t="shared" si="144"/>
        <v>学士</v>
      </c>
      <c r="I598" s="4" t="str">
        <f>"汉语言文学专业"</f>
        <v>汉语言文学专业</v>
      </c>
      <c r="J598" s="4" t="str">
        <f t="shared" si="154"/>
        <v>无</v>
      </c>
    </row>
    <row r="599" spans="1:10" ht="27" customHeight="1">
      <c r="A599" s="4">
        <v>597</v>
      </c>
      <c r="B599" s="4" t="str">
        <f>"225720191223151339235206"</f>
        <v>225720191223151339235206</v>
      </c>
      <c r="C599" s="4" t="s">
        <v>12</v>
      </c>
      <c r="D599" s="4" t="str">
        <f>"吉茜"</f>
        <v>吉茜</v>
      </c>
      <c r="E599" s="4" t="str">
        <f t="shared" si="152"/>
        <v>女</v>
      </c>
      <c r="F599" s="4" t="str">
        <f>"1996-02-21"</f>
        <v>1996-02-21</v>
      </c>
      <c r="G599" s="4" t="str">
        <f t="shared" si="151"/>
        <v>本科</v>
      </c>
      <c r="H599" s="4" t="str">
        <f t="shared" si="144"/>
        <v>学士</v>
      </c>
      <c r="I599" s="4" t="str">
        <f>"人文地理与城乡规划"</f>
        <v>人文地理与城乡规划</v>
      </c>
      <c r="J599" s="4" t="str">
        <f t="shared" si="154"/>
        <v>无</v>
      </c>
    </row>
    <row r="600" spans="1:10" ht="27" customHeight="1">
      <c r="A600" s="4">
        <v>598</v>
      </c>
      <c r="B600" s="4" t="str">
        <f>"225720191223153850235258"</f>
        <v>225720191223153850235258</v>
      </c>
      <c r="C600" s="4" t="s">
        <v>12</v>
      </c>
      <c r="D600" s="4" t="str">
        <f>"黄琪恋"</f>
        <v>黄琪恋</v>
      </c>
      <c r="E600" s="4" t="str">
        <f t="shared" si="152"/>
        <v>女</v>
      </c>
      <c r="F600" s="4" t="str">
        <f>"1994-06-21"</f>
        <v>1994-06-21</v>
      </c>
      <c r="G600" s="4" t="str">
        <f t="shared" si="151"/>
        <v>本科</v>
      </c>
      <c r="H600" s="4" t="str">
        <f t="shared" si="144"/>
        <v>学士</v>
      </c>
      <c r="I600" s="4" t="str">
        <f>"汉语言文学专业"</f>
        <v>汉语言文学专业</v>
      </c>
      <c r="J600" s="4" t="str">
        <f t="shared" si="154"/>
        <v>无</v>
      </c>
    </row>
    <row r="601" spans="1:10" ht="27" customHeight="1">
      <c r="A601" s="4">
        <v>599</v>
      </c>
      <c r="B601" s="4" t="str">
        <f>"225720191223154005235260"</f>
        <v>225720191223154005235260</v>
      </c>
      <c r="C601" s="4" t="s">
        <v>12</v>
      </c>
      <c r="D601" s="4" t="str">
        <f>"吴碧江"</f>
        <v>吴碧江</v>
      </c>
      <c r="E601" s="4" t="str">
        <f aca="true" t="shared" si="155" ref="E601:E607">"男"</f>
        <v>男</v>
      </c>
      <c r="F601" s="4" t="str">
        <f>"1995-10-19"</f>
        <v>1995-10-19</v>
      </c>
      <c r="G601" s="4" t="str">
        <f t="shared" si="151"/>
        <v>本科</v>
      </c>
      <c r="H601" s="4" t="str">
        <f t="shared" si="144"/>
        <v>学士</v>
      </c>
      <c r="I601" s="4" t="str">
        <f>"汉语言文学"</f>
        <v>汉语言文学</v>
      </c>
      <c r="J601" s="4" t="str">
        <f t="shared" si="154"/>
        <v>无</v>
      </c>
    </row>
    <row r="602" spans="1:10" ht="27" customHeight="1">
      <c r="A602" s="4">
        <v>600</v>
      </c>
      <c r="B602" s="4" t="str">
        <f>"225720191223154616235277"</f>
        <v>225720191223154616235277</v>
      </c>
      <c r="C602" s="4" t="s">
        <v>12</v>
      </c>
      <c r="D602" s="4" t="str">
        <f>"肖泽城"</f>
        <v>肖泽城</v>
      </c>
      <c r="E602" s="4" t="str">
        <f t="shared" si="155"/>
        <v>男</v>
      </c>
      <c r="F602" s="4" t="str">
        <f>"1994-11-01"</f>
        <v>1994-11-01</v>
      </c>
      <c r="G602" s="4" t="str">
        <f t="shared" si="151"/>
        <v>本科</v>
      </c>
      <c r="H602" s="4" t="str">
        <f t="shared" si="144"/>
        <v>学士</v>
      </c>
      <c r="I602" s="4" t="str">
        <f>"法学"</f>
        <v>法学</v>
      </c>
      <c r="J602" s="4" t="str">
        <f t="shared" si="154"/>
        <v>无</v>
      </c>
    </row>
    <row r="603" spans="1:10" ht="27" customHeight="1">
      <c r="A603" s="4">
        <v>601</v>
      </c>
      <c r="B603" s="4" t="str">
        <f>"225720191223160348235308"</f>
        <v>225720191223160348235308</v>
      </c>
      <c r="C603" s="4" t="s">
        <v>12</v>
      </c>
      <c r="D603" s="4" t="str">
        <f>"谢清云"</f>
        <v>谢清云</v>
      </c>
      <c r="E603" s="4" t="str">
        <f>"女"</f>
        <v>女</v>
      </c>
      <c r="F603" s="4" t="str">
        <f>"1995-10-10"</f>
        <v>1995-10-10</v>
      </c>
      <c r="G603" s="4" t="str">
        <f t="shared" si="151"/>
        <v>本科</v>
      </c>
      <c r="H603" s="4" t="str">
        <f t="shared" si="144"/>
        <v>学士</v>
      </c>
      <c r="I603" s="4" t="str">
        <f>"土地资源管理专业"</f>
        <v>土地资源管理专业</v>
      </c>
      <c r="J603" s="4" t="str">
        <f t="shared" si="154"/>
        <v>无</v>
      </c>
    </row>
    <row r="604" spans="1:10" ht="27" customHeight="1">
      <c r="A604" s="4">
        <v>602</v>
      </c>
      <c r="B604" s="4" t="str">
        <f>"225720191223161551235331"</f>
        <v>225720191223161551235331</v>
      </c>
      <c r="C604" s="4" t="s">
        <v>12</v>
      </c>
      <c r="D604" s="4" t="str">
        <f>"邓梅花"</f>
        <v>邓梅花</v>
      </c>
      <c r="E604" s="4" t="str">
        <f>"女"</f>
        <v>女</v>
      </c>
      <c r="F604" s="4" t="str">
        <f>"1994-04-18"</f>
        <v>1994-04-18</v>
      </c>
      <c r="G604" s="4" t="str">
        <f t="shared" si="151"/>
        <v>本科</v>
      </c>
      <c r="H604" s="4" t="str">
        <f>"无"</f>
        <v>无</v>
      </c>
      <c r="I604" s="4" t="str">
        <f>"汉语言文学"</f>
        <v>汉语言文学</v>
      </c>
      <c r="J604" s="4" t="str">
        <f t="shared" si="154"/>
        <v>无</v>
      </c>
    </row>
    <row r="605" spans="1:10" ht="27" customHeight="1">
      <c r="A605" s="4">
        <v>603</v>
      </c>
      <c r="B605" s="4" t="str">
        <f>"225720191223171627235429"</f>
        <v>225720191223171627235429</v>
      </c>
      <c r="C605" s="4" t="s">
        <v>15</v>
      </c>
      <c r="D605" s="4" t="str">
        <f>"车海婷"</f>
        <v>车海婷</v>
      </c>
      <c r="E605" s="4" t="str">
        <f>"女"</f>
        <v>女</v>
      </c>
      <c r="F605" s="4" t="str">
        <f>"1987-05-30"</f>
        <v>1987-05-30</v>
      </c>
      <c r="G605" s="4" t="str">
        <f t="shared" si="151"/>
        <v>本科</v>
      </c>
      <c r="H605" s="4" t="str">
        <f aca="true" t="shared" si="156" ref="H605:H628">"学士"</f>
        <v>学士</v>
      </c>
      <c r="I605" s="4" t="str">
        <f>"测绘工程"</f>
        <v>测绘工程</v>
      </c>
      <c r="J605" s="4" t="str">
        <f t="shared" si="154"/>
        <v>无</v>
      </c>
    </row>
    <row r="606" spans="1:10" ht="27" customHeight="1">
      <c r="A606" s="4">
        <v>604</v>
      </c>
      <c r="B606" s="4" t="str">
        <f>"225720191223172340235441"</f>
        <v>225720191223172340235441</v>
      </c>
      <c r="C606" s="4" t="s">
        <v>16</v>
      </c>
      <c r="D606" s="4" t="str">
        <f>"陈浩"</f>
        <v>陈浩</v>
      </c>
      <c r="E606" s="4" t="str">
        <f t="shared" si="155"/>
        <v>男</v>
      </c>
      <c r="F606" s="4" t="str">
        <f>"1988-09-10"</f>
        <v>1988-09-10</v>
      </c>
      <c r="G606" s="4" t="str">
        <f t="shared" si="151"/>
        <v>本科</v>
      </c>
      <c r="H606" s="4" t="str">
        <f t="shared" si="156"/>
        <v>学士</v>
      </c>
      <c r="I606" s="4" t="str">
        <f>"地理信息系统"</f>
        <v>地理信息系统</v>
      </c>
      <c r="J606" s="4" t="str">
        <f t="shared" si="154"/>
        <v>无</v>
      </c>
    </row>
    <row r="607" spans="1:10" ht="27" customHeight="1">
      <c r="A607" s="4">
        <v>605</v>
      </c>
      <c r="B607" s="4" t="str">
        <f>"225720191223173024235454"</f>
        <v>225720191223173024235454</v>
      </c>
      <c r="C607" s="4" t="s">
        <v>12</v>
      </c>
      <c r="D607" s="4" t="str">
        <f>"黄陈腾"</f>
        <v>黄陈腾</v>
      </c>
      <c r="E607" s="4" t="str">
        <f t="shared" si="155"/>
        <v>男</v>
      </c>
      <c r="F607" s="4" t="str">
        <f>"1993-04-26"</f>
        <v>1993-04-26</v>
      </c>
      <c r="G607" s="4" t="str">
        <f t="shared" si="151"/>
        <v>本科</v>
      </c>
      <c r="H607" s="4" t="str">
        <f t="shared" si="156"/>
        <v>学士</v>
      </c>
      <c r="I607" s="4" t="str">
        <f>"人文地理与城乡规划"</f>
        <v>人文地理与城乡规划</v>
      </c>
      <c r="J607" s="4" t="str">
        <f t="shared" si="154"/>
        <v>无</v>
      </c>
    </row>
    <row r="608" spans="1:10" ht="27" customHeight="1">
      <c r="A608" s="4">
        <v>606</v>
      </c>
      <c r="B608" s="4" t="str">
        <f>"225720191223175213235486"</f>
        <v>225720191223175213235486</v>
      </c>
      <c r="C608" s="4" t="s">
        <v>12</v>
      </c>
      <c r="D608" s="4" t="str">
        <f>"张玉婷"</f>
        <v>张玉婷</v>
      </c>
      <c r="E608" s="4" t="str">
        <f>"女"</f>
        <v>女</v>
      </c>
      <c r="F608" s="4" t="str">
        <f>"1997-08-05"</f>
        <v>1997-08-05</v>
      </c>
      <c r="G608" s="4" t="str">
        <f t="shared" si="151"/>
        <v>本科</v>
      </c>
      <c r="H608" s="4" t="str">
        <f t="shared" si="156"/>
        <v>学士</v>
      </c>
      <c r="I608" s="4" t="str">
        <f>"法学"</f>
        <v>法学</v>
      </c>
      <c r="J608" s="4" t="str">
        <f t="shared" si="154"/>
        <v>无</v>
      </c>
    </row>
    <row r="609" spans="1:10" ht="27" customHeight="1">
      <c r="A609" s="4">
        <v>607</v>
      </c>
      <c r="B609" s="4" t="str">
        <f>"225720191223175854235499"</f>
        <v>225720191223175854235499</v>
      </c>
      <c r="C609" s="4" t="s">
        <v>12</v>
      </c>
      <c r="D609" s="4" t="str">
        <f>"赵师"</f>
        <v>赵师</v>
      </c>
      <c r="E609" s="4" t="str">
        <f>"女"</f>
        <v>女</v>
      </c>
      <c r="F609" s="4" t="str">
        <f>"1992-03-13"</f>
        <v>1992-03-13</v>
      </c>
      <c r="G609" s="4" t="str">
        <f t="shared" si="151"/>
        <v>本科</v>
      </c>
      <c r="H609" s="4" t="str">
        <f t="shared" si="156"/>
        <v>学士</v>
      </c>
      <c r="I609" s="4" t="str">
        <f>"汉语言文学"</f>
        <v>汉语言文学</v>
      </c>
      <c r="J609" s="4" t="str">
        <f t="shared" si="154"/>
        <v>无</v>
      </c>
    </row>
    <row r="610" spans="1:10" ht="27" customHeight="1">
      <c r="A610" s="4">
        <v>608</v>
      </c>
      <c r="B610" s="4" t="str">
        <f>"225720191223175929235500"</f>
        <v>225720191223175929235500</v>
      </c>
      <c r="C610" s="4" t="s">
        <v>12</v>
      </c>
      <c r="D610" s="4" t="str">
        <f>"吴玉珠"</f>
        <v>吴玉珠</v>
      </c>
      <c r="E610" s="4" t="str">
        <f>"女"</f>
        <v>女</v>
      </c>
      <c r="F610" s="4" t="str">
        <f>"1995-06-01"</f>
        <v>1995-06-01</v>
      </c>
      <c r="G610" s="4" t="str">
        <f t="shared" si="151"/>
        <v>本科</v>
      </c>
      <c r="H610" s="4" t="str">
        <f t="shared" si="156"/>
        <v>学士</v>
      </c>
      <c r="I610" s="4" t="str">
        <f>"法学"</f>
        <v>法学</v>
      </c>
      <c r="J610" s="4" t="str">
        <f t="shared" si="154"/>
        <v>无</v>
      </c>
    </row>
    <row r="611" spans="1:10" ht="27" customHeight="1">
      <c r="A611" s="4">
        <v>609</v>
      </c>
      <c r="B611" s="4" t="str">
        <f>"225720191223180507235510"</f>
        <v>225720191223180507235510</v>
      </c>
      <c r="C611" s="4" t="s">
        <v>15</v>
      </c>
      <c r="D611" s="4" t="str">
        <f>"廖贤策"</f>
        <v>廖贤策</v>
      </c>
      <c r="E611" s="4" t="str">
        <f>"男"</f>
        <v>男</v>
      </c>
      <c r="F611" s="4" t="str">
        <f>"1997-12-28"</f>
        <v>1997-12-28</v>
      </c>
      <c r="G611" s="4" t="str">
        <f t="shared" si="151"/>
        <v>本科</v>
      </c>
      <c r="H611" s="4" t="str">
        <f t="shared" si="156"/>
        <v>学士</v>
      </c>
      <c r="I611" s="4" t="str">
        <f>"测绘工程"</f>
        <v>测绘工程</v>
      </c>
      <c r="J611" s="4" t="str">
        <f t="shared" si="154"/>
        <v>无</v>
      </c>
    </row>
    <row r="612" spans="1:10" ht="27" customHeight="1">
      <c r="A612" s="4">
        <v>610</v>
      </c>
      <c r="B612" s="4" t="str">
        <f>"225720191223184229235550"</f>
        <v>225720191223184229235550</v>
      </c>
      <c r="C612" s="4" t="s">
        <v>12</v>
      </c>
      <c r="D612" s="4" t="str">
        <f>"卓恩杰"</f>
        <v>卓恩杰</v>
      </c>
      <c r="E612" s="4" t="str">
        <f>"男"</f>
        <v>男</v>
      </c>
      <c r="F612" s="4" t="str">
        <f>"1995-09-29"</f>
        <v>1995-09-29</v>
      </c>
      <c r="G612" s="4" t="str">
        <f t="shared" si="151"/>
        <v>本科</v>
      </c>
      <c r="H612" s="4" t="str">
        <f t="shared" si="156"/>
        <v>学士</v>
      </c>
      <c r="I612" s="4" t="str">
        <f>"法学"</f>
        <v>法学</v>
      </c>
      <c r="J612" s="4" t="str">
        <f t="shared" si="154"/>
        <v>无</v>
      </c>
    </row>
    <row r="613" spans="1:10" ht="27" customHeight="1">
      <c r="A613" s="4">
        <v>611</v>
      </c>
      <c r="B613" s="4" t="str">
        <f>"225720191223201309235655"</f>
        <v>225720191223201309235655</v>
      </c>
      <c r="C613" s="4" t="s">
        <v>18</v>
      </c>
      <c r="D613" s="4" t="str">
        <f>"蔡小侦"</f>
        <v>蔡小侦</v>
      </c>
      <c r="E613" s="4" t="str">
        <f aca="true" t="shared" si="157" ref="E613:E618">"女"</f>
        <v>女</v>
      </c>
      <c r="F613" s="4" t="str">
        <f>"1992-09-18"</f>
        <v>1992-09-18</v>
      </c>
      <c r="G613" s="4" t="str">
        <f t="shared" si="151"/>
        <v>本科</v>
      </c>
      <c r="H613" s="4" t="str">
        <f t="shared" si="156"/>
        <v>学士</v>
      </c>
      <c r="I613" s="4" t="str">
        <f>"会计学"</f>
        <v>会计学</v>
      </c>
      <c r="J613" s="4" t="str">
        <f>"初级会计职称"</f>
        <v>初级会计职称</v>
      </c>
    </row>
    <row r="614" spans="1:10" ht="27" customHeight="1">
      <c r="A614" s="4">
        <v>612</v>
      </c>
      <c r="B614" s="4" t="str">
        <f>"225720191223201831235664"</f>
        <v>225720191223201831235664</v>
      </c>
      <c r="C614" s="4" t="s">
        <v>12</v>
      </c>
      <c r="D614" s="4" t="str">
        <f>"杨明嘉"</f>
        <v>杨明嘉</v>
      </c>
      <c r="E614" s="4" t="str">
        <f t="shared" si="157"/>
        <v>女</v>
      </c>
      <c r="F614" s="4" t="str">
        <f>"1996-03-29"</f>
        <v>1996-03-29</v>
      </c>
      <c r="G614" s="4" t="str">
        <f t="shared" si="151"/>
        <v>本科</v>
      </c>
      <c r="H614" s="4" t="str">
        <f t="shared" si="156"/>
        <v>学士</v>
      </c>
      <c r="I614" s="4" t="str">
        <f>"法学"</f>
        <v>法学</v>
      </c>
      <c r="J614" s="4" t="str">
        <f>"无"</f>
        <v>无</v>
      </c>
    </row>
    <row r="615" spans="1:10" ht="27" customHeight="1">
      <c r="A615" s="4">
        <v>613</v>
      </c>
      <c r="B615" s="4" t="str">
        <f>"225720191223202826235677"</f>
        <v>225720191223202826235677</v>
      </c>
      <c r="C615" s="4" t="s">
        <v>16</v>
      </c>
      <c r="D615" s="4" t="str">
        <f>"陈翼隆"</f>
        <v>陈翼隆</v>
      </c>
      <c r="E615" s="4" t="str">
        <f>"男"</f>
        <v>男</v>
      </c>
      <c r="F615" s="4" t="str">
        <f>"1994-12-07"</f>
        <v>1994-12-07</v>
      </c>
      <c r="G615" s="4" t="str">
        <f t="shared" si="151"/>
        <v>本科</v>
      </c>
      <c r="H615" s="4" t="str">
        <f t="shared" si="156"/>
        <v>学士</v>
      </c>
      <c r="I615" s="4" t="str">
        <f>"地理信息系统"</f>
        <v>地理信息系统</v>
      </c>
      <c r="J615" s="4" t="str">
        <f>"无"</f>
        <v>无</v>
      </c>
    </row>
    <row r="616" spans="1:10" ht="27" customHeight="1">
      <c r="A616" s="4">
        <v>614</v>
      </c>
      <c r="B616" s="4" t="str">
        <f>"225720191223204445235693"</f>
        <v>225720191223204445235693</v>
      </c>
      <c r="C616" s="4" t="s">
        <v>12</v>
      </c>
      <c r="D616" s="4" t="str">
        <f>"谢晶霞"</f>
        <v>谢晶霞</v>
      </c>
      <c r="E616" s="4" t="str">
        <f t="shared" si="157"/>
        <v>女</v>
      </c>
      <c r="F616" s="4" t="str">
        <f>"1996-03-02"</f>
        <v>1996-03-02</v>
      </c>
      <c r="G616" s="4" t="str">
        <f t="shared" si="151"/>
        <v>本科</v>
      </c>
      <c r="H616" s="4" t="str">
        <f t="shared" si="156"/>
        <v>学士</v>
      </c>
      <c r="I616" s="4" t="str">
        <f>"法学"</f>
        <v>法学</v>
      </c>
      <c r="J616" s="4" t="str">
        <f>"无"</f>
        <v>无</v>
      </c>
    </row>
    <row r="617" spans="1:10" ht="27" customHeight="1">
      <c r="A617" s="4">
        <v>615</v>
      </c>
      <c r="B617" s="4" t="str">
        <f>"225720191223204551235697"</f>
        <v>225720191223204551235697</v>
      </c>
      <c r="C617" s="4" t="s">
        <v>12</v>
      </c>
      <c r="D617" s="4" t="str">
        <f>"陈春雨"</f>
        <v>陈春雨</v>
      </c>
      <c r="E617" s="4" t="str">
        <f t="shared" si="157"/>
        <v>女</v>
      </c>
      <c r="F617" s="4" t="str">
        <f>"1996-02-29"</f>
        <v>1996-02-29</v>
      </c>
      <c r="G617" s="4" t="str">
        <f t="shared" si="151"/>
        <v>本科</v>
      </c>
      <c r="H617" s="4" t="str">
        <f t="shared" si="156"/>
        <v>学士</v>
      </c>
      <c r="I617" s="4" t="str">
        <f>"土地资源管理"</f>
        <v>土地资源管理</v>
      </c>
      <c r="J617" s="4" t="str">
        <f>"职员"</f>
        <v>职员</v>
      </c>
    </row>
    <row r="618" spans="1:10" ht="27" customHeight="1">
      <c r="A618" s="4">
        <v>616</v>
      </c>
      <c r="B618" s="4" t="str">
        <f>"225720191223205101235702"</f>
        <v>225720191223205101235702</v>
      </c>
      <c r="C618" s="4" t="s">
        <v>12</v>
      </c>
      <c r="D618" s="4" t="str">
        <f>"文丽蔚"</f>
        <v>文丽蔚</v>
      </c>
      <c r="E618" s="4" t="str">
        <f t="shared" si="157"/>
        <v>女</v>
      </c>
      <c r="F618" s="4" t="str">
        <f>"1998-04-15"</f>
        <v>1998-04-15</v>
      </c>
      <c r="G618" s="4" t="str">
        <f t="shared" si="151"/>
        <v>本科</v>
      </c>
      <c r="H618" s="4" t="str">
        <f t="shared" si="156"/>
        <v>学士</v>
      </c>
      <c r="I618" s="4" t="str">
        <f>"汉语言文学专业"</f>
        <v>汉语言文学专业</v>
      </c>
      <c r="J618" s="4" t="str">
        <f>"无"</f>
        <v>无</v>
      </c>
    </row>
    <row r="619" spans="1:10" ht="27" customHeight="1">
      <c r="A619" s="4">
        <v>617</v>
      </c>
      <c r="B619" s="4" t="str">
        <f>"225720191223205400235707"</f>
        <v>225720191223205400235707</v>
      </c>
      <c r="C619" s="4" t="s">
        <v>12</v>
      </c>
      <c r="D619" s="4" t="str">
        <f>"刘标"</f>
        <v>刘标</v>
      </c>
      <c r="E619" s="4" t="str">
        <f>"男"</f>
        <v>男</v>
      </c>
      <c r="F619" s="4" t="str">
        <f>"1989-03-04"</f>
        <v>1989-03-04</v>
      </c>
      <c r="G619" s="4" t="str">
        <f t="shared" si="151"/>
        <v>本科</v>
      </c>
      <c r="H619" s="4" t="str">
        <f t="shared" si="156"/>
        <v>学士</v>
      </c>
      <c r="I619" s="4" t="str">
        <f>"汉语言文学专业"</f>
        <v>汉语言文学专业</v>
      </c>
      <c r="J619" s="4" t="str">
        <f>"科员"</f>
        <v>科员</v>
      </c>
    </row>
    <row r="620" spans="1:10" ht="27" customHeight="1">
      <c r="A620" s="4">
        <v>618</v>
      </c>
      <c r="B620" s="4" t="str">
        <f>"225720191223212706235748"</f>
        <v>225720191223212706235748</v>
      </c>
      <c r="C620" s="4" t="s">
        <v>12</v>
      </c>
      <c r="D620" s="4" t="str">
        <f>"王诒旭"</f>
        <v>王诒旭</v>
      </c>
      <c r="E620" s="4" t="str">
        <f>"男"</f>
        <v>男</v>
      </c>
      <c r="F620" s="4" t="str">
        <f>"1993-10-15"</f>
        <v>1993-10-15</v>
      </c>
      <c r="G620" s="4" t="str">
        <f t="shared" si="151"/>
        <v>本科</v>
      </c>
      <c r="H620" s="4" t="str">
        <f t="shared" si="156"/>
        <v>学士</v>
      </c>
      <c r="I620" s="4" t="str">
        <f>"汉语言文学"</f>
        <v>汉语言文学</v>
      </c>
      <c r="J620" s="4" t="str">
        <f>"无"</f>
        <v>无</v>
      </c>
    </row>
    <row r="621" spans="1:10" ht="27" customHeight="1">
      <c r="A621" s="4">
        <v>619</v>
      </c>
      <c r="B621" s="4" t="str">
        <f>"225720191223225427235829"</f>
        <v>225720191223225427235829</v>
      </c>
      <c r="C621" s="4" t="s">
        <v>11</v>
      </c>
      <c r="D621" s="4" t="str">
        <f>"丁加楷"</f>
        <v>丁加楷</v>
      </c>
      <c r="E621" s="4" t="str">
        <f>"男"</f>
        <v>男</v>
      </c>
      <c r="F621" s="4" t="str">
        <f>"1993-05-28"</f>
        <v>1993-05-28</v>
      </c>
      <c r="G621" s="4" t="str">
        <f t="shared" si="151"/>
        <v>本科</v>
      </c>
      <c r="H621" s="4" t="str">
        <f t="shared" si="156"/>
        <v>学士</v>
      </c>
      <c r="I621" s="4" t="str">
        <f>"通信工程"</f>
        <v>通信工程</v>
      </c>
      <c r="J621" s="4" t="str">
        <f>"无"</f>
        <v>无</v>
      </c>
    </row>
    <row r="622" spans="1:10" ht="27" customHeight="1">
      <c r="A622" s="4">
        <v>620</v>
      </c>
      <c r="B622" s="4" t="str">
        <f>"225720191223225756235835"</f>
        <v>225720191223225756235835</v>
      </c>
      <c r="C622" s="4" t="s">
        <v>11</v>
      </c>
      <c r="D622" s="4" t="str">
        <f>"钟雨蔚"</f>
        <v>钟雨蔚</v>
      </c>
      <c r="E622" s="4" t="str">
        <f aca="true" t="shared" si="158" ref="E622:E629">"女"</f>
        <v>女</v>
      </c>
      <c r="F622" s="4" t="str">
        <f>"1994-10-07"</f>
        <v>1994-10-07</v>
      </c>
      <c r="G622" s="4" t="str">
        <f t="shared" si="151"/>
        <v>本科</v>
      </c>
      <c r="H622" s="4" t="str">
        <f t="shared" si="156"/>
        <v>学士</v>
      </c>
      <c r="I622" s="4" t="str">
        <f>"通信工程"</f>
        <v>通信工程</v>
      </c>
      <c r="J622" s="4" t="str">
        <f>"助理工程师"</f>
        <v>助理工程师</v>
      </c>
    </row>
    <row r="623" spans="1:10" ht="27" customHeight="1">
      <c r="A623" s="4">
        <v>621</v>
      </c>
      <c r="B623" s="4" t="str">
        <f>"225720191223232945235853"</f>
        <v>225720191223232945235853</v>
      </c>
      <c r="C623" s="4" t="s">
        <v>11</v>
      </c>
      <c r="D623" s="4" t="str">
        <f>"陈一帆"</f>
        <v>陈一帆</v>
      </c>
      <c r="E623" s="4" t="str">
        <f>"男"</f>
        <v>男</v>
      </c>
      <c r="F623" s="4" t="str">
        <f>"1989-11-27"</f>
        <v>1989-11-27</v>
      </c>
      <c r="G623" s="4" t="str">
        <f t="shared" si="151"/>
        <v>本科</v>
      </c>
      <c r="H623" s="4" t="str">
        <f t="shared" si="156"/>
        <v>学士</v>
      </c>
      <c r="I623" s="4" t="str">
        <f>"计算机科学与技术"</f>
        <v>计算机科学与技术</v>
      </c>
      <c r="J623" s="4" t="str">
        <f>"软件开发工程师"</f>
        <v>软件开发工程师</v>
      </c>
    </row>
    <row r="624" spans="1:10" ht="27" customHeight="1">
      <c r="A624" s="4">
        <v>622</v>
      </c>
      <c r="B624" s="4" t="str">
        <f>"225720191223234432235856"</f>
        <v>225720191223234432235856</v>
      </c>
      <c r="C624" s="4" t="s">
        <v>15</v>
      </c>
      <c r="D624" s="4" t="str">
        <f>"陈川虹"</f>
        <v>陈川虹</v>
      </c>
      <c r="E624" s="4" t="str">
        <f t="shared" si="158"/>
        <v>女</v>
      </c>
      <c r="F624" s="4" t="str">
        <f>"1996-04-07"</f>
        <v>1996-04-07</v>
      </c>
      <c r="G624" s="4" t="str">
        <f t="shared" si="151"/>
        <v>本科</v>
      </c>
      <c r="H624" s="4" t="str">
        <f t="shared" si="156"/>
        <v>学士</v>
      </c>
      <c r="I624" s="4" t="str">
        <f>"土地资源管理专业"</f>
        <v>土地资源管理专业</v>
      </c>
      <c r="J624" s="4" t="str">
        <f>"无"</f>
        <v>无</v>
      </c>
    </row>
    <row r="625" spans="1:10" ht="27" customHeight="1">
      <c r="A625" s="4">
        <v>623</v>
      </c>
      <c r="B625" s="4" t="str">
        <f>"225720191223235905235863"</f>
        <v>225720191223235905235863</v>
      </c>
      <c r="C625" s="4" t="s">
        <v>12</v>
      </c>
      <c r="D625" s="4" t="str">
        <f>"林紫强"</f>
        <v>林紫强</v>
      </c>
      <c r="E625" s="4" t="str">
        <f t="shared" si="158"/>
        <v>女</v>
      </c>
      <c r="F625" s="4" t="str">
        <f>"1993-12-06"</f>
        <v>1993-12-06</v>
      </c>
      <c r="G625" s="4" t="str">
        <f t="shared" si="151"/>
        <v>本科</v>
      </c>
      <c r="H625" s="4" t="str">
        <f t="shared" si="156"/>
        <v>学士</v>
      </c>
      <c r="I625" s="4" t="str">
        <f>"汉语言文学专业"</f>
        <v>汉语言文学专业</v>
      </c>
      <c r="J625" s="4" t="str">
        <f>"无"</f>
        <v>无</v>
      </c>
    </row>
    <row r="626" spans="1:10" ht="27" customHeight="1">
      <c r="A626" s="4">
        <v>624</v>
      </c>
      <c r="B626" s="4" t="str">
        <f>"225720191224002151235867"</f>
        <v>225720191224002151235867</v>
      </c>
      <c r="C626" s="4" t="s">
        <v>12</v>
      </c>
      <c r="D626" s="4" t="str">
        <f>"薛鸿雁"</f>
        <v>薛鸿雁</v>
      </c>
      <c r="E626" s="4" t="str">
        <f t="shared" si="158"/>
        <v>女</v>
      </c>
      <c r="F626" s="4" t="str">
        <f>"1996-03-21"</f>
        <v>1996-03-21</v>
      </c>
      <c r="G626" s="4" t="str">
        <f t="shared" si="151"/>
        <v>本科</v>
      </c>
      <c r="H626" s="4" t="str">
        <f t="shared" si="156"/>
        <v>学士</v>
      </c>
      <c r="I626" s="4" t="str">
        <f>"汉语言文学"</f>
        <v>汉语言文学</v>
      </c>
      <c r="J626" s="4" t="str">
        <f>"无"</f>
        <v>无</v>
      </c>
    </row>
    <row r="627" spans="1:10" ht="27" customHeight="1">
      <c r="A627" s="4">
        <v>625</v>
      </c>
      <c r="B627" s="4" t="str">
        <f>"225720191224002311235868"</f>
        <v>225720191224002311235868</v>
      </c>
      <c r="C627" s="4" t="s">
        <v>18</v>
      </c>
      <c r="D627" s="4" t="str">
        <f>"肖文华"</f>
        <v>肖文华</v>
      </c>
      <c r="E627" s="4" t="str">
        <f t="shared" si="158"/>
        <v>女</v>
      </c>
      <c r="F627" s="4" t="str">
        <f>"1993-08-23"</f>
        <v>1993-08-23</v>
      </c>
      <c r="G627" s="4" t="str">
        <f t="shared" si="151"/>
        <v>本科</v>
      </c>
      <c r="H627" s="4" t="str">
        <f t="shared" si="156"/>
        <v>学士</v>
      </c>
      <c r="I627" s="4" t="str">
        <f>"财务管理"</f>
        <v>财务管理</v>
      </c>
      <c r="J627" s="4" t="str">
        <f>"初级会计师"</f>
        <v>初级会计师</v>
      </c>
    </row>
    <row r="628" spans="1:10" ht="27" customHeight="1">
      <c r="A628" s="4">
        <v>626</v>
      </c>
      <c r="B628" s="4" t="str">
        <f>"225720191224072501235889"</f>
        <v>225720191224072501235889</v>
      </c>
      <c r="C628" s="4" t="s">
        <v>12</v>
      </c>
      <c r="D628" s="4" t="str">
        <f>"朱德雅"</f>
        <v>朱德雅</v>
      </c>
      <c r="E628" s="4" t="str">
        <f t="shared" si="158"/>
        <v>女</v>
      </c>
      <c r="F628" s="4" t="str">
        <f>"1988-09-01"</f>
        <v>1988-09-01</v>
      </c>
      <c r="G628" s="4" t="str">
        <f t="shared" si="151"/>
        <v>本科</v>
      </c>
      <c r="H628" s="4" t="str">
        <f t="shared" si="156"/>
        <v>学士</v>
      </c>
      <c r="I628" s="4" t="str">
        <f>"汉语言文学"</f>
        <v>汉语言文学</v>
      </c>
      <c r="J628" s="4" t="str">
        <f>"三级涉外秘书"</f>
        <v>三级涉外秘书</v>
      </c>
    </row>
    <row r="629" spans="1:10" ht="27" customHeight="1">
      <c r="A629" s="4">
        <v>627</v>
      </c>
      <c r="B629" s="4" t="str">
        <f>"225720191224080854235905"</f>
        <v>225720191224080854235905</v>
      </c>
      <c r="C629" s="4" t="s">
        <v>12</v>
      </c>
      <c r="D629" s="4" t="str">
        <f>"陈春苗"</f>
        <v>陈春苗</v>
      </c>
      <c r="E629" s="4" t="str">
        <f t="shared" si="158"/>
        <v>女</v>
      </c>
      <c r="F629" s="4" t="str">
        <f>"1986-03-02"</f>
        <v>1986-03-02</v>
      </c>
      <c r="G629" s="4" t="str">
        <f>"研究生"</f>
        <v>研究生</v>
      </c>
      <c r="H629" s="4" t="str">
        <f>"硕士"</f>
        <v>硕士</v>
      </c>
      <c r="I629" s="4" t="str">
        <f>"土地资源管理"</f>
        <v>土地资源管理</v>
      </c>
      <c r="J629" s="4" t="str">
        <f aca="true" t="shared" si="159" ref="J629:J635">"无"</f>
        <v>无</v>
      </c>
    </row>
    <row r="630" spans="1:10" ht="27" customHeight="1">
      <c r="A630" s="4">
        <v>628</v>
      </c>
      <c r="B630" s="4" t="str">
        <f>"225720191224083150235917"</f>
        <v>225720191224083150235917</v>
      </c>
      <c r="C630" s="4" t="s">
        <v>15</v>
      </c>
      <c r="D630" s="4" t="str">
        <f>"赵仁君"</f>
        <v>赵仁君</v>
      </c>
      <c r="E630" s="4" t="str">
        <f>"男"</f>
        <v>男</v>
      </c>
      <c r="F630" s="4" t="str">
        <f>"1994-12-28"</f>
        <v>1994-12-28</v>
      </c>
      <c r="G630" s="4" t="str">
        <f aca="true" t="shared" si="160" ref="G630:G646">"本科"</f>
        <v>本科</v>
      </c>
      <c r="H630" s="4" t="str">
        <f aca="true" t="shared" si="161" ref="H630:H646">"学士"</f>
        <v>学士</v>
      </c>
      <c r="I630" s="4" t="str">
        <f>"测绘工程"</f>
        <v>测绘工程</v>
      </c>
      <c r="J630" s="4" t="str">
        <f>"测绘助理工程师"</f>
        <v>测绘助理工程师</v>
      </c>
    </row>
    <row r="631" spans="1:10" ht="27" customHeight="1">
      <c r="A631" s="4">
        <v>629</v>
      </c>
      <c r="B631" s="4" t="str">
        <f>"225720191224091146235999"</f>
        <v>225720191224091146235999</v>
      </c>
      <c r="C631" s="4" t="s">
        <v>18</v>
      </c>
      <c r="D631" s="4" t="str">
        <f>"范翼"</f>
        <v>范翼</v>
      </c>
      <c r="E631" s="4" t="str">
        <f aca="true" t="shared" si="162" ref="E631:E637">"女"</f>
        <v>女</v>
      </c>
      <c r="F631" s="4" t="str">
        <f>"1987-02-17"</f>
        <v>1987-02-17</v>
      </c>
      <c r="G631" s="4" t="str">
        <f t="shared" si="160"/>
        <v>本科</v>
      </c>
      <c r="H631" s="4" t="str">
        <f t="shared" si="161"/>
        <v>学士</v>
      </c>
      <c r="I631" s="4" t="str">
        <f>"会计学"</f>
        <v>会计学</v>
      </c>
      <c r="J631" s="4" t="str">
        <f>"初级会计师"</f>
        <v>初级会计师</v>
      </c>
    </row>
    <row r="632" spans="1:10" ht="27" customHeight="1">
      <c r="A632" s="4">
        <v>630</v>
      </c>
      <c r="B632" s="4" t="str">
        <f>"225720191224091922236026"</f>
        <v>225720191224091922236026</v>
      </c>
      <c r="C632" s="4" t="s">
        <v>11</v>
      </c>
      <c r="D632" s="4" t="str">
        <f>"黄新智"</f>
        <v>黄新智</v>
      </c>
      <c r="E632" s="4" t="str">
        <f>"男"</f>
        <v>男</v>
      </c>
      <c r="F632" s="4" t="str">
        <f>"1986-10-12"</f>
        <v>1986-10-12</v>
      </c>
      <c r="G632" s="4" t="str">
        <f t="shared" si="160"/>
        <v>本科</v>
      </c>
      <c r="H632" s="4" t="str">
        <f t="shared" si="161"/>
        <v>学士</v>
      </c>
      <c r="I632" s="4" t="str">
        <f>"通信工程"</f>
        <v>通信工程</v>
      </c>
      <c r="J632" s="4" t="str">
        <f t="shared" si="159"/>
        <v>无</v>
      </c>
    </row>
    <row r="633" spans="1:10" ht="27" customHeight="1">
      <c r="A633" s="4">
        <v>631</v>
      </c>
      <c r="B633" s="4" t="str">
        <f>"225720191224093300236071"</f>
        <v>225720191224093300236071</v>
      </c>
      <c r="C633" s="4" t="s">
        <v>16</v>
      </c>
      <c r="D633" s="4" t="str">
        <f>"柳国燕"</f>
        <v>柳国燕</v>
      </c>
      <c r="E633" s="4" t="str">
        <f t="shared" si="162"/>
        <v>女</v>
      </c>
      <c r="F633" s="4" t="str">
        <f>"1989-04-01"</f>
        <v>1989-04-01</v>
      </c>
      <c r="G633" s="4" t="str">
        <f t="shared" si="160"/>
        <v>本科</v>
      </c>
      <c r="H633" s="4" t="str">
        <f t="shared" si="161"/>
        <v>学士</v>
      </c>
      <c r="I633" s="4" t="str">
        <f>"资源环境与城乡规划管理"</f>
        <v>资源环境与城乡规划管理</v>
      </c>
      <c r="J633" s="4" t="str">
        <f>"助理规划师"</f>
        <v>助理规划师</v>
      </c>
    </row>
    <row r="634" spans="1:10" ht="27" customHeight="1">
      <c r="A634" s="4">
        <v>632</v>
      </c>
      <c r="B634" s="4" t="str">
        <f>"225720191224095035236131"</f>
        <v>225720191224095035236131</v>
      </c>
      <c r="C634" s="4" t="s">
        <v>12</v>
      </c>
      <c r="D634" s="4" t="str">
        <f>"金浩田"</f>
        <v>金浩田</v>
      </c>
      <c r="E634" s="4" t="str">
        <f>"男"</f>
        <v>男</v>
      </c>
      <c r="F634" s="4" t="str">
        <f>"1994-03-22"</f>
        <v>1994-03-22</v>
      </c>
      <c r="G634" s="4" t="str">
        <f t="shared" si="160"/>
        <v>本科</v>
      </c>
      <c r="H634" s="4" t="str">
        <f t="shared" si="161"/>
        <v>学士</v>
      </c>
      <c r="I634" s="4" t="str">
        <f>"汉语言文学"</f>
        <v>汉语言文学</v>
      </c>
      <c r="J634" s="4" t="str">
        <f t="shared" si="159"/>
        <v>无</v>
      </c>
    </row>
    <row r="635" spans="1:10" ht="27" customHeight="1">
      <c r="A635" s="4">
        <v>633</v>
      </c>
      <c r="B635" s="4" t="str">
        <f>"225720191224095236236138"</f>
        <v>225720191224095236236138</v>
      </c>
      <c r="C635" s="4" t="s">
        <v>12</v>
      </c>
      <c r="D635" s="4" t="str">
        <f>"王锡紫"</f>
        <v>王锡紫</v>
      </c>
      <c r="E635" s="4" t="str">
        <f t="shared" si="162"/>
        <v>女</v>
      </c>
      <c r="F635" s="4" t="str">
        <f>"1997-07-25"</f>
        <v>1997-07-25</v>
      </c>
      <c r="G635" s="4" t="str">
        <f t="shared" si="160"/>
        <v>本科</v>
      </c>
      <c r="H635" s="4" t="str">
        <f t="shared" si="161"/>
        <v>学士</v>
      </c>
      <c r="I635" s="4" t="str">
        <f>"汉语言文学"</f>
        <v>汉语言文学</v>
      </c>
      <c r="J635" s="4" t="str">
        <f t="shared" si="159"/>
        <v>无</v>
      </c>
    </row>
    <row r="636" spans="1:10" ht="27" customHeight="1">
      <c r="A636" s="4">
        <v>634</v>
      </c>
      <c r="B636" s="4" t="str">
        <f>"225720191224100144236161"</f>
        <v>225720191224100144236161</v>
      </c>
      <c r="C636" s="4" t="s">
        <v>12</v>
      </c>
      <c r="D636" s="4" t="str">
        <f>"符晓艳"</f>
        <v>符晓艳</v>
      </c>
      <c r="E636" s="4" t="str">
        <f t="shared" si="162"/>
        <v>女</v>
      </c>
      <c r="F636" s="4" t="str">
        <f>"1991-06-22"</f>
        <v>1991-06-22</v>
      </c>
      <c r="G636" s="4" t="str">
        <f t="shared" si="160"/>
        <v>本科</v>
      </c>
      <c r="H636" s="4" t="str">
        <f t="shared" si="161"/>
        <v>学士</v>
      </c>
      <c r="I636" s="4" t="str">
        <f>"法学"</f>
        <v>法学</v>
      </c>
      <c r="J636" s="4" t="str">
        <f>"主管"</f>
        <v>主管</v>
      </c>
    </row>
    <row r="637" spans="1:10" ht="27" customHeight="1">
      <c r="A637" s="4">
        <v>635</v>
      </c>
      <c r="B637" s="4" t="str">
        <f>"225720191224101041236190"</f>
        <v>225720191224101041236190</v>
      </c>
      <c r="C637" s="4" t="s">
        <v>16</v>
      </c>
      <c r="D637" s="4" t="str">
        <f>"钟元谜"</f>
        <v>钟元谜</v>
      </c>
      <c r="E637" s="4" t="str">
        <f t="shared" si="162"/>
        <v>女</v>
      </c>
      <c r="F637" s="4" t="str">
        <f>"1986-07-01"</f>
        <v>1986-07-01</v>
      </c>
      <c r="G637" s="4" t="str">
        <f t="shared" si="160"/>
        <v>本科</v>
      </c>
      <c r="H637" s="4" t="str">
        <f t="shared" si="161"/>
        <v>学士</v>
      </c>
      <c r="I637" s="4" t="str">
        <f>"地理信息系统"</f>
        <v>地理信息系统</v>
      </c>
      <c r="J637" s="4" t="str">
        <f>"测绘工程师"</f>
        <v>测绘工程师</v>
      </c>
    </row>
    <row r="638" spans="1:10" ht="27" customHeight="1">
      <c r="A638" s="4">
        <v>636</v>
      </c>
      <c r="B638" s="4" t="str">
        <f>"225720191224102043236224"</f>
        <v>225720191224102043236224</v>
      </c>
      <c r="C638" s="4" t="s">
        <v>15</v>
      </c>
      <c r="D638" s="4" t="str">
        <f>"韩金哲"</f>
        <v>韩金哲</v>
      </c>
      <c r="E638" s="4" t="str">
        <f aca="true" t="shared" si="163" ref="E638:E643">"男"</f>
        <v>男</v>
      </c>
      <c r="F638" s="4" t="str">
        <f>"1994-02-28"</f>
        <v>1994-02-28</v>
      </c>
      <c r="G638" s="4" t="str">
        <f t="shared" si="160"/>
        <v>本科</v>
      </c>
      <c r="H638" s="4" t="str">
        <f t="shared" si="161"/>
        <v>学士</v>
      </c>
      <c r="I638" s="4" t="str">
        <f>"土地资源管理"</f>
        <v>土地资源管理</v>
      </c>
      <c r="J638" s="4" t="str">
        <f>"助理工程师"</f>
        <v>助理工程师</v>
      </c>
    </row>
    <row r="639" spans="1:10" ht="27" customHeight="1">
      <c r="A639" s="4">
        <v>637</v>
      </c>
      <c r="B639" s="4" t="str">
        <f>"225720191224103237236251"</f>
        <v>225720191224103237236251</v>
      </c>
      <c r="C639" s="4" t="s">
        <v>12</v>
      </c>
      <c r="D639" s="4" t="str">
        <f>"朱晓红"</f>
        <v>朱晓红</v>
      </c>
      <c r="E639" s="4" t="str">
        <f>"女"</f>
        <v>女</v>
      </c>
      <c r="F639" s="4" t="str">
        <f>"1992-05-30"</f>
        <v>1992-05-30</v>
      </c>
      <c r="G639" s="4" t="str">
        <f t="shared" si="160"/>
        <v>本科</v>
      </c>
      <c r="H639" s="4" t="str">
        <f t="shared" si="161"/>
        <v>学士</v>
      </c>
      <c r="I639" s="4" t="str">
        <f>"法学"</f>
        <v>法学</v>
      </c>
      <c r="J639" s="4" t="str">
        <f>"无"</f>
        <v>无</v>
      </c>
    </row>
    <row r="640" spans="1:10" ht="27" customHeight="1">
      <c r="A640" s="4">
        <v>638</v>
      </c>
      <c r="B640" s="4" t="str">
        <f>"225720191224104300236274"</f>
        <v>225720191224104300236274</v>
      </c>
      <c r="C640" s="4" t="s">
        <v>11</v>
      </c>
      <c r="D640" s="4" t="str">
        <f>"刘鸿"</f>
        <v>刘鸿</v>
      </c>
      <c r="E640" s="4" t="str">
        <f t="shared" si="163"/>
        <v>男</v>
      </c>
      <c r="F640" s="4" t="str">
        <f>"1997-02-21"</f>
        <v>1997-02-21</v>
      </c>
      <c r="G640" s="4" t="str">
        <f t="shared" si="160"/>
        <v>本科</v>
      </c>
      <c r="H640" s="4" t="str">
        <f t="shared" si="161"/>
        <v>学士</v>
      </c>
      <c r="I640" s="4" t="str">
        <f>"计算机科学与技术"</f>
        <v>计算机科学与技术</v>
      </c>
      <c r="J640" s="4" t="str">
        <f>"无"</f>
        <v>无</v>
      </c>
    </row>
    <row r="641" spans="1:10" ht="27" customHeight="1">
      <c r="A641" s="4">
        <v>639</v>
      </c>
      <c r="B641" s="4" t="str">
        <f>"225720191224105449236315"</f>
        <v>225720191224105449236315</v>
      </c>
      <c r="C641" s="4" t="s">
        <v>12</v>
      </c>
      <c r="D641" s="4" t="str">
        <f>"黄扬恋"</f>
        <v>黄扬恋</v>
      </c>
      <c r="E641" s="4" t="str">
        <f>"女"</f>
        <v>女</v>
      </c>
      <c r="F641" s="4" t="str">
        <f>"1993-07-06"</f>
        <v>1993-07-06</v>
      </c>
      <c r="G641" s="4" t="str">
        <f t="shared" si="160"/>
        <v>本科</v>
      </c>
      <c r="H641" s="4" t="str">
        <f t="shared" si="161"/>
        <v>学士</v>
      </c>
      <c r="I641" s="4" t="str">
        <f>"汉语言文学"</f>
        <v>汉语言文学</v>
      </c>
      <c r="J641" s="4" t="str">
        <f>"无"</f>
        <v>无</v>
      </c>
    </row>
    <row r="642" spans="1:10" ht="27" customHeight="1">
      <c r="A642" s="4">
        <v>640</v>
      </c>
      <c r="B642" s="4" t="str">
        <f>"225720191224110650236334"</f>
        <v>225720191224110650236334</v>
      </c>
      <c r="C642" s="4" t="s">
        <v>12</v>
      </c>
      <c r="D642" s="4" t="str">
        <f>"符芳桃"</f>
        <v>符芳桃</v>
      </c>
      <c r="E642" s="4" t="str">
        <f>"女"</f>
        <v>女</v>
      </c>
      <c r="F642" s="4" t="str">
        <f>"1995-08-06"</f>
        <v>1995-08-06</v>
      </c>
      <c r="G642" s="4" t="str">
        <f t="shared" si="160"/>
        <v>本科</v>
      </c>
      <c r="H642" s="4" t="str">
        <f t="shared" si="161"/>
        <v>学士</v>
      </c>
      <c r="I642" s="4" t="str">
        <f>"法学"</f>
        <v>法学</v>
      </c>
      <c r="J642" s="4" t="str">
        <f>"法务"</f>
        <v>法务</v>
      </c>
    </row>
    <row r="643" spans="1:10" ht="27" customHeight="1">
      <c r="A643" s="4">
        <v>641</v>
      </c>
      <c r="B643" s="4" t="str">
        <f>"225720191224111255236352"</f>
        <v>225720191224111255236352</v>
      </c>
      <c r="C643" s="4" t="s">
        <v>11</v>
      </c>
      <c r="D643" s="4" t="str">
        <f>"王文超"</f>
        <v>王文超</v>
      </c>
      <c r="E643" s="4" t="str">
        <f t="shared" si="163"/>
        <v>男</v>
      </c>
      <c r="F643" s="4" t="str">
        <f>"1985-08-29"</f>
        <v>1985-08-29</v>
      </c>
      <c r="G643" s="4" t="str">
        <f t="shared" si="160"/>
        <v>本科</v>
      </c>
      <c r="H643" s="4" t="str">
        <f t="shared" si="161"/>
        <v>学士</v>
      </c>
      <c r="I643" s="4" t="str">
        <f>"通信工程"</f>
        <v>通信工程</v>
      </c>
      <c r="J643" s="4" t="str">
        <f>"无"</f>
        <v>无</v>
      </c>
    </row>
    <row r="644" spans="1:10" ht="27" customHeight="1">
      <c r="A644" s="4">
        <v>642</v>
      </c>
      <c r="B644" s="4" t="str">
        <f>"225720191224113514236400"</f>
        <v>225720191224113514236400</v>
      </c>
      <c r="C644" s="4" t="s">
        <v>16</v>
      </c>
      <c r="D644" s="4" t="str">
        <f>"符蓝碧"</f>
        <v>符蓝碧</v>
      </c>
      <c r="E644" s="4" t="str">
        <f aca="true" t="shared" si="164" ref="E644:E653">"女"</f>
        <v>女</v>
      </c>
      <c r="F644" s="4" t="str">
        <f>"1992-03-09"</f>
        <v>1992-03-09</v>
      </c>
      <c r="G644" s="4" t="str">
        <f t="shared" si="160"/>
        <v>本科</v>
      </c>
      <c r="H644" s="4" t="str">
        <f t="shared" si="161"/>
        <v>学士</v>
      </c>
      <c r="I644" s="4" t="str">
        <f>"资源环境与城乡规划管理"</f>
        <v>资源环境与城乡规划管理</v>
      </c>
      <c r="J644" s="4" t="str">
        <f>"无"</f>
        <v>无</v>
      </c>
    </row>
    <row r="645" spans="1:10" ht="27" customHeight="1">
      <c r="A645" s="4">
        <v>643</v>
      </c>
      <c r="B645" s="4" t="str">
        <f>"225720191224115828236445"</f>
        <v>225720191224115828236445</v>
      </c>
      <c r="C645" s="4" t="s">
        <v>12</v>
      </c>
      <c r="D645" s="4" t="str">
        <f>"魏雪梅"</f>
        <v>魏雪梅</v>
      </c>
      <c r="E645" s="4" t="str">
        <f t="shared" si="164"/>
        <v>女</v>
      </c>
      <c r="F645" s="4" t="str">
        <f>"1991-11-24"</f>
        <v>1991-11-24</v>
      </c>
      <c r="G645" s="4" t="str">
        <f t="shared" si="160"/>
        <v>本科</v>
      </c>
      <c r="H645" s="4" t="str">
        <f t="shared" si="161"/>
        <v>学士</v>
      </c>
      <c r="I645" s="4" t="str">
        <f>"法学"</f>
        <v>法学</v>
      </c>
      <c r="J645" s="4" t="str">
        <f>"无"</f>
        <v>无</v>
      </c>
    </row>
    <row r="646" spans="1:10" ht="27" customHeight="1">
      <c r="A646" s="4">
        <v>644</v>
      </c>
      <c r="B646" s="4" t="str">
        <f>"225720191224120313236455"</f>
        <v>225720191224120313236455</v>
      </c>
      <c r="C646" s="4" t="s">
        <v>12</v>
      </c>
      <c r="D646" s="4" t="str">
        <f>"邓小康"</f>
        <v>邓小康</v>
      </c>
      <c r="E646" s="4" t="str">
        <f>"男"</f>
        <v>男</v>
      </c>
      <c r="F646" s="4" t="str">
        <f>"1988-11-19"</f>
        <v>1988-11-19</v>
      </c>
      <c r="G646" s="4" t="str">
        <f t="shared" si="160"/>
        <v>本科</v>
      </c>
      <c r="H646" s="4" t="str">
        <f t="shared" si="161"/>
        <v>学士</v>
      </c>
      <c r="I646" s="4" t="str">
        <f>"法学"</f>
        <v>法学</v>
      </c>
      <c r="J646" s="4" t="str">
        <f>"无"</f>
        <v>无</v>
      </c>
    </row>
    <row r="647" spans="1:10" ht="27" customHeight="1">
      <c r="A647" s="4">
        <v>645</v>
      </c>
      <c r="B647" s="4" t="str">
        <f>"225720191224120923236469"</f>
        <v>225720191224120923236469</v>
      </c>
      <c r="C647" s="4" t="s">
        <v>12</v>
      </c>
      <c r="D647" s="4" t="str">
        <f>"邝丽彬"</f>
        <v>邝丽彬</v>
      </c>
      <c r="E647" s="4" t="str">
        <f t="shared" si="164"/>
        <v>女</v>
      </c>
      <c r="F647" s="4" t="str">
        <f>"1990-06-05"</f>
        <v>1990-06-05</v>
      </c>
      <c r="G647" s="4" t="str">
        <f>"研究生"</f>
        <v>研究生</v>
      </c>
      <c r="H647" s="4" t="str">
        <f>"硕士"</f>
        <v>硕士</v>
      </c>
      <c r="I647" s="4" t="str">
        <f>"汉语言文学"</f>
        <v>汉语言文学</v>
      </c>
      <c r="J647" s="4" t="str">
        <f>"研究员"</f>
        <v>研究员</v>
      </c>
    </row>
    <row r="648" spans="1:10" ht="27" customHeight="1">
      <c r="A648" s="4">
        <v>646</v>
      </c>
      <c r="B648" s="4" t="str">
        <f>"225720191224121451236477"</f>
        <v>225720191224121451236477</v>
      </c>
      <c r="C648" s="4" t="s">
        <v>12</v>
      </c>
      <c r="D648" s="4" t="str">
        <f>"罗辑"</f>
        <v>罗辑</v>
      </c>
      <c r="E648" s="4" t="str">
        <f t="shared" si="164"/>
        <v>女</v>
      </c>
      <c r="F648" s="4" t="str">
        <f>"1989-01-01"</f>
        <v>1989-01-01</v>
      </c>
      <c r="G648" s="4" t="str">
        <f aca="true" t="shared" si="165" ref="G648:G661">"本科"</f>
        <v>本科</v>
      </c>
      <c r="H648" s="4" t="str">
        <f aca="true" t="shared" si="166" ref="H648:H661">"学士"</f>
        <v>学士</v>
      </c>
      <c r="I648" s="4" t="str">
        <f>"土地资源管理"</f>
        <v>土地资源管理</v>
      </c>
      <c r="J648" s="4" t="str">
        <f>"专业十二级"</f>
        <v>专业十二级</v>
      </c>
    </row>
    <row r="649" spans="1:10" ht="27" customHeight="1">
      <c r="A649" s="4">
        <v>647</v>
      </c>
      <c r="B649" s="4" t="str">
        <f>"225720191224125041236542"</f>
        <v>225720191224125041236542</v>
      </c>
      <c r="C649" s="4" t="s">
        <v>12</v>
      </c>
      <c r="D649" s="4" t="str">
        <f>"包建梅"</f>
        <v>包建梅</v>
      </c>
      <c r="E649" s="4" t="str">
        <f t="shared" si="164"/>
        <v>女</v>
      </c>
      <c r="F649" s="4" t="str">
        <f>"1987-12-10"</f>
        <v>1987-12-10</v>
      </c>
      <c r="G649" s="4" t="str">
        <f>"研究生"</f>
        <v>研究生</v>
      </c>
      <c r="H649" s="4" t="str">
        <f>"硕士"</f>
        <v>硕士</v>
      </c>
      <c r="I649" s="4" t="str">
        <f>"汉语言文学"</f>
        <v>汉语言文学</v>
      </c>
      <c r="J649" s="4" t="str">
        <f aca="true" t="shared" si="167" ref="J649:J661">"无"</f>
        <v>无</v>
      </c>
    </row>
    <row r="650" spans="1:10" ht="27" customHeight="1">
      <c r="A650" s="4">
        <v>648</v>
      </c>
      <c r="B650" s="4" t="str">
        <f>"225720191224125255236544"</f>
        <v>225720191224125255236544</v>
      </c>
      <c r="C650" s="4" t="s">
        <v>12</v>
      </c>
      <c r="D650" s="4" t="str">
        <f>"金海秀"</f>
        <v>金海秀</v>
      </c>
      <c r="E650" s="4" t="str">
        <f t="shared" si="164"/>
        <v>女</v>
      </c>
      <c r="F650" s="4" t="str">
        <f>"1995-02-18"</f>
        <v>1995-02-18</v>
      </c>
      <c r="G650" s="4" t="str">
        <f t="shared" si="165"/>
        <v>本科</v>
      </c>
      <c r="H650" s="4" t="str">
        <f t="shared" si="166"/>
        <v>学士</v>
      </c>
      <c r="I650" s="4" t="str">
        <f>"人文地理与城乡规划"</f>
        <v>人文地理与城乡规划</v>
      </c>
      <c r="J650" s="4" t="str">
        <f t="shared" si="167"/>
        <v>无</v>
      </c>
    </row>
    <row r="651" spans="1:10" ht="27" customHeight="1">
      <c r="A651" s="4">
        <v>649</v>
      </c>
      <c r="B651" s="4" t="str">
        <f>"225720191224125919236552"</f>
        <v>225720191224125919236552</v>
      </c>
      <c r="C651" s="4" t="s">
        <v>11</v>
      </c>
      <c r="D651" s="4" t="str">
        <f>"任香丽"</f>
        <v>任香丽</v>
      </c>
      <c r="E651" s="4" t="str">
        <f t="shared" si="164"/>
        <v>女</v>
      </c>
      <c r="F651" s="4" t="str">
        <f>"1987-05-16"</f>
        <v>1987-05-16</v>
      </c>
      <c r="G651" s="4" t="str">
        <f t="shared" si="165"/>
        <v>本科</v>
      </c>
      <c r="H651" s="4" t="str">
        <f t="shared" si="166"/>
        <v>学士</v>
      </c>
      <c r="I651" s="4" t="str">
        <f>"通信工程"</f>
        <v>通信工程</v>
      </c>
      <c r="J651" s="4" t="str">
        <f t="shared" si="167"/>
        <v>无</v>
      </c>
    </row>
    <row r="652" spans="1:10" ht="27" customHeight="1">
      <c r="A652" s="4">
        <v>650</v>
      </c>
      <c r="B652" s="4" t="str">
        <f>"225720191224130616236567"</f>
        <v>225720191224130616236567</v>
      </c>
      <c r="C652" s="4" t="s">
        <v>12</v>
      </c>
      <c r="D652" s="4" t="str">
        <f>"陈飞臻"</f>
        <v>陈飞臻</v>
      </c>
      <c r="E652" s="4" t="str">
        <f t="shared" si="164"/>
        <v>女</v>
      </c>
      <c r="F652" s="4" t="str">
        <f>"1993-08-06"</f>
        <v>1993-08-06</v>
      </c>
      <c r="G652" s="4" t="str">
        <f t="shared" si="165"/>
        <v>本科</v>
      </c>
      <c r="H652" s="4" t="str">
        <f t="shared" si="166"/>
        <v>学士</v>
      </c>
      <c r="I652" s="4" t="str">
        <f aca="true" t="shared" si="168" ref="I652:I657">"汉语言文学"</f>
        <v>汉语言文学</v>
      </c>
      <c r="J652" s="4" t="str">
        <f t="shared" si="167"/>
        <v>无</v>
      </c>
    </row>
    <row r="653" spans="1:10" ht="27" customHeight="1">
      <c r="A653" s="4">
        <v>651</v>
      </c>
      <c r="B653" s="4" t="str">
        <f>"225720191224132056236596"</f>
        <v>225720191224132056236596</v>
      </c>
      <c r="C653" s="4" t="s">
        <v>12</v>
      </c>
      <c r="D653" s="4" t="str">
        <f>"林叶"</f>
        <v>林叶</v>
      </c>
      <c r="E653" s="4" t="str">
        <f t="shared" si="164"/>
        <v>女</v>
      </c>
      <c r="F653" s="4" t="str">
        <f>"1996-02-08"</f>
        <v>1996-02-08</v>
      </c>
      <c r="G653" s="4" t="str">
        <f t="shared" si="165"/>
        <v>本科</v>
      </c>
      <c r="H653" s="4" t="str">
        <f t="shared" si="166"/>
        <v>学士</v>
      </c>
      <c r="I653" s="4" t="str">
        <f t="shared" si="168"/>
        <v>汉语言文学</v>
      </c>
      <c r="J653" s="4" t="str">
        <f t="shared" si="167"/>
        <v>无</v>
      </c>
    </row>
    <row r="654" spans="1:10" ht="27" customHeight="1">
      <c r="A654" s="4">
        <v>652</v>
      </c>
      <c r="B654" s="4" t="str">
        <f>"225720191224134904236633"</f>
        <v>225720191224134904236633</v>
      </c>
      <c r="C654" s="4" t="s">
        <v>12</v>
      </c>
      <c r="D654" s="4" t="str">
        <f>"林道源"</f>
        <v>林道源</v>
      </c>
      <c r="E654" s="4" t="str">
        <f aca="true" t="shared" si="169" ref="E654:E659">"男"</f>
        <v>男</v>
      </c>
      <c r="F654" s="4" t="str">
        <f>"1984-07-30"</f>
        <v>1984-07-30</v>
      </c>
      <c r="G654" s="4" t="str">
        <f t="shared" si="165"/>
        <v>本科</v>
      </c>
      <c r="H654" s="4" t="str">
        <f t="shared" si="166"/>
        <v>学士</v>
      </c>
      <c r="I654" s="4" t="str">
        <f>"法学"</f>
        <v>法学</v>
      </c>
      <c r="J654" s="4" t="str">
        <f t="shared" si="167"/>
        <v>无</v>
      </c>
    </row>
    <row r="655" spans="1:10" ht="27" customHeight="1">
      <c r="A655" s="4">
        <v>653</v>
      </c>
      <c r="B655" s="4" t="str">
        <f>"225720191224143735236713"</f>
        <v>225720191224143735236713</v>
      </c>
      <c r="C655" s="4" t="s">
        <v>16</v>
      </c>
      <c r="D655" s="4" t="str">
        <f>"孙太隽"</f>
        <v>孙太隽</v>
      </c>
      <c r="E655" s="4" t="str">
        <f t="shared" si="169"/>
        <v>男</v>
      </c>
      <c r="F655" s="4" t="str">
        <f>"1998-01-01"</f>
        <v>1998-01-01</v>
      </c>
      <c r="G655" s="4" t="str">
        <f t="shared" si="165"/>
        <v>本科</v>
      </c>
      <c r="H655" s="4" t="str">
        <f t="shared" si="166"/>
        <v>学士</v>
      </c>
      <c r="I655" s="4" t="str">
        <f>"地理信息科学"</f>
        <v>地理信息科学</v>
      </c>
      <c r="J655" s="4" t="str">
        <f t="shared" si="167"/>
        <v>无</v>
      </c>
    </row>
    <row r="656" spans="1:10" ht="27" customHeight="1">
      <c r="A656" s="4">
        <v>654</v>
      </c>
      <c r="B656" s="4" t="str">
        <f>"225720191224150750236766"</f>
        <v>225720191224150750236766</v>
      </c>
      <c r="C656" s="4" t="s">
        <v>12</v>
      </c>
      <c r="D656" s="4" t="str">
        <f>"廖晓彤"</f>
        <v>廖晓彤</v>
      </c>
      <c r="E656" s="4" t="str">
        <f>"女"</f>
        <v>女</v>
      </c>
      <c r="F656" s="4" t="str">
        <f>"1996-12-08"</f>
        <v>1996-12-08</v>
      </c>
      <c r="G656" s="4" t="str">
        <f t="shared" si="165"/>
        <v>本科</v>
      </c>
      <c r="H656" s="4" t="str">
        <f t="shared" si="166"/>
        <v>学士</v>
      </c>
      <c r="I656" s="4" t="str">
        <f>"汉语言文学专业"</f>
        <v>汉语言文学专业</v>
      </c>
      <c r="J656" s="4" t="str">
        <f t="shared" si="167"/>
        <v>无</v>
      </c>
    </row>
    <row r="657" spans="1:10" ht="27" customHeight="1">
      <c r="A657" s="4">
        <v>655</v>
      </c>
      <c r="B657" s="4" t="str">
        <f>"225720191224151718236791"</f>
        <v>225720191224151718236791</v>
      </c>
      <c r="C657" s="4" t="s">
        <v>12</v>
      </c>
      <c r="D657" s="4" t="str">
        <f>"吉春完"</f>
        <v>吉春完</v>
      </c>
      <c r="E657" s="4" t="str">
        <f>"女"</f>
        <v>女</v>
      </c>
      <c r="F657" s="4" t="str">
        <f>"1992-09-22"</f>
        <v>1992-09-22</v>
      </c>
      <c r="G657" s="4" t="str">
        <f t="shared" si="165"/>
        <v>本科</v>
      </c>
      <c r="H657" s="4" t="str">
        <f t="shared" si="166"/>
        <v>学士</v>
      </c>
      <c r="I657" s="4" t="str">
        <f t="shared" si="168"/>
        <v>汉语言文学</v>
      </c>
      <c r="J657" s="4" t="str">
        <f t="shared" si="167"/>
        <v>无</v>
      </c>
    </row>
    <row r="658" spans="1:10" ht="27" customHeight="1">
      <c r="A658" s="4">
        <v>656</v>
      </c>
      <c r="B658" s="4" t="str">
        <f>"225720191224152630236810"</f>
        <v>225720191224152630236810</v>
      </c>
      <c r="C658" s="4" t="s">
        <v>16</v>
      </c>
      <c r="D658" s="4" t="str">
        <f>"郑诗伟"</f>
        <v>郑诗伟</v>
      </c>
      <c r="E658" s="4" t="str">
        <f t="shared" si="169"/>
        <v>男</v>
      </c>
      <c r="F658" s="4" t="str">
        <f>"1990-10-26"</f>
        <v>1990-10-26</v>
      </c>
      <c r="G658" s="4" t="str">
        <f t="shared" si="165"/>
        <v>本科</v>
      </c>
      <c r="H658" s="4" t="str">
        <f t="shared" si="166"/>
        <v>学士</v>
      </c>
      <c r="I658" s="4" t="str">
        <f>"资源环境与城乡规划管理"</f>
        <v>资源环境与城乡规划管理</v>
      </c>
      <c r="J658" s="4" t="str">
        <f t="shared" si="167"/>
        <v>无</v>
      </c>
    </row>
    <row r="659" spans="1:10" ht="27" customHeight="1">
      <c r="A659" s="4">
        <v>657</v>
      </c>
      <c r="B659" s="4" t="str">
        <f>"225720191224160005236867"</f>
        <v>225720191224160005236867</v>
      </c>
      <c r="C659" s="4" t="s">
        <v>12</v>
      </c>
      <c r="D659" s="4" t="str">
        <f>"马威"</f>
        <v>马威</v>
      </c>
      <c r="E659" s="4" t="str">
        <f t="shared" si="169"/>
        <v>男</v>
      </c>
      <c r="F659" s="4" t="str">
        <f>"1991-07-15"</f>
        <v>1991-07-15</v>
      </c>
      <c r="G659" s="4" t="str">
        <f t="shared" si="165"/>
        <v>本科</v>
      </c>
      <c r="H659" s="4" t="str">
        <f t="shared" si="166"/>
        <v>学士</v>
      </c>
      <c r="I659" s="4" t="str">
        <f>"汉语言文学"</f>
        <v>汉语言文学</v>
      </c>
      <c r="J659" s="4" t="str">
        <f t="shared" si="167"/>
        <v>无</v>
      </c>
    </row>
    <row r="660" spans="1:10" ht="27" customHeight="1">
      <c r="A660" s="4">
        <v>658</v>
      </c>
      <c r="B660" s="4" t="str">
        <f>"225720191224161625236884"</f>
        <v>225720191224161625236884</v>
      </c>
      <c r="C660" s="4" t="s">
        <v>12</v>
      </c>
      <c r="D660" s="4" t="str">
        <f>"卢世娟"</f>
        <v>卢世娟</v>
      </c>
      <c r="E660" s="4" t="str">
        <f>"女"</f>
        <v>女</v>
      </c>
      <c r="F660" s="4" t="str">
        <f>"1997-08-15"</f>
        <v>1997-08-15</v>
      </c>
      <c r="G660" s="4" t="str">
        <f t="shared" si="165"/>
        <v>本科</v>
      </c>
      <c r="H660" s="4" t="str">
        <f t="shared" si="166"/>
        <v>学士</v>
      </c>
      <c r="I660" s="4" t="str">
        <f>"汉语言文学"</f>
        <v>汉语言文学</v>
      </c>
      <c r="J660" s="4" t="str">
        <f t="shared" si="167"/>
        <v>无</v>
      </c>
    </row>
    <row r="661" spans="1:10" ht="27" customHeight="1">
      <c r="A661" s="4">
        <v>659</v>
      </c>
      <c r="B661" s="4" t="str">
        <f>"225720191224163159236905"</f>
        <v>225720191224163159236905</v>
      </c>
      <c r="C661" s="4" t="s">
        <v>16</v>
      </c>
      <c r="D661" s="4" t="str">
        <f>"符云肖"</f>
        <v>符云肖</v>
      </c>
      <c r="E661" s="4" t="str">
        <f>"男"</f>
        <v>男</v>
      </c>
      <c r="F661" s="4" t="str">
        <f>"1994-08-22"</f>
        <v>1994-08-22</v>
      </c>
      <c r="G661" s="4" t="str">
        <f t="shared" si="165"/>
        <v>本科</v>
      </c>
      <c r="H661" s="4" t="str">
        <f t="shared" si="166"/>
        <v>学士</v>
      </c>
      <c r="I661" s="4" t="str">
        <f>"地理信息科学"</f>
        <v>地理信息科学</v>
      </c>
      <c r="J661" s="4" t="str">
        <f t="shared" si="167"/>
        <v>无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黎文文</cp:lastModifiedBy>
  <cp:lastPrinted>2019-12-26T09:06:15Z</cp:lastPrinted>
  <dcterms:created xsi:type="dcterms:W3CDTF">2019-12-25T09:10:32Z</dcterms:created>
  <dcterms:modified xsi:type="dcterms:W3CDTF">2019-12-27T10:19:45Z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